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2021-12" sheetId="2" r:id="rId6"/>
    <sheet state="visible" name="2023-10" sheetId="3" r:id="rId7"/>
    <sheet state="visible" name="2024-06-13" sheetId="4" r:id="rId8"/>
    <sheet state="visible" name="2024-08-06" sheetId="5" r:id="rId9"/>
    <sheet state="visible" name="2024-09-03" sheetId="6" r:id="rId10"/>
    <sheet state="visible" name="2024-10-08" sheetId="7" r:id="rId11"/>
    <sheet state="visible" name="2024-12-04" sheetId="8" r:id="rId12"/>
    <sheet state="visible" name="2025-01-06" sheetId="9" r:id="rId13"/>
    <sheet state="visible" name="2025-02-06" sheetId="10" r:id="rId14"/>
    <sheet state="visible" name="2025-03-06" sheetId="11" r:id="rId15"/>
    <sheet state="visible" name="2025-04-13" sheetId="12" r:id="rId16"/>
    <sheet state="visible" name="2025-05-05" sheetId="13" r:id="rId17"/>
    <sheet state="visible" name="2025-06-09" sheetId="14" r:id="rId18"/>
    <sheet state="visible" name="2025-07-05" sheetId="15" r:id="rId19"/>
    <sheet state="visible" name="2025-08-06" sheetId="16" r:id="rId20"/>
    <sheet state="visible" name="2025-09-05" sheetId="17" r:id="rId21"/>
    <sheet state="visible" name="2025-10-12" sheetId="18" r:id="rId22"/>
    <sheet state="visible" name="2025-11-07" sheetId="19" r:id="rId23"/>
    <sheet state="visible" name="2025-12-07" sheetId="20" r:id="rId24"/>
    <sheet state="visible" name="2026-01-12" sheetId="21" r:id="rId25"/>
    <sheet state="visible" name="2026-02-11" sheetId="22" r:id="rId26"/>
    <sheet state="visible" name="2026-03-12" sheetId="23" r:id="rId27"/>
    <sheet state="visible" name="2026-04-06" sheetId="24" r:id="rId28"/>
    <sheet state="visible" name="2026-05-11" sheetId="25" r:id="rId29"/>
    <sheet state="visible" name="2026-06-07" sheetId="26" r:id="rId30"/>
    <sheet state="visible" name="2026-07-05" sheetId="27" r:id="rId31"/>
    <sheet state="visible" name="Sheet9" sheetId="28" r:id="rId32"/>
  </sheets>
  <definedNames>
    <definedName hidden="1" localSheetId="7" name="_xlnm._FilterDatabase">'2024-12-04'!$A$4:$E$26</definedName>
    <definedName hidden="1" localSheetId="8" name="_xlnm._FilterDatabase">'2025-01-06'!$A$4:$E$27</definedName>
    <definedName hidden="1" localSheetId="9" name="_xlnm._FilterDatabase">'2025-02-06'!$A$4:$E$27</definedName>
    <definedName hidden="1" localSheetId="10" name="_xlnm._FilterDatabase">'2025-03-06'!$A$4:$E$27</definedName>
    <definedName hidden="1" localSheetId="11" name="_xlnm._FilterDatabase">'2025-04-13'!$A$4:$E$27</definedName>
    <definedName hidden="1" localSheetId="12" name="_xlnm._FilterDatabase">'2025-05-05'!$A$4:$E$27</definedName>
    <definedName hidden="1" localSheetId="13" name="_xlnm._FilterDatabase">'2025-06-09'!$A$4:$E$27</definedName>
    <definedName hidden="1" localSheetId="14" name="_xlnm._FilterDatabase">'2025-07-05'!$A$4:$E$27</definedName>
    <definedName hidden="1" localSheetId="15" name="_xlnm._FilterDatabase">'2025-08-06'!$A$4:$E$27</definedName>
    <definedName hidden="1" localSheetId="16" name="_xlnm._FilterDatabase">'2025-09-05'!$A$4:$E$27</definedName>
    <definedName hidden="1" localSheetId="17" name="_xlnm._FilterDatabase">'2025-10-12'!$A$4:$E$27</definedName>
    <definedName hidden="1" localSheetId="18" name="_xlnm._FilterDatabase">'2025-11-07'!$A$4:$E$27</definedName>
    <definedName hidden="1" localSheetId="19" name="_xlnm._FilterDatabase">'2025-12-07'!$A$4:$E$27</definedName>
    <definedName hidden="1" localSheetId="20" name="_xlnm._FilterDatabase">'2026-01-12'!$A$4:$E$27</definedName>
    <definedName hidden="1" localSheetId="21" name="_xlnm._FilterDatabase">'2026-02-11'!$A$4:$E$27</definedName>
    <definedName hidden="1" localSheetId="22" name="_xlnm._FilterDatabase">'2026-03-12'!$A$4:$E$27</definedName>
    <definedName hidden="1" localSheetId="23" name="_xlnm._FilterDatabase">'2026-04-06'!$A$4:$E$27</definedName>
    <definedName hidden="1" localSheetId="24" name="_xlnm._FilterDatabase">'2026-05-11'!$A$4:$E$27</definedName>
    <definedName hidden="1" localSheetId="25" name="_xlnm._FilterDatabase">'2026-06-07'!$A$4:$E$27</definedName>
    <definedName hidden="1" localSheetId="26" name="_xlnm._FilterDatabase">'2026-07-05'!$A$4:$E$27</definedName>
  </definedNames>
  <calcPr/>
</workbook>
</file>

<file path=xl/sharedStrings.xml><?xml version="1.0" encoding="utf-8"?>
<sst xmlns="http://schemas.openxmlformats.org/spreadsheetml/2006/main" count="2332" uniqueCount="49">
  <si>
    <t>Casa</t>
  </si>
  <si>
    <t>Inmueble</t>
  </si>
  <si>
    <t>Hereditas</t>
  </si>
  <si>
    <t>RF</t>
  </si>
  <si>
    <t>PP</t>
  </si>
  <si>
    <t>PIAS</t>
  </si>
  <si>
    <t>Crypto</t>
  </si>
  <si>
    <t>CASH</t>
  </si>
  <si>
    <t>Total</t>
  </si>
  <si>
    <t>Date</t>
  </si>
  <si>
    <t>Tipo Activo</t>
  </si>
  <si>
    <t>Activo</t>
  </si>
  <si>
    <t>Cantidad</t>
  </si>
  <si>
    <t>NAV</t>
  </si>
  <si>
    <t>Broker</t>
  </si>
  <si>
    <t>BBVA</t>
  </si>
  <si>
    <t>IAG</t>
  </si>
  <si>
    <t>TUB</t>
  </si>
  <si>
    <t>Plan Pensiones</t>
  </si>
  <si>
    <t>NN</t>
  </si>
  <si>
    <t xml:space="preserve">Fondos </t>
  </si>
  <si>
    <t>BKT</t>
  </si>
  <si>
    <t>EARN</t>
  </si>
  <si>
    <t>Metamask</t>
  </si>
  <si>
    <t>WANA</t>
  </si>
  <si>
    <t>AXIE</t>
  </si>
  <si>
    <t>Cta Remunerada 0.2%</t>
  </si>
  <si>
    <t>Cta Remunerada 5%</t>
  </si>
  <si>
    <t>3C</t>
  </si>
  <si>
    <t>Grifols</t>
  </si>
  <si>
    <t>Comun</t>
  </si>
  <si>
    <t>Antonio</t>
  </si>
  <si>
    <t>AQ</t>
  </si>
  <si>
    <t>SIALP</t>
  </si>
  <si>
    <t>SAN</t>
  </si>
  <si>
    <t>ING</t>
  </si>
  <si>
    <t>RuralVia</t>
  </si>
  <si>
    <t>El dinero que tenemos en efectivo no se puede urtilizar para e4sto</t>
  </si>
  <si>
    <t xml:space="preserve">Opcion 1: </t>
  </si>
  <si>
    <t>Amortizar</t>
  </si>
  <si>
    <t>Cuanto tenemos que devolver de los prestamos</t>
  </si>
  <si>
    <t>Devuelve</t>
  </si>
  <si>
    <t>Prestamo que vamos a pedir</t>
  </si>
  <si>
    <t>OHLA</t>
  </si>
  <si>
    <t>My Investor</t>
  </si>
  <si>
    <t xml:space="preserve"> </t>
  </si>
  <si>
    <t>3C + AB</t>
  </si>
  <si>
    <t>NFLX</t>
  </si>
  <si>
    <t>ORCL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</si>
</sst>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"/>
    <numFmt numFmtId="165" formatCode="yyyy-mm"/>
    <numFmt numFmtId="166" formatCode="yyyy-mm-dd"/>
    <numFmt numFmtId="167" formatCode="[$€]#,##0.00"/>
    <numFmt numFmtId="168" formatCode="0.000%"/>
    <numFmt numFmtId="169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7" xfId="0" applyFont="1" applyNumberFormat="1"/>
    <xf borderId="0" fillId="0" fontId="1" numFmtId="0" xfId="0" applyAlignment="1" applyFont="1">
      <alignment readingOrder="0"/>
    </xf>
    <xf borderId="0" fillId="0" fontId="1" numFmtId="10" xfId="0" applyFont="1" applyNumberFormat="1"/>
    <xf borderId="0" fillId="0" fontId="1" numFmtId="166" xfId="0" applyFont="1" applyNumberFormat="1"/>
    <xf borderId="0" fillId="0" fontId="1" numFmtId="0" xfId="0" applyFont="1"/>
    <xf borderId="0" fillId="0" fontId="1" numFmtId="4" xfId="0" applyFont="1" applyNumberFormat="1"/>
    <xf borderId="0" fillId="0" fontId="1" numFmtId="168" xfId="0" applyFont="1" applyNumberFormat="1"/>
    <xf borderId="0" fillId="0" fontId="1" numFmtId="169" xfId="0" applyFont="1" applyNumberFormat="1"/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2" fontId="1" numFmtId="0" xfId="0" applyFont="1"/>
    <xf borderId="0" fillId="4" fontId="1" numFmtId="0" xfId="0" applyFont="1"/>
    <xf borderId="0" fillId="5" fontId="1" numFmtId="4" xfId="0" applyFill="1" applyFont="1" applyNumberFormat="1"/>
    <xf borderId="0" fillId="2" fontId="1" numFmtId="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6" fontId="1" numFmtId="4" xfId="0" applyAlignment="1" applyFill="1" applyFont="1" applyNumberFormat="1">
      <alignment readingOrder="0"/>
    </xf>
    <xf borderId="0" fillId="3" fontId="1" numFmtId="4" xfId="0" applyAlignment="1" applyFont="1" applyNumberFormat="1">
      <alignment readingOrder="0"/>
    </xf>
    <xf borderId="0" fillId="3" fontId="1" numFmtId="4" xfId="0" applyFont="1" applyNumberFormat="1"/>
    <xf borderId="0" fillId="7" fontId="1" numFmtId="4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Patrimonio ARS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Resumen!$B$3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Resumen!$C$2:$AO$2</c:f>
            </c:strRef>
          </c:cat>
          <c:val>
            <c:numRef>
              <c:f>Resumen!$C$3:$AO$3</c:f>
              <c:numCache/>
            </c:numRef>
          </c:val>
        </c:ser>
        <c:ser>
          <c:idx val="1"/>
          <c:order val="1"/>
          <c:tx>
            <c:strRef>
              <c:f>Resumen!$B$4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Resumen!$C$2:$AO$2</c:f>
            </c:strRef>
          </c:cat>
          <c:val>
            <c:numRef>
              <c:f>Resumen!$C$4:$AO$4</c:f>
              <c:numCache/>
            </c:numRef>
          </c:val>
        </c:ser>
        <c:ser>
          <c:idx val="2"/>
          <c:order val="2"/>
          <c:tx>
            <c:strRef>
              <c:f>Resumen!$B$5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Resumen!$C$2:$AO$2</c:f>
            </c:strRef>
          </c:cat>
          <c:val>
            <c:numRef>
              <c:f>Resumen!$C$5:$AO$5</c:f>
              <c:numCache/>
            </c:numRef>
          </c:val>
        </c:ser>
        <c:ser>
          <c:idx val="3"/>
          <c:order val="3"/>
          <c:tx>
            <c:strRef>
              <c:f>Resumen!$B$6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Resumen!$C$2:$AO$2</c:f>
            </c:strRef>
          </c:cat>
          <c:val>
            <c:numRef>
              <c:f>Resumen!$C$6:$AO$6</c:f>
              <c:numCache/>
            </c:numRef>
          </c:val>
        </c:ser>
        <c:ser>
          <c:idx val="4"/>
          <c:order val="4"/>
          <c:tx>
            <c:strRef>
              <c:f>Resumen!$B$7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Resumen!$C$2:$AO$2</c:f>
            </c:strRef>
          </c:cat>
          <c:val>
            <c:numRef>
              <c:f>Resumen!$C$7:$AO$7</c:f>
              <c:numCache/>
            </c:numRef>
          </c:val>
        </c:ser>
        <c:ser>
          <c:idx val="5"/>
          <c:order val="5"/>
          <c:tx>
            <c:strRef>
              <c:f>Resumen!$B$8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Resumen!$C$2:$AO$2</c:f>
            </c:strRef>
          </c:cat>
          <c:val>
            <c:numRef>
              <c:f>Resumen!$C$8:$AO$8</c:f>
              <c:numCache/>
            </c:numRef>
          </c:val>
        </c:ser>
        <c:ser>
          <c:idx val="6"/>
          <c:order val="6"/>
          <c:tx>
            <c:strRef>
              <c:f>Resumen!$B$9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Resumen!$C$2:$AO$2</c:f>
            </c:strRef>
          </c:cat>
          <c:val>
            <c:numRef>
              <c:f>Resumen!$C$9:$AO$9</c:f>
              <c:numCache/>
            </c:numRef>
          </c:val>
        </c:ser>
        <c:ser>
          <c:idx val="7"/>
          <c:order val="7"/>
          <c:tx>
            <c:strRef>
              <c:f>Resumen!$B$10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Resumen!$C$2:$AO$2</c:f>
            </c:strRef>
          </c:cat>
          <c:val>
            <c:numRef>
              <c:f>Resumen!$C$10:$AO$10</c:f>
              <c:numCache/>
            </c:numRef>
          </c:val>
        </c:ser>
        <c:overlap val="100"/>
        <c:axId val="25092186"/>
        <c:axId val="2002917458"/>
      </c:barChart>
      <c:catAx>
        <c:axId val="25092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2917458"/>
      </c:catAx>
      <c:valAx>
        <c:axId val="2002917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0921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Percentage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Resumen!$B$17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Resumen!$C$17:$AO$17</c:f>
              <c:numCache/>
            </c:numRef>
          </c:val>
          <c:smooth val="0"/>
        </c:ser>
        <c:ser>
          <c:idx val="1"/>
          <c:order val="1"/>
          <c:tx>
            <c:strRef>
              <c:f>Resumen!$B$18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Resumen!$C$18:$AO$18</c:f>
              <c:numCache/>
            </c:numRef>
          </c:val>
          <c:smooth val="0"/>
        </c:ser>
        <c:ser>
          <c:idx val="2"/>
          <c:order val="2"/>
          <c:tx>
            <c:strRef>
              <c:f>Resumen!$B$19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Resumen!$C$19:$AO$19</c:f>
              <c:numCache/>
            </c:numRef>
          </c:val>
          <c:smooth val="0"/>
        </c:ser>
        <c:ser>
          <c:idx val="3"/>
          <c:order val="3"/>
          <c:tx>
            <c:strRef>
              <c:f>Resumen!$B$20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Resumen!$C$20:$AO$20</c:f>
              <c:numCache/>
            </c:numRef>
          </c:val>
          <c:smooth val="0"/>
        </c:ser>
        <c:ser>
          <c:idx val="4"/>
          <c:order val="4"/>
          <c:tx>
            <c:strRef>
              <c:f>Resumen!$B$21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Resumen!$C$21:$AO$21</c:f>
              <c:numCache/>
            </c:numRef>
          </c:val>
          <c:smooth val="0"/>
        </c:ser>
        <c:ser>
          <c:idx val="5"/>
          <c:order val="5"/>
          <c:tx>
            <c:strRef>
              <c:f>Resumen!$B$22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Resumen!$C$22:$AO$22</c:f>
              <c:numCache/>
            </c:numRef>
          </c:val>
          <c:smooth val="0"/>
        </c:ser>
        <c:ser>
          <c:idx val="6"/>
          <c:order val="6"/>
          <c:tx>
            <c:strRef>
              <c:f>Resumen!$B$23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val>
            <c:numRef>
              <c:f>Resumen!$C$23:$AO$23</c:f>
              <c:numCache/>
            </c:numRef>
          </c:val>
          <c:smooth val="0"/>
        </c:ser>
        <c:ser>
          <c:idx val="7"/>
          <c:order val="7"/>
          <c:tx>
            <c:strRef>
              <c:f>Resumen!$B$24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val>
            <c:numRef>
              <c:f>Resumen!$C$24:$AO$24</c:f>
              <c:numCache/>
            </c:numRef>
          </c:val>
          <c:smooth val="0"/>
        </c:ser>
        <c:axId val="1864220758"/>
        <c:axId val="358165621"/>
      </c:lineChart>
      <c:catAx>
        <c:axId val="1864220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8165621"/>
      </c:catAx>
      <c:valAx>
        <c:axId val="3581656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4220758"/>
      </c:valAx>
      <c:lineChart>
        <c:varyColors val="0"/>
        <c:ser>
          <c:idx val="8"/>
          <c:order val="8"/>
          <c:tx>
            <c:strRef>
              <c:f>Resumen!$B$25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Resumen!$C$25:$AO$25</c:f>
              <c:numCache/>
            </c:numRef>
          </c:val>
          <c:smooth val="0"/>
        </c:ser>
        <c:axId val="1710791898"/>
        <c:axId val="1369034163"/>
      </c:lineChart>
      <c:catAx>
        <c:axId val="171079189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9034163"/>
      </c:catAx>
      <c:valAx>
        <c:axId val="136903416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079189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Patrimonio ARS</a:t>
            </a:r>
          </a:p>
        </c:rich>
      </c:tx>
      <c:overlay val="0"/>
    </c:title>
    <c:plotArea>
      <c:layout>
        <c:manualLayout>
          <c:xMode val="edge"/>
          <c:yMode val="edge"/>
          <c:x val="0.1103519889465066"/>
          <c:y val="0.281305114638448"/>
          <c:w val="0.7253467010098252"/>
          <c:h val="0.6369488536155202"/>
        </c:manualLayout>
      </c:layout>
      <c:barChart>
        <c:barDir val="col"/>
        <c:grouping val="stacked"/>
        <c:ser>
          <c:idx val="0"/>
          <c:order val="0"/>
          <c:tx>
            <c:strRef>
              <c:f>Resumen!$B$3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Resumen!$C$2:$AO$2</c:f>
            </c:strRef>
          </c:cat>
          <c:val>
            <c:numRef>
              <c:f>Resumen!$C$3:$AO$3</c:f>
              <c:numCache/>
            </c:numRef>
          </c:val>
        </c:ser>
        <c:ser>
          <c:idx val="1"/>
          <c:order val="1"/>
          <c:tx>
            <c:strRef>
              <c:f>Resumen!$B$4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Resumen!$C$2:$AO$2</c:f>
            </c:strRef>
          </c:cat>
          <c:val>
            <c:numRef>
              <c:f>Resumen!$C$4:$AO$4</c:f>
              <c:numCache/>
            </c:numRef>
          </c:val>
        </c:ser>
        <c:ser>
          <c:idx val="2"/>
          <c:order val="2"/>
          <c:tx>
            <c:strRef>
              <c:f>Resumen!$B$5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Resumen!$C$2:$AO$2</c:f>
            </c:strRef>
          </c:cat>
          <c:val>
            <c:numRef>
              <c:f>Resumen!$C$5:$AO$5</c:f>
              <c:numCache/>
            </c:numRef>
          </c:val>
        </c:ser>
        <c:ser>
          <c:idx val="3"/>
          <c:order val="3"/>
          <c:tx>
            <c:strRef>
              <c:f>Resumen!$B$6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Resumen!$C$2:$AO$2</c:f>
            </c:strRef>
          </c:cat>
          <c:val>
            <c:numRef>
              <c:f>Resumen!$C$6:$AO$6</c:f>
              <c:numCache/>
            </c:numRef>
          </c:val>
        </c:ser>
        <c:ser>
          <c:idx val="4"/>
          <c:order val="4"/>
          <c:tx>
            <c:strRef>
              <c:f>Resumen!$B$7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Resumen!$C$2:$AO$2</c:f>
            </c:strRef>
          </c:cat>
          <c:val>
            <c:numRef>
              <c:f>Resumen!$C$7:$AO$7</c:f>
              <c:numCache/>
            </c:numRef>
          </c:val>
        </c:ser>
        <c:ser>
          <c:idx val="5"/>
          <c:order val="5"/>
          <c:tx>
            <c:strRef>
              <c:f>Resumen!$B$8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Resumen!$C$2:$AO$2</c:f>
            </c:strRef>
          </c:cat>
          <c:val>
            <c:numRef>
              <c:f>Resumen!$C$8:$AO$8</c:f>
              <c:numCache/>
            </c:numRef>
          </c:val>
        </c:ser>
        <c:ser>
          <c:idx val="6"/>
          <c:order val="6"/>
          <c:tx>
            <c:strRef>
              <c:f>Resumen!$B$9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Resumen!$C$2:$AO$2</c:f>
            </c:strRef>
          </c:cat>
          <c:val>
            <c:numRef>
              <c:f>Resumen!$C$9:$AO$9</c:f>
              <c:numCache/>
            </c:numRef>
          </c:val>
        </c:ser>
        <c:ser>
          <c:idx val="7"/>
          <c:order val="7"/>
          <c:tx>
            <c:strRef>
              <c:f>Resumen!$B$10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Resumen!$C$2:$AO$2</c:f>
            </c:strRef>
          </c:cat>
          <c:val>
            <c:numRef>
              <c:f>Resumen!$C$10:$AO$10</c:f>
              <c:numCache/>
            </c:numRef>
          </c:val>
        </c:ser>
        <c:overlap val="100"/>
        <c:axId val="1951010964"/>
        <c:axId val="1586412486"/>
      </c:barChart>
      <c:catAx>
        <c:axId val="19510109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412486"/>
      </c:catAx>
      <c:valAx>
        <c:axId val="15864124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1010964"/>
      </c:valAx>
      <c:lineChart>
        <c:varyColors val="0"/>
        <c:ser>
          <c:idx val="8"/>
          <c:order val="8"/>
          <c:tx>
            <c:strRef>
              <c:f>Resumen!$B$25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dPt>
            <c:idx val="4"/>
            <c:marker>
              <c:symbol val="none"/>
            </c:marker>
          </c:dPt>
          <c:dLbls>
            <c:numFmt formatCode="0.00%" sourceLinked="0"/>
            <c:txPr>
              <a:bodyPr/>
              <a:lstStyle/>
              <a:p>
                <a:pPr lvl="0">
                  <a:defRPr>
                    <a:solidFill>
                      <a:srgbClr val="434343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Resumen!$C$2:$AO$2</c:f>
            </c:strRef>
          </c:cat>
          <c:val>
            <c:numRef>
              <c:f>Resumen!$C$25:$AO$25</c:f>
              <c:numCache/>
            </c:numRef>
          </c:val>
          <c:smooth val="0"/>
        </c:ser>
        <c:axId val="2056584311"/>
        <c:axId val="100521469"/>
      </c:lineChart>
      <c:catAx>
        <c:axId val="20565843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21469"/>
      </c:catAx>
      <c:valAx>
        <c:axId val="100521469"/>
        <c:scaling>
          <c:orientation val="minMax"/>
          <c:max val="2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658431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Chart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Relationship Id="rId2" Type="http://schemas.openxmlformats.org/officeDocument/2006/relationships/image" Target="../media/Chart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8.png"/><Relationship Id="rId2" Type="http://schemas.openxmlformats.org/officeDocument/2006/relationships/image" Target="../media/Chart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0.png"/><Relationship Id="rId2" Type="http://schemas.openxmlformats.org/officeDocument/2006/relationships/image" Target="../media/Chart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12.png"/><Relationship Id="rId2" Type="http://schemas.openxmlformats.org/officeDocument/2006/relationships/image" Target="../media/Chart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4.png"/><Relationship Id="rId2" Type="http://schemas.openxmlformats.org/officeDocument/2006/relationships/image" Target="../media/Chart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16.png"/><Relationship Id="rId2" Type="http://schemas.openxmlformats.org/officeDocument/2006/relationships/image" Target="../media/Chart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18.png"/><Relationship Id="rId2" Type="http://schemas.openxmlformats.org/officeDocument/2006/relationships/image" Target="../media/Chart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20.png"/><Relationship Id="rId2" Type="http://schemas.openxmlformats.org/officeDocument/2006/relationships/image" Target="../media/Chart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22.png"/><Relationship Id="rId2" Type="http://schemas.openxmlformats.org/officeDocument/2006/relationships/image" Target="../media/Chart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24.png"/><Relationship Id="rId2" Type="http://schemas.openxmlformats.org/officeDocument/2006/relationships/image" Target="../media/Chart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26.png"/><Relationship Id="rId2" Type="http://schemas.openxmlformats.org/officeDocument/2006/relationships/image" Target="../media/Chart2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Chart28.png"/><Relationship Id="rId2" Type="http://schemas.openxmlformats.org/officeDocument/2006/relationships/image" Target="../media/Chart2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Chart30.png"/><Relationship Id="rId2" Type="http://schemas.openxmlformats.org/officeDocument/2006/relationships/image" Target="../media/Chart3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Chart32.png"/><Relationship Id="rId2" Type="http://schemas.openxmlformats.org/officeDocument/2006/relationships/image" Target="../media/Chart3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Chart34.png"/><Relationship Id="rId2" Type="http://schemas.openxmlformats.org/officeDocument/2006/relationships/image" Target="../media/Chart3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Chart36.png"/><Relationship Id="rId2" Type="http://schemas.openxmlformats.org/officeDocument/2006/relationships/image" Target="../media/Chart3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Chart38.png"/><Relationship Id="rId2" Type="http://schemas.openxmlformats.org/officeDocument/2006/relationships/image" Target="../media/Chart3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Chart40.png"/><Relationship Id="rId2" Type="http://schemas.openxmlformats.org/officeDocument/2006/relationships/image" Target="../media/Chart4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Chart42.png"/><Relationship Id="rId2" Type="http://schemas.openxmlformats.org/officeDocument/2006/relationships/image" Target="../media/Chart4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Chart44.png"/><Relationship Id="rId2" Type="http://schemas.openxmlformats.org/officeDocument/2006/relationships/image" Target="../media/Chart4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Chart46.png"/><Relationship Id="rId2" Type="http://schemas.openxmlformats.org/officeDocument/2006/relationships/image" Target="../media/Chart4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Chart48.png"/><Relationship Id="rId2" Type="http://schemas.openxmlformats.org/officeDocument/2006/relationships/image" Target="../media/Chart4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Chart50.png"/><Relationship Id="rId2" Type="http://schemas.openxmlformats.org/officeDocument/2006/relationships/image" Target="../media/Chart5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Chart52.png"/><Relationship Id="rId2" Type="http://schemas.openxmlformats.org/officeDocument/2006/relationships/image" Target="../media/Chart5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Chart54.png"/><Relationship Id="rId2" Type="http://schemas.openxmlformats.org/officeDocument/2006/relationships/image" Target="../media/Chart5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247650</xdr:colOff>
      <xdr:row>27</xdr:row>
      <xdr:rowOff>66675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27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123825</xdr:colOff>
      <xdr:row>26</xdr:row>
      <xdr:rowOff>104775</xdr:rowOff>
    </xdr:from>
    <xdr:ext cx="9391650" cy="54006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</xdr:colOff>
      <xdr:row>1</xdr:row>
      <xdr:rowOff>9525</xdr:rowOff>
    </xdr:from>
    <xdr:ext cx="5143500" cy="3181350"/>
    <xdr:pic>
      <xdr:nvPicPr>
        <xdr:cNvPr id="2105510683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17</xdr:row>
      <xdr:rowOff>123825</xdr:rowOff>
    </xdr:from>
    <xdr:ext cx="5143500" cy="3181350"/>
    <xdr:pic>
      <xdr:nvPicPr>
        <xdr:cNvPr id="1159601821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</xdr:colOff>
      <xdr:row>1</xdr:row>
      <xdr:rowOff>9525</xdr:rowOff>
    </xdr:from>
    <xdr:ext cx="5143500" cy="3181350"/>
    <xdr:pic>
      <xdr:nvPicPr>
        <xdr:cNvPr id="1004946095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18</xdr:row>
      <xdr:rowOff>9525</xdr:rowOff>
    </xdr:from>
    <xdr:ext cx="5143500" cy="3181350"/>
    <xdr:pic>
      <xdr:nvPicPr>
        <xdr:cNvPr id="142010913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608547767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22</xdr:row>
      <xdr:rowOff>9525</xdr:rowOff>
    </xdr:from>
    <xdr:ext cx="5143500" cy="3181350"/>
    <xdr:pic>
      <xdr:nvPicPr>
        <xdr:cNvPr id="796094887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666689878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23</xdr:row>
      <xdr:rowOff>9525</xdr:rowOff>
    </xdr:from>
    <xdr:ext cx="5143500" cy="3181350"/>
    <xdr:pic>
      <xdr:nvPicPr>
        <xdr:cNvPr id="1531179947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34075105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23</xdr:row>
      <xdr:rowOff>9525</xdr:rowOff>
    </xdr:from>
    <xdr:ext cx="5143500" cy="3181350"/>
    <xdr:pic>
      <xdr:nvPicPr>
        <xdr:cNvPr id="369647090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2099388683" name="Chart1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23</xdr:row>
      <xdr:rowOff>9525</xdr:rowOff>
    </xdr:from>
    <xdr:ext cx="5143500" cy="3181350"/>
    <xdr:pic>
      <xdr:nvPicPr>
        <xdr:cNvPr id="553789973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73533092" name="Chart1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23</xdr:row>
      <xdr:rowOff>9525</xdr:rowOff>
    </xdr:from>
    <xdr:ext cx="5143500" cy="3181350"/>
    <xdr:pic>
      <xdr:nvPicPr>
        <xdr:cNvPr id="1173664646" name="Chart1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981426764" name="Chart1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24</xdr:row>
      <xdr:rowOff>9525</xdr:rowOff>
    </xdr:from>
    <xdr:ext cx="5143500" cy="3181350"/>
    <xdr:pic>
      <xdr:nvPicPr>
        <xdr:cNvPr id="922532578" name="Chart1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871948324" name="Chart2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24</xdr:row>
      <xdr:rowOff>9525</xdr:rowOff>
    </xdr:from>
    <xdr:ext cx="5143500" cy="3181350"/>
    <xdr:pic>
      <xdr:nvPicPr>
        <xdr:cNvPr id="1747704805" name="Chart2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069413334" name="Chart2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24</xdr:row>
      <xdr:rowOff>9525</xdr:rowOff>
    </xdr:from>
    <xdr:ext cx="5143500" cy="3181350"/>
    <xdr:pic>
      <xdr:nvPicPr>
        <xdr:cNvPr id="1695062413" name="Chart2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388726326" name="Chart2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24</xdr:row>
      <xdr:rowOff>9525</xdr:rowOff>
    </xdr:from>
    <xdr:ext cx="5143500" cy="3181350"/>
    <xdr:pic>
      <xdr:nvPicPr>
        <xdr:cNvPr id="1282909875" name="Chart2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560678588" name="Chart2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24</xdr:row>
      <xdr:rowOff>9525</xdr:rowOff>
    </xdr:from>
    <xdr:ext cx="5143500" cy="3181350"/>
    <xdr:pic>
      <xdr:nvPicPr>
        <xdr:cNvPr id="1265952528" name="Chart2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28575</xdr:colOff>
      <xdr:row>0</xdr:row>
      <xdr:rowOff>171450</xdr:rowOff>
    </xdr:from>
    <xdr:ext cx="5143500" cy="3181350"/>
    <xdr:pic>
      <xdr:nvPicPr>
        <xdr:cNvPr id="731235817" name="Chart2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800100</xdr:colOff>
      <xdr:row>21</xdr:row>
      <xdr:rowOff>171450</xdr:rowOff>
    </xdr:from>
    <xdr:ext cx="5143500" cy="3181350"/>
    <xdr:pic>
      <xdr:nvPicPr>
        <xdr:cNvPr id="1427226316" name="Chart2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066094843" name="Chart3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24</xdr:row>
      <xdr:rowOff>9525</xdr:rowOff>
    </xdr:from>
    <xdr:ext cx="5143500" cy="3181350"/>
    <xdr:pic>
      <xdr:nvPicPr>
        <xdr:cNvPr id="431329239" name="Chart3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381877468" name="Chart3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24</xdr:row>
      <xdr:rowOff>9525</xdr:rowOff>
    </xdr:from>
    <xdr:ext cx="5143500" cy="3181350"/>
    <xdr:pic>
      <xdr:nvPicPr>
        <xdr:cNvPr id="153291240" name="Chart3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435135226" name="Chart3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29</xdr:row>
      <xdr:rowOff>9525</xdr:rowOff>
    </xdr:from>
    <xdr:ext cx="5334000" cy="3181350"/>
    <xdr:pic>
      <xdr:nvPicPr>
        <xdr:cNvPr id="1351332079" name="Chart3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365362119" name="Chart3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29</xdr:row>
      <xdr:rowOff>9525</xdr:rowOff>
    </xdr:from>
    <xdr:ext cx="5334000" cy="3181350"/>
    <xdr:pic>
      <xdr:nvPicPr>
        <xdr:cNvPr id="2133537064" name="Chart3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042111179" name="Chart3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29</xdr:row>
      <xdr:rowOff>9525</xdr:rowOff>
    </xdr:from>
    <xdr:ext cx="5334000" cy="3181350"/>
    <xdr:pic>
      <xdr:nvPicPr>
        <xdr:cNvPr id="2098955207" name="Chart3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808654672" name="Chart4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29</xdr:row>
      <xdr:rowOff>9525</xdr:rowOff>
    </xdr:from>
    <xdr:ext cx="5334000" cy="3181350"/>
    <xdr:pic>
      <xdr:nvPicPr>
        <xdr:cNvPr id="2024857388" name="Chart4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524652856" name="Chart4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29</xdr:row>
      <xdr:rowOff>9525</xdr:rowOff>
    </xdr:from>
    <xdr:ext cx="5334000" cy="3181350"/>
    <xdr:pic>
      <xdr:nvPicPr>
        <xdr:cNvPr id="784685323" name="Chart4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2072201754" name="Chart4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29</xdr:row>
      <xdr:rowOff>9525</xdr:rowOff>
    </xdr:from>
    <xdr:ext cx="5334000" cy="3181350"/>
    <xdr:pic>
      <xdr:nvPicPr>
        <xdr:cNvPr id="747291152" name="Chart4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135157613" name="Chart4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29</xdr:row>
      <xdr:rowOff>9525</xdr:rowOff>
    </xdr:from>
    <xdr:ext cx="5334000" cy="3181350"/>
    <xdr:pic>
      <xdr:nvPicPr>
        <xdr:cNvPr id="1261711814" name="Chart4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835118017" name="Chart4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29</xdr:row>
      <xdr:rowOff>9525</xdr:rowOff>
    </xdr:from>
    <xdr:ext cx="5334000" cy="3181350"/>
    <xdr:pic>
      <xdr:nvPicPr>
        <xdr:cNvPr id="862640784" name="Chart4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330046997" name="Chart5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29</xdr:row>
      <xdr:rowOff>9525</xdr:rowOff>
    </xdr:from>
    <xdr:ext cx="5334000" cy="3181350"/>
    <xdr:pic>
      <xdr:nvPicPr>
        <xdr:cNvPr id="2021925330" name="Chart5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2095534438" name="Chart5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29</xdr:row>
      <xdr:rowOff>9525</xdr:rowOff>
    </xdr:from>
    <xdr:ext cx="5334000" cy="3181350"/>
    <xdr:pic>
      <xdr:nvPicPr>
        <xdr:cNvPr id="1403183225" name="Chart5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708567115" name="Chart5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29</xdr:row>
      <xdr:rowOff>9525</xdr:rowOff>
    </xdr:from>
    <xdr:ext cx="5334000" cy="3181350"/>
    <xdr:pic>
      <xdr:nvPicPr>
        <xdr:cNvPr id="519281360" name="Chart5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1">
        <v>44531.0</v>
      </c>
      <c r="D2" s="1">
        <v>45200.0</v>
      </c>
      <c r="E2" s="2">
        <v>45444.0</v>
      </c>
      <c r="F2" s="3">
        <v>45510.0</v>
      </c>
      <c r="G2" s="3">
        <v>45538.0</v>
      </c>
      <c r="H2" s="3">
        <v>45573.0</v>
      </c>
      <c r="I2" s="3">
        <v>45630.0</v>
      </c>
      <c r="J2" s="3">
        <v>45663.0</v>
      </c>
      <c r="K2" s="3">
        <v>45694.0</v>
      </c>
      <c r="L2" s="3">
        <v>45722.0</v>
      </c>
      <c r="M2" s="3">
        <v>45760.0</v>
      </c>
      <c r="N2" s="3">
        <v>45782.0</v>
      </c>
      <c r="O2" s="3">
        <v>45817.0</v>
      </c>
      <c r="P2" s="3">
        <v>45843.0</v>
      </c>
      <c r="Q2" s="3">
        <v>45875.0</v>
      </c>
      <c r="R2" s="3">
        <v>45905.0</v>
      </c>
      <c r="S2" s="3">
        <v>45942.0</v>
      </c>
      <c r="T2" s="3">
        <v>45968.0</v>
      </c>
      <c r="U2" s="3">
        <v>45998.0</v>
      </c>
      <c r="V2" s="3">
        <v>46034.0</v>
      </c>
      <c r="W2" s="3">
        <v>46064.0</v>
      </c>
      <c r="X2" s="3">
        <v>46093.0</v>
      </c>
      <c r="Y2" s="3">
        <v>46118.0</v>
      </c>
      <c r="Z2" s="3">
        <v>46153.0</v>
      </c>
      <c r="AA2" s="3">
        <v>46180.0</v>
      </c>
      <c r="AB2" s="3">
        <v>46208.0</v>
      </c>
    </row>
    <row r="3">
      <c r="B3" s="4" t="s">
        <v>0</v>
      </c>
      <c r="C3" s="5">
        <f>IFERROR( VLOOKUP(B3,'2021-12'!$C$28:$D$33,2,0),0)</f>
        <v>15000</v>
      </c>
      <c r="D3" s="5">
        <f>iferror(VLOOKUP(B3,'2023-10'!$C$32:$D$38,2,0),0)</f>
        <v>28843</v>
      </c>
      <c r="E3" s="5">
        <f>iferror(VLOOKUP(B3,'2024-06-13'!$C$36:$D$42,2,0),0)</f>
        <v>31007.45</v>
      </c>
      <c r="F3" s="5">
        <f>iferror(VLOOKUP(B3,'2024-08-06'!$C$39:$D$45,2,0),0)</f>
        <v>31525.18</v>
      </c>
      <c r="G3" s="5">
        <f t="shared" ref="G3:AB3" si="1">iferror(VLOOKUP($B3,Indirect(text(G$2,"yyyy-MM-dd")&amp;"!$C$38:$D$46",TRUE),2,0),0)</f>
        <v>31785.41</v>
      </c>
      <c r="H3" s="5">
        <f t="shared" si="1"/>
        <v>32046.55</v>
      </c>
      <c r="I3" s="5">
        <f t="shared" si="1"/>
        <v>32608.74</v>
      </c>
      <c r="J3" s="5">
        <f t="shared" si="1"/>
        <v>34313.56</v>
      </c>
      <c r="K3" s="5">
        <f t="shared" si="1"/>
        <v>34619.23</v>
      </c>
      <c r="L3" s="5">
        <f t="shared" si="1"/>
        <v>34925.74</v>
      </c>
      <c r="M3" s="5">
        <f t="shared" si="1"/>
        <v>35233.1</v>
      </c>
      <c r="N3" s="5">
        <f t="shared" si="1"/>
        <v>35541.31</v>
      </c>
      <c r="O3" s="5">
        <f t="shared" si="1"/>
        <v>35850.37</v>
      </c>
      <c r="P3" s="5">
        <f t="shared" si="1"/>
        <v>36160.28</v>
      </c>
      <c r="Q3" s="5">
        <f t="shared" si="1"/>
        <v>36471.05</v>
      </c>
      <c r="R3" s="5">
        <f t="shared" si="1"/>
        <v>36782.68</v>
      </c>
      <c r="S3" s="5">
        <f t="shared" si="1"/>
        <v>37095.17</v>
      </c>
      <c r="T3" s="5">
        <f t="shared" si="1"/>
        <v>37408.52</v>
      </c>
      <c r="U3" s="5">
        <f t="shared" si="1"/>
        <v>37768.61</v>
      </c>
      <c r="V3" s="5">
        <f t="shared" si="1"/>
        <v>38129.38</v>
      </c>
      <c r="W3" s="5">
        <f t="shared" si="1"/>
        <v>38490.83</v>
      </c>
      <c r="X3" s="5">
        <f t="shared" si="1"/>
        <v>48852.96</v>
      </c>
      <c r="Y3" s="5">
        <f t="shared" si="1"/>
        <v>49215.78</v>
      </c>
      <c r="Z3" s="5">
        <f t="shared" si="1"/>
        <v>49579.28</v>
      </c>
      <c r="AA3" s="5">
        <f t="shared" si="1"/>
        <v>39943.47</v>
      </c>
      <c r="AB3" s="5">
        <f t="shared" si="1"/>
        <v>40308.34</v>
      </c>
    </row>
    <row r="4">
      <c r="B4" s="4" t="s">
        <v>1</v>
      </c>
      <c r="C4" s="5">
        <f>IFERROR( VLOOKUP(B4,'2021-12'!$C$28:$D$33,2,0),0)</f>
        <v>0</v>
      </c>
      <c r="D4" s="5">
        <f>iferror(VLOOKUP(B4,'2023-10'!$C$32:$D$38,2,0),0)</f>
        <v>19071.5</v>
      </c>
      <c r="E4" s="5">
        <f>iferror(VLOOKUP(B4,'2024-06-13'!$C$36:$D$42,2,0),0)</f>
        <v>20000</v>
      </c>
      <c r="F4" s="5">
        <f>iferror(VLOOKUP(B4,'2024-08-06'!$C$39:$D$45,2,0),0)</f>
        <v>20000</v>
      </c>
      <c r="G4" s="5">
        <f t="shared" ref="G4:AB4" si="2">iferror(VLOOKUP($B4,Indirect(text(G$2,"yyyy-MM-dd")&amp;"!$C$38:$D$46",TRUE),2,0),0)</f>
        <v>20234.315</v>
      </c>
      <c r="H4" s="5">
        <f t="shared" si="2"/>
        <v>20470.5</v>
      </c>
      <c r="I4" s="5">
        <f t="shared" si="2"/>
        <v>20470.5</v>
      </c>
      <c r="J4" s="5">
        <f t="shared" si="2"/>
        <v>20825.65</v>
      </c>
      <c r="K4" s="5">
        <f t="shared" si="2"/>
        <v>20945.12</v>
      </c>
      <c r="L4" s="5">
        <f t="shared" si="2"/>
        <v>21064.55</v>
      </c>
      <c r="M4" s="5">
        <f t="shared" si="2"/>
        <v>21184.26</v>
      </c>
      <c r="N4" s="5">
        <f t="shared" si="2"/>
        <v>21304.25</v>
      </c>
      <c r="O4" s="5">
        <f t="shared" si="2"/>
        <v>21424.52</v>
      </c>
      <c r="P4" s="5">
        <f t="shared" si="2"/>
        <v>21545.07</v>
      </c>
      <c r="Q4" s="5">
        <f t="shared" si="2"/>
        <v>21665.9</v>
      </c>
      <c r="R4" s="5">
        <f t="shared" si="2"/>
        <v>21787.015</v>
      </c>
      <c r="S4" s="5">
        <f t="shared" si="2"/>
        <v>21908.41</v>
      </c>
      <c r="T4" s="5">
        <f t="shared" si="2"/>
        <v>22030.085</v>
      </c>
      <c r="U4" s="5">
        <f t="shared" si="2"/>
        <v>22152.045</v>
      </c>
      <c r="V4" s="5">
        <f t="shared" si="2"/>
        <v>22274.29</v>
      </c>
      <c r="W4" s="5">
        <f t="shared" si="2"/>
        <v>22396.82</v>
      </c>
      <c r="X4" s="5">
        <f t="shared" si="2"/>
        <v>22519.635</v>
      </c>
      <c r="Y4" s="5">
        <f t="shared" si="2"/>
        <v>22642.735</v>
      </c>
      <c r="Z4" s="5">
        <f t="shared" si="2"/>
        <v>22766.12</v>
      </c>
      <c r="AA4" s="5">
        <f t="shared" si="2"/>
        <v>22883.545</v>
      </c>
      <c r="AB4" s="5">
        <f t="shared" si="2"/>
        <v>23001.3</v>
      </c>
    </row>
    <row r="5">
      <c r="B5" s="4" t="s">
        <v>2</v>
      </c>
      <c r="C5" s="5">
        <f>IFERROR( VLOOKUP(B5,'2021-12'!$C$28:$D$33,2,0),0)</f>
        <v>0</v>
      </c>
      <c r="D5" s="5">
        <f>iferror(VLOOKUP(B5,'2023-10'!$C$32:$D$38,2,0),0)</f>
        <v>0</v>
      </c>
      <c r="E5" s="5">
        <f>iferror(VLOOKUP(B5,'2024-06-13'!$C$36:$D$42,2,0),0)</f>
        <v>0</v>
      </c>
      <c r="F5" s="5">
        <f t="shared" ref="F5:I5" si="3">iferror(VLOOKUP($B5,Indirect(text(F$2,"yyyy-MM-dd")&amp;"!$C$38:$D$46",TRUE),2,0),0)</f>
        <v>8000</v>
      </c>
      <c r="G5" s="5">
        <f t="shared" si="3"/>
        <v>8000</v>
      </c>
      <c r="H5" s="5">
        <f t="shared" si="3"/>
        <v>7680</v>
      </c>
      <c r="I5" s="5">
        <f t="shared" si="3"/>
        <v>6363.5</v>
      </c>
      <c r="J5" s="5">
        <f t="shared" ref="J5:AB5" si="4">iferror(VLOOKUP($B5,Indirect(text(J$2,"yyyy-MM-dd")&amp;"!$C$38:$D$47",TRUE),2,0),0)</f>
        <v>15919.5</v>
      </c>
      <c r="K5" s="5">
        <f t="shared" si="4"/>
        <v>16523.85</v>
      </c>
      <c r="L5" s="5">
        <f t="shared" si="4"/>
        <v>16160.845</v>
      </c>
      <c r="M5" s="5">
        <f t="shared" si="4"/>
        <v>16790.39</v>
      </c>
      <c r="N5" s="5">
        <f t="shared" si="4"/>
        <v>17219.355</v>
      </c>
      <c r="O5" s="5">
        <f t="shared" si="4"/>
        <v>17738.495</v>
      </c>
      <c r="P5" s="5">
        <f t="shared" si="4"/>
        <v>18279.97</v>
      </c>
      <c r="Q5" s="5">
        <f t="shared" si="4"/>
        <v>18926.37</v>
      </c>
      <c r="R5" s="5">
        <f t="shared" si="4"/>
        <v>18845.2</v>
      </c>
      <c r="S5" s="5">
        <f t="shared" si="4"/>
        <v>19136.185</v>
      </c>
      <c r="T5" s="5">
        <f t="shared" si="4"/>
        <v>19756.985</v>
      </c>
      <c r="U5" s="5">
        <f t="shared" si="4"/>
        <v>20312.42</v>
      </c>
      <c r="V5" s="5">
        <f t="shared" si="4"/>
        <v>20757.92</v>
      </c>
      <c r="W5" s="5">
        <f t="shared" si="4"/>
        <v>22318.76</v>
      </c>
      <c r="X5" s="5">
        <f t="shared" si="4"/>
        <v>23239.07</v>
      </c>
      <c r="Y5" s="5">
        <f t="shared" si="4"/>
        <v>26936.07</v>
      </c>
      <c r="Z5" s="5">
        <f t="shared" si="4"/>
        <v>27504.725</v>
      </c>
      <c r="AA5" s="5">
        <f t="shared" si="4"/>
        <v>28384.22</v>
      </c>
      <c r="AB5" s="5">
        <f t="shared" si="4"/>
        <v>27559.88</v>
      </c>
    </row>
    <row r="6">
      <c r="B6" s="6" t="s">
        <v>3</v>
      </c>
      <c r="C6" s="5">
        <f>IFERROR( VLOOKUP(B6,'2021-12'!$C$28:$D$33,2,0),0)</f>
        <v>17010</v>
      </c>
      <c r="D6" s="5">
        <f>iferror(VLOOKUP(B6,'2023-10'!$C$32:$D$38,2,0),0)</f>
        <v>23252</v>
      </c>
      <c r="E6" s="5">
        <f>iferror(VLOOKUP(B6,'2024-06-13'!$C$36:$D$42,2,0),0)</f>
        <v>23251.97</v>
      </c>
      <c r="F6" s="5">
        <f>iferror(VLOOKUP(B6,'2024-08-06'!$C$39:$D$45,2,0),0)</f>
        <v>21074.69</v>
      </c>
      <c r="G6" s="5">
        <f t="shared" ref="G6:AB6" si="5">iferror(VLOOKUP($B6,Indirect(text(G$2,"yyyy-MM-dd")&amp;"!$C$38:$D$46",TRUE),2,0),0)</f>
        <v>22784.73</v>
      </c>
      <c r="H6" s="5">
        <f t="shared" si="5"/>
        <v>23391.62</v>
      </c>
      <c r="I6" s="5">
        <f t="shared" si="5"/>
        <v>25240.08</v>
      </c>
      <c r="J6" s="5">
        <f t="shared" si="5"/>
        <v>29592.03</v>
      </c>
      <c r="K6" s="5">
        <f t="shared" si="5"/>
        <v>31497.21</v>
      </c>
      <c r="L6" s="5">
        <f t="shared" si="5"/>
        <v>32973.37</v>
      </c>
      <c r="M6" s="5">
        <f t="shared" si="5"/>
        <v>28946.33</v>
      </c>
      <c r="N6" s="5">
        <f t="shared" si="5"/>
        <v>32000.9</v>
      </c>
      <c r="O6" s="5">
        <f t="shared" si="5"/>
        <v>35435.01</v>
      </c>
      <c r="P6" s="5">
        <f t="shared" si="5"/>
        <v>29087.09</v>
      </c>
      <c r="Q6" s="5">
        <f t="shared" si="5"/>
        <v>31861.69</v>
      </c>
      <c r="R6" s="5">
        <f t="shared" si="5"/>
        <v>33006.82</v>
      </c>
      <c r="S6" s="5">
        <f t="shared" si="5"/>
        <v>27612.33</v>
      </c>
      <c r="T6" s="5">
        <f t="shared" si="5"/>
        <v>28798.7</v>
      </c>
      <c r="U6" s="5">
        <f t="shared" si="5"/>
        <v>30758.73</v>
      </c>
      <c r="V6" s="5">
        <f t="shared" si="5"/>
        <v>31261.56</v>
      </c>
      <c r="W6" s="5">
        <f t="shared" si="5"/>
        <v>31061.39</v>
      </c>
      <c r="X6" s="5">
        <f t="shared" si="5"/>
        <v>30416.32</v>
      </c>
      <c r="Y6" s="5">
        <f t="shared" si="5"/>
        <v>30178.51</v>
      </c>
      <c r="Z6" s="5">
        <f t="shared" si="5"/>
        <v>30855.5</v>
      </c>
      <c r="AA6" s="5">
        <f t="shared" si="5"/>
        <v>32219.09</v>
      </c>
      <c r="AB6" s="5">
        <f t="shared" si="5"/>
        <v>36661.7393</v>
      </c>
    </row>
    <row r="7">
      <c r="B7" s="6" t="s">
        <v>4</v>
      </c>
      <c r="C7" s="5">
        <f>IFERROR( VLOOKUP(B7,'2021-12'!$C$28:$D$33,2,0),0)</f>
        <v>3865.99</v>
      </c>
      <c r="D7" s="5">
        <f>iferror(VLOOKUP(B7,'2023-10'!$C$32:$D$38,2,0),0)</f>
        <v>4773</v>
      </c>
      <c r="E7" s="5">
        <f>iferror(VLOOKUP(B7,'2024-06-13'!$C$36:$D$42,2,0),0)</f>
        <v>7728</v>
      </c>
      <c r="F7" s="5">
        <f>iferror(VLOOKUP(B7,'2024-08-06'!$C$39:$D$45,2,0),0)</f>
        <v>7380.47</v>
      </c>
      <c r="G7" s="5">
        <f t="shared" ref="G7:AB7" si="6">iferror(VLOOKUP($B7,Indirect(text(G$2,"yyyy-MM-dd")&amp;"!$C$38:$D$46",TRUE),2,0),0)</f>
        <v>8001.98</v>
      </c>
      <c r="H7" s="5">
        <f t="shared" si="6"/>
        <v>8042.52</v>
      </c>
      <c r="I7" s="5">
        <f t="shared" si="6"/>
        <v>8515.91</v>
      </c>
      <c r="J7" s="5">
        <f t="shared" si="6"/>
        <v>8316.19</v>
      </c>
      <c r="K7" s="5">
        <f t="shared" si="6"/>
        <v>8456.98</v>
      </c>
      <c r="L7" s="5">
        <f t="shared" si="6"/>
        <v>8145.08</v>
      </c>
      <c r="M7" s="5">
        <f t="shared" si="6"/>
        <v>7442.64</v>
      </c>
      <c r="N7" s="5">
        <f t="shared" si="6"/>
        <v>7892</v>
      </c>
      <c r="O7" s="5">
        <f t="shared" si="6"/>
        <v>8311.38</v>
      </c>
      <c r="P7" s="5">
        <f t="shared" si="6"/>
        <v>8666.3</v>
      </c>
      <c r="Q7" s="5">
        <f t="shared" si="6"/>
        <v>8673.43</v>
      </c>
      <c r="R7" s="5">
        <f t="shared" si="6"/>
        <v>8928.38</v>
      </c>
      <c r="S7" s="5">
        <f t="shared" si="6"/>
        <v>8969.58</v>
      </c>
      <c r="T7" s="5">
        <f t="shared" si="6"/>
        <v>9179.7</v>
      </c>
      <c r="U7" s="5">
        <f t="shared" si="6"/>
        <v>9355.62</v>
      </c>
      <c r="V7" s="5">
        <f t="shared" si="6"/>
        <v>10969.93</v>
      </c>
      <c r="W7" s="5">
        <f t="shared" si="6"/>
        <v>10737.67</v>
      </c>
      <c r="X7" s="5">
        <f t="shared" si="6"/>
        <v>10684.41</v>
      </c>
      <c r="Y7" s="5">
        <f t="shared" si="6"/>
        <v>10364.64</v>
      </c>
      <c r="Z7" s="5">
        <f t="shared" si="6"/>
        <v>11494.69</v>
      </c>
      <c r="AA7" s="5">
        <f t="shared" si="6"/>
        <v>11938.75</v>
      </c>
      <c r="AB7" s="5">
        <f t="shared" si="6"/>
        <v>11975.7</v>
      </c>
    </row>
    <row r="8">
      <c r="B8" s="6" t="s">
        <v>5</v>
      </c>
      <c r="C8" s="5">
        <f>IFERROR( VLOOKUP(B8,'2021-12'!$C$28:$D$33,2,0),0)</f>
        <v>2879.05</v>
      </c>
      <c r="D8" s="5">
        <f>iferror(VLOOKUP(B8,'2023-10'!$C$32:$D$38,2,0),0)</f>
        <v>5800</v>
      </c>
      <c r="E8" s="5">
        <f>iferror(VLOOKUP(B8,'2024-06-13'!$C$36:$D$42,2,0),0)</f>
        <v>9992</v>
      </c>
      <c r="F8" s="5">
        <f>iferror(VLOOKUP(B8,'2024-08-06'!$C$39:$D$45,2,0),0)</f>
        <v>9938.93</v>
      </c>
      <c r="G8" s="5">
        <f t="shared" ref="G8:AB8" si="7">iferror(VLOOKUP($B8,Indirect(text(G$2,"yyyy-MM-dd")&amp;"!$C$38:$D$46",TRUE),2,0),0)</f>
        <v>10540.65</v>
      </c>
      <c r="H8" s="5">
        <f t="shared" si="7"/>
        <v>10700.9</v>
      </c>
      <c r="I8" s="5">
        <f t="shared" si="7"/>
        <v>0</v>
      </c>
      <c r="J8" s="5">
        <f t="shared" si="7"/>
        <v>0</v>
      </c>
      <c r="K8" s="5">
        <f t="shared" si="7"/>
        <v>0</v>
      </c>
      <c r="L8" s="5">
        <f t="shared" si="7"/>
        <v>0</v>
      </c>
      <c r="M8" s="5">
        <f t="shared" si="7"/>
        <v>0</v>
      </c>
      <c r="N8" s="5">
        <f t="shared" si="7"/>
        <v>0</v>
      </c>
      <c r="O8" s="5">
        <f t="shared" si="7"/>
        <v>0</v>
      </c>
      <c r="P8" s="5">
        <f t="shared" si="7"/>
        <v>0</v>
      </c>
      <c r="Q8" s="5">
        <f t="shared" si="7"/>
        <v>0</v>
      </c>
      <c r="R8" s="5">
        <f t="shared" si="7"/>
        <v>0</v>
      </c>
      <c r="S8" s="5">
        <f t="shared" si="7"/>
        <v>0</v>
      </c>
      <c r="T8" s="5">
        <f t="shared" si="7"/>
        <v>0</v>
      </c>
      <c r="U8" s="5">
        <f t="shared" si="7"/>
        <v>0</v>
      </c>
      <c r="V8" s="5">
        <f t="shared" si="7"/>
        <v>0</v>
      </c>
      <c r="W8" s="5">
        <f t="shared" si="7"/>
        <v>0</v>
      </c>
      <c r="X8" s="5">
        <f t="shared" si="7"/>
        <v>0</v>
      </c>
      <c r="Y8" s="5">
        <f t="shared" si="7"/>
        <v>0</v>
      </c>
      <c r="Z8" s="5">
        <f t="shared" si="7"/>
        <v>0</v>
      </c>
      <c r="AA8" s="5">
        <f t="shared" si="7"/>
        <v>0</v>
      </c>
      <c r="AB8" s="5">
        <f t="shared" si="7"/>
        <v>0</v>
      </c>
    </row>
    <row r="9">
      <c r="B9" s="6" t="s">
        <v>6</v>
      </c>
      <c r="C9" s="5">
        <f>IFERROR( VLOOKUP(B9,'2021-12'!$C$28:$D$33,2,0),0)</f>
        <v>4400</v>
      </c>
      <c r="D9" s="5">
        <f>iferror(VLOOKUP(B9,'2023-10'!$C$32:$D$38,2,0),0)</f>
        <v>630</v>
      </c>
      <c r="E9" s="5">
        <f>iferror(VLOOKUP(B9,'2024-06-13'!$C$36:$D$42,2,0),0)</f>
        <v>1370</v>
      </c>
      <c r="F9" s="5">
        <f>iferror(VLOOKUP(B9,'2024-08-06'!$C$39:$D$47,2,0),0)</f>
        <v>1370</v>
      </c>
      <c r="G9" s="5">
        <f t="shared" ref="G9:AB9" si="8">iferror(VLOOKUP($B9,Indirect(text(G$2,"yyyy-MM-dd")&amp;"!$C$38:$D$46",TRUE),2,0),0)</f>
        <v>1140.04</v>
      </c>
      <c r="H9" s="5">
        <f t="shared" si="8"/>
        <v>1315.78</v>
      </c>
      <c r="I9" s="5">
        <f t="shared" si="8"/>
        <v>2200</v>
      </c>
      <c r="J9" s="5">
        <f t="shared" si="8"/>
        <v>2200</v>
      </c>
      <c r="K9" s="5">
        <f t="shared" si="8"/>
        <v>1982</v>
      </c>
      <c r="L9" s="5">
        <f t="shared" si="8"/>
        <v>1935.08</v>
      </c>
      <c r="M9" s="5">
        <f t="shared" si="8"/>
        <v>1777</v>
      </c>
      <c r="N9" s="5">
        <f t="shared" si="8"/>
        <v>1935.76</v>
      </c>
      <c r="O9" s="5">
        <f t="shared" si="8"/>
        <v>2184.9</v>
      </c>
      <c r="P9" s="5">
        <f t="shared" si="8"/>
        <v>2184.9</v>
      </c>
      <c r="Q9" s="5">
        <f t="shared" si="8"/>
        <v>2320.48</v>
      </c>
      <c r="R9" s="5">
        <f t="shared" si="8"/>
        <v>2336.04</v>
      </c>
      <c r="S9" s="5">
        <f t="shared" si="8"/>
        <v>2336.04</v>
      </c>
      <c r="T9" s="5">
        <f t="shared" si="8"/>
        <v>2152.21</v>
      </c>
      <c r="U9" s="5">
        <f t="shared" si="8"/>
        <v>1636.42</v>
      </c>
      <c r="V9" s="5">
        <f t="shared" si="8"/>
        <v>1636.42</v>
      </c>
      <c r="W9" s="5">
        <f t="shared" si="8"/>
        <v>1156.47</v>
      </c>
      <c r="X9" s="5">
        <f t="shared" si="8"/>
        <v>1256.13</v>
      </c>
      <c r="Y9" s="5">
        <f t="shared" si="8"/>
        <v>1256.13</v>
      </c>
      <c r="Z9" s="5">
        <f t="shared" si="8"/>
        <v>1256.13</v>
      </c>
      <c r="AA9" s="5">
        <f t="shared" si="8"/>
        <v>1405.99</v>
      </c>
      <c r="AB9" s="5">
        <f t="shared" si="8"/>
        <v>1180.94</v>
      </c>
    </row>
    <row r="10">
      <c r="B10" s="6" t="s">
        <v>7</v>
      </c>
      <c r="C10" s="5">
        <f>IFERROR( VLOOKUP(B10,'2021-12'!$C$28:$D$33,2,0),0)</f>
        <v>37320</v>
      </c>
      <c r="D10" s="5">
        <f>iferror(VLOOKUP(B10,'2023-10'!$C$32:$D$38,2,0),0)</f>
        <v>8527</v>
      </c>
      <c r="E10" s="5">
        <f>iferror(VLOOKUP(B10,'2024-06-13'!$C$36:$D$42,2,0),0)</f>
        <v>20112.29</v>
      </c>
      <c r="F10" s="5">
        <f t="shared" ref="F10:AB10" si="9">iferror(VLOOKUP($B10,Indirect(text(F$2,"yyyy-MM-dd")&amp;"!$C$38:$D$46",TRUE),2,0),0)</f>
        <v>12035.43</v>
      </c>
      <c r="G10" s="5">
        <f t="shared" si="9"/>
        <v>14556.215</v>
      </c>
      <c r="H10" s="5">
        <f t="shared" si="9"/>
        <v>17074.26</v>
      </c>
      <c r="I10" s="5">
        <f t="shared" si="9"/>
        <v>31141.53</v>
      </c>
      <c r="J10" s="5">
        <f t="shared" si="9"/>
        <v>9458.355</v>
      </c>
      <c r="K10" s="5">
        <f t="shared" si="9"/>
        <v>10771.15</v>
      </c>
      <c r="L10" s="5">
        <f t="shared" si="9"/>
        <v>11914.89</v>
      </c>
      <c r="M10" s="5">
        <f t="shared" si="9"/>
        <v>11206.185</v>
      </c>
      <c r="N10" s="5">
        <f t="shared" si="9"/>
        <v>13677.845</v>
      </c>
      <c r="O10" s="5">
        <f t="shared" si="9"/>
        <v>15779.505</v>
      </c>
      <c r="P10" s="5">
        <f t="shared" si="9"/>
        <v>25872.34</v>
      </c>
      <c r="Q10" s="5">
        <f t="shared" si="9"/>
        <v>28188.91</v>
      </c>
      <c r="R10" s="5">
        <f t="shared" si="9"/>
        <v>29448.66</v>
      </c>
      <c r="S10" s="5">
        <f t="shared" si="9"/>
        <v>33216.15</v>
      </c>
      <c r="T10" s="5">
        <f t="shared" si="9"/>
        <v>34100.445</v>
      </c>
      <c r="U10" s="5">
        <f t="shared" si="9"/>
        <v>32645.79</v>
      </c>
      <c r="V10" s="5">
        <f t="shared" si="9"/>
        <v>27373.95</v>
      </c>
      <c r="W10" s="5">
        <f t="shared" si="9"/>
        <v>25745.775</v>
      </c>
      <c r="X10" s="5">
        <f t="shared" si="9"/>
        <v>14577.71</v>
      </c>
      <c r="Y10" s="5">
        <f t="shared" si="9"/>
        <v>15357.43</v>
      </c>
      <c r="Z10" s="5">
        <f t="shared" si="9"/>
        <v>21421.81</v>
      </c>
      <c r="AA10" s="5">
        <f t="shared" si="9"/>
        <v>31601.945</v>
      </c>
      <c r="AB10" s="5">
        <f t="shared" si="9"/>
        <v>30761.015</v>
      </c>
    </row>
    <row r="11">
      <c r="B11" s="4" t="s">
        <v>8</v>
      </c>
      <c r="C11" s="5">
        <f t="shared" ref="C11:AB11" si="10">SUM(C3:C10)</f>
        <v>80475.04</v>
      </c>
      <c r="D11" s="5">
        <f t="shared" si="10"/>
        <v>90896.5</v>
      </c>
      <c r="E11" s="5">
        <f t="shared" si="10"/>
        <v>113461.71</v>
      </c>
      <c r="F11" s="5">
        <f t="shared" si="10"/>
        <v>111324.7</v>
      </c>
      <c r="G11" s="5">
        <f t="shared" si="10"/>
        <v>117043.34</v>
      </c>
      <c r="H11" s="5">
        <f t="shared" si="10"/>
        <v>120722.13</v>
      </c>
      <c r="I11" s="5">
        <f t="shared" si="10"/>
        <v>126540.26</v>
      </c>
      <c r="J11" s="5">
        <f t="shared" si="10"/>
        <v>120625.285</v>
      </c>
      <c r="K11" s="5">
        <f t="shared" si="10"/>
        <v>124795.54</v>
      </c>
      <c r="L11" s="5">
        <f t="shared" si="10"/>
        <v>127119.555</v>
      </c>
      <c r="M11" s="5">
        <f t="shared" si="10"/>
        <v>122579.905</v>
      </c>
      <c r="N11" s="5">
        <f t="shared" si="10"/>
        <v>129571.42</v>
      </c>
      <c r="O11" s="5">
        <f t="shared" si="10"/>
        <v>136724.18</v>
      </c>
      <c r="P11" s="5">
        <f t="shared" si="10"/>
        <v>141795.95</v>
      </c>
      <c r="Q11" s="5">
        <f t="shared" si="10"/>
        <v>148107.83</v>
      </c>
      <c r="R11" s="5">
        <f t="shared" si="10"/>
        <v>151134.795</v>
      </c>
      <c r="S11" s="5">
        <f t="shared" si="10"/>
        <v>150273.865</v>
      </c>
      <c r="T11" s="5">
        <f t="shared" si="10"/>
        <v>153426.645</v>
      </c>
      <c r="U11" s="5">
        <f t="shared" si="10"/>
        <v>154629.635</v>
      </c>
      <c r="V11" s="5">
        <f t="shared" si="10"/>
        <v>152403.45</v>
      </c>
      <c r="W11" s="5">
        <f t="shared" si="10"/>
        <v>151907.715</v>
      </c>
      <c r="X11" s="5">
        <f t="shared" si="10"/>
        <v>151546.235</v>
      </c>
      <c r="Y11" s="5">
        <f t="shared" si="10"/>
        <v>155951.295</v>
      </c>
      <c r="Z11" s="5">
        <f t="shared" si="10"/>
        <v>164878.255</v>
      </c>
      <c r="AA11" s="5">
        <f t="shared" si="10"/>
        <v>168377.01</v>
      </c>
      <c r="AB11" s="5">
        <f t="shared" si="10"/>
        <v>171448.9143</v>
      </c>
    </row>
    <row r="14">
      <c r="G14" s="4" t="str">
        <f t="array" ref="G14">INDIRECT(text(G2,"yyyy-MM-dd")&amp;"!$C$38")</f>
        <v/>
      </c>
    </row>
    <row r="16">
      <c r="C16" s="1">
        <v>44531.0</v>
      </c>
      <c r="D16" s="1">
        <v>45200.0</v>
      </c>
      <c r="E16" s="2">
        <v>45444.0</v>
      </c>
      <c r="F16" s="3">
        <v>45512.0</v>
      </c>
      <c r="G16" s="3">
        <v>45538.0</v>
      </c>
      <c r="H16" s="3">
        <f t="shared" ref="H16:I16" si="11">H2</f>
        <v>45573</v>
      </c>
      <c r="I16" s="3">
        <f t="shared" si="11"/>
        <v>45630</v>
      </c>
      <c r="J16" s="3">
        <v>45297.0</v>
      </c>
      <c r="K16" s="3">
        <v>45328.0</v>
      </c>
      <c r="L16" s="3">
        <v>45357.0</v>
      </c>
      <c r="M16" s="3">
        <f t="shared" ref="M16:AB16" si="12">M2</f>
        <v>45760</v>
      </c>
      <c r="N16" s="3">
        <f t="shared" si="12"/>
        <v>45782</v>
      </c>
      <c r="O16" s="3">
        <f t="shared" si="12"/>
        <v>45817</v>
      </c>
      <c r="P16" s="3">
        <f t="shared" si="12"/>
        <v>45843</v>
      </c>
      <c r="Q16" s="3">
        <f t="shared" si="12"/>
        <v>45875</v>
      </c>
      <c r="R16" s="3">
        <f t="shared" si="12"/>
        <v>45905</v>
      </c>
      <c r="S16" s="3">
        <f t="shared" si="12"/>
        <v>45942</v>
      </c>
      <c r="T16" s="3">
        <f t="shared" si="12"/>
        <v>45968</v>
      </c>
      <c r="U16" s="3">
        <f t="shared" si="12"/>
        <v>45998</v>
      </c>
      <c r="V16" s="3">
        <f t="shared" si="12"/>
        <v>46034</v>
      </c>
      <c r="W16" s="3">
        <f t="shared" si="12"/>
        <v>46064</v>
      </c>
      <c r="X16" s="3">
        <f t="shared" si="12"/>
        <v>46093</v>
      </c>
      <c r="Y16" s="3">
        <f t="shared" si="12"/>
        <v>46118</v>
      </c>
      <c r="Z16" s="3">
        <f t="shared" si="12"/>
        <v>46153</v>
      </c>
      <c r="AA16" s="3">
        <f t="shared" si="12"/>
        <v>46180</v>
      </c>
      <c r="AB16" s="3">
        <f t="shared" si="12"/>
        <v>46208</v>
      </c>
    </row>
    <row r="17">
      <c r="B17" s="4" t="s">
        <v>0</v>
      </c>
      <c r="C17" s="7">
        <f t="shared" ref="C17:AB17" si="13">C3/C$11</f>
        <v>0.1863931972</v>
      </c>
      <c r="D17" s="7">
        <f t="shared" si="13"/>
        <v>0.3173169484</v>
      </c>
      <c r="E17" s="7">
        <f t="shared" si="13"/>
        <v>0.2732855868</v>
      </c>
      <c r="F17" s="7">
        <f t="shared" si="13"/>
        <v>0.2831822587</v>
      </c>
      <c r="G17" s="7">
        <f t="shared" si="13"/>
        <v>0.2715695741</v>
      </c>
      <c r="H17" s="7">
        <f t="shared" si="13"/>
        <v>0.2654571287</v>
      </c>
      <c r="I17" s="7">
        <f t="shared" si="13"/>
        <v>0.2576945867</v>
      </c>
      <c r="J17" s="7">
        <f t="shared" si="13"/>
        <v>0.284464074</v>
      </c>
      <c r="K17" s="7">
        <f t="shared" si="13"/>
        <v>0.27740759</v>
      </c>
      <c r="L17" s="7">
        <f t="shared" si="13"/>
        <v>0.2747471858</v>
      </c>
      <c r="M17" s="7">
        <f t="shared" si="13"/>
        <v>0.2874296566</v>
      </c>
      <c r="N17" s="7">
        <f t="shared" si="13"/>
        <v>0.2742989928</v>
      </c>
      <c r="O17" s="7">
        <f t="shared" si="13"/>
        <v>0.2622094351</v>
      </c>
      <c r="P17" s="7">
        <f t="shared" si="13"/>
        <v>0.2550163104</v>
      </c>
      <c r="Q17" s="7">
        <f t="shared" si="13"/>
        <v>0.2462466029</v>
      </c>
      <c r="R17" s="7">
        <f t="shared" si="13"/>
        <v>0.2433766493</v>
      </c>
      <c r="S17" s="7">
        <f t="shared" si="13"/>
        <v>0.246850442</v>
      </c>
      <c r="T17" s="7">
        <f t="shared" si="13"/>
        <v>0.2438202308</v>
      </c>
      <c r="U17" s="7">
        <f t="shared" si="13"/>
        <v>0.2442520801</v>
      </c>
      <c r="V17" s="7">
        <f t="shared" si="13"/>
        <v>0.2501871185</v>
      </c>
      <c r="W17" s="7">
        <f t="shared" si="13"/>
        <v>0.2533829832</v>
      </c>
      <c r="X17" s="7">
        <f t="shared" si="13"/>
        <v>0.3223634028</v>
      </c>
      <c r="Y17" s="7">
        <f t="shared" si="13"/>
        <v>0.3155842983</v>
      </c>
      <c r="Z17" s="7">
        <f t="shared" si="13"/>
        <v>0.3007023576</v>
      </c>
      <c r="AA17" s="7">
        <f t="shared" si="13"/>
        <v>0.2372263886</v>
      </c>
      <c r="AB17" s="7">
        <f t="shared" si="13"/>
        <v>0.2351040843</v>
      </c>
    </row>
    <row r="18">
      <c r="B18" s="4" t="s">
        <v>1</v>
      </c>
      <c r="C18" s="7">
        <f t="shared" ref="C18:AB18" si="14">C4/C$11</f>
        <v>0</v>
      </c>
      <c r="D18" s="7">
        <f t="shared" si="14"/>
        <v>0.2098155595</v>
      </c>
      <c r="E18" s="7">
        <f t="shared" si="14"/>
        <v>0.1762709199</v>
      </c>
      <c r="F18" s="7">
        <f t="shared" si="14"/>
        <v>0.1796546499</v>
      </c>
      <c r="G18" s="7">
        <f t="shared" si="14"/>
        <v>0.1728788242</v>
      </c>
      <c r="H18" s="7">
        <f t="shared" si="14"/>
        <v>0.1695670877</v>
      </c>
      <c r="I18" s="7">
        <f t="shared" si="14"/>
        <v>0.1617706491</v>
      </c>
      <c r="J18" s="7">
        <f t="shared" si="14"/>
        <v>0.1726474677</v>
      </c>
      <c r="K18" s="7">
        <f t="shared" si="14"/>
        <v>0.1678354851</v>
      </c>
      <c r="L18" s="7">
        <f t="shared" si="14"/>
        <v>0.1657066059</v>
      </c>
      <c r="M18" s="7">
        <f t="shared" si="14"/>
        <v>0.1728200067</v>
      </c>
      <c r="N18" s="7">
        <f t="shared" si="14"/>
        <v>0.1644209039</v>
      </c>
      <c r="O18" s="7">
        <f t="shared" si="14"/>
        <v>0.156698837</v>
      </c>
      <c r="P18" s="7">
        <f t="shared" si="14"/>
        <v>0.1519441846</v>
      </c>
      <c r="Q18" s="7">
        <f t="shared" si="14"/>
        <v>0.146284636</v>
      </c>
      <c r="R18" s="7">
        <f t="shared" si="14"/>
        <v>0.1441561819</v>
      </c>
      <c r="S18" s="7">
        <f t="shared" si="14"/>
        <v>0.1457898883</v>
      </c>
      <c r="T18" s="7">
        <f t="shared" si="14"/>
        <v>0.1435870868</v>
      </c>
      <c r="U18" s="7">
        <f t="shared" si="14"/>
        <v>0.1432587292</v>
      </c>
      <c r="V18" s="7">
        <f t="shared" si="14"/>
        <v>0.1461534499</v>
      </c>
      <c r="W18" s="7">
        <f t="shared" si="14"/>
        <v>0.1474370146</v>
      </c>
      <c r="X18" s="7">
        <f t="shared" si="14"/>
        <v>0.1485991057</v>
      </c>
      <c r="Y18" s="7">
        <f t="shared" si="14"/>
        <v>0.1451910675</v>
      </c>
      <c r="Z18" s="7">
        <f t="shared" si="14"/>
        <v>0.1380783658</v>
      </c>
      <c r="AA18" s="7">
        <f t="shared" si="14"/>
        <v>0.1359065884</v>
      </c>
      <c r="AB18" s="7">
        <f t="shared" si="14"/>
        <v>0.1341583299</v>
      </c>
    </row>
    <row r="19">
      <c r="B19" s="4" t="s">
        <v>2</v>
      </c>
      <c r="C19" s="7">
        <f t="shared" ref="C19:AB19" si="15">C5/C$11</f>
        <v>0</v>
      </c>
      <c r="D19" s="7">
        <f t="shared" si="15"/>
        <v>0</v>
      </c>
      <c r="E19" s="7">
        <f t="shared" si="15"/>
        <v>0</v>
      </c>
      <c r="F19" s="7">
        <f t="shared" si="15"/>
        <v>0.07186185995</v>
      </c>
      <c r="G19" s="7">
        <f t="shared" si="15"/>
        <v>0.06835074939</v>
      </c>
      <c r="H19" s="7">
        <f t="shared" si="15"/>
        <v>0.06361716779</v>
      </c>
      <c r="I19" s="7">
        <f t="shared" si="15"/>
        <v>0.05028834301</v>
      </c>
      <c r="J19" s="7">
        <f t="shared" si="15"/>
        <v>0.1319748177</v>
      </c>
      <c r="K19" s="7">
        <f t="shared" si="15"/>
        <v>0.1324073761</v>
      </c>
      <c r="L19" s="7">
        <f t="shared" si="15"/>
        <v>0.1271310696</v>
      </c>
      <c r="M19" s="7">
        <f t="shared" si="15"/>
        <v>0.1369750613</v>
      </c>
      <c r="N19" s="7">
        <f t="shared" si="15"/>
        <v>0.1328947001</v>
      </c>
      <c r="O19" s="7">
        <f t="shared" si="15"/>
        <v>0.1297392678</v>
      </c>
      <c r="P19" s="7">
        <f t="shared" si="15"/>
        <v>0.1289174338</v>
      </c>
      <c r="Q19" s="7">
        <f t="shared" si="15"/>
        <v>0.1277877746</v>
      </c>
      <c r="R19" s="7">
        <f t="shared" si="15"/>
        <v>0.1246913393</v>
      </c>
      <c r="S19" s="7">
        <f t="shared" si="15"/>
        <v>0.1273420698</v>
      </c>
      <c r="T19" s="7">
        <f t="shared" si="15"/>
        <v>0.1287715377</v>
      </c>
      <c r="U19" s="7">
        <f t="shared" si="15"/>
        <v>0.1313617535</v>
      </c>
      <c r="V19" s="7">
        <f t="shared" si="15"/>
        <v>0.1362037408</v>
      </c>
      <c r="W19" s="7">
        <f t="shared" si="15"/>
        <v>0.14692315</v>
      </c>
      <c r="X19" s="7">
        <f t="shared" si="15"/>
        <v>0.1533464028</v>
      </c>
      <c r="Y19" s="7">
        <f t="shared" si="15"/>
        <v>0.1727210409</v>
      </c>
      <c r="Z19" s="7">
        <f t="shared" si="15"/>
        <v>0.1668183897</v>
      </c>
      <c r="AA19" s="7">
        <f t="shared" si="15"/>
        <v>0.1685753892</v>
      </c>
      <c r="AB19" s="7">
        <f t="shared" si="15"/>
        <v>0.1607468914</v>
      </c>
    </row>
    <row r="20">
      <c r="B20" s="6" t="s">
        <v>3</v>
      </c>
      <c r="C20" s="7">
        <f t="shared" ref="C20:AB20" si="16">C6/C$11</f>
        <v>0.2113698856</v>
      </c>
      <c r="D20" s="7">
        <f t="shared" si="16"/>
        <v>0.2558074293</v>
      </c>
      <c r="E20" s="7">
        <f t="shared" si="16"/>
        <v>0.2049323071</v>
      </c>
      <c r="F20" s="7">
        <f t="shared" si="16"/>
        <v>0.1893083026</v>
      </c>
      <c r="G20" s="7">
        <f t="shared" si="16"/>
        <v>0.1946691713</v>
      </c>
      <c r="H20" s="7">
        <f t="shared" si="16"/>
        <v>0.1937641425</v>
      </c>
      <c r="I20" s="7">
        <f t="shared" si="16"/>
        <v>0.1994628429</v>
      </c>
      <c r="J20" s="7">
        <f t="shared" si="16"/>
        <v>0.2453219489</v>
      </c>
      <c r="K20" s="7">
        <f t="shared" si="16"/>
        <v>0.2523905101</v>
      </c>
      <c r="L20" s="7">
        <f t="shared" si="16"/>
        <v>0.2593886519</v>
      </c>
      <c r="M20" s="7">
        <f t="shared" si="16"/>
        <v>0.236142539</v>
      </c>
      <c r="N20" s="7">
        <f t="shared" si="16"/>
        <v>0.2469749888</v>
      </c>
      <c r="O20" s="7">
        <f t="shared" si="16"/>
        <v>0.259171494</v>
      </c>
      <c r="P20" s="7">
        <f t="shared" si="16"/>
        <v>0.2051334329</v>
      </c>
      <c r="Q20" s="7">
        <f t="shared" si="16"/>
        <v>0.2151249532</v>
      </c>
      <c r="R20" s="7">
        <f t="shared" si="16"/>
        <v>0.2183932562</v>
      </c>
      <c r="S20" s="7">
        <f t="shared" si="16"/>
        <v>0.1837467214</v>
      </c>
      <c r="T20" s="7">
        <f t="shared" si="16"/>
        <v>0.187703381</v>
      </c>
      <c r="U20" s="7">
        <f t="shared" si="16"/>
        <v>0.198918726</v>
      </c>
      <c r="V20" s="7">
        <f t="shared" si="16"/>
        <v>0.2051237029</v>
      </c>
      <c r="W20" s="7">
        <f t="shared" si="16"/>
        <v>0.2044753948</v>
      </c>
      <c r="X20" s="7">
        <f t="shared" si="16"/>
        <v>0.2007065369</v>
      </c>
      <c r="Y20" s="7">
        <f t="shared" si="16"/>
        <v>0.193512404</v>
      </c>
      <c r="Z20" s="7">
        <f t="shared" si="16"/>
        <v>0.1871411121</v>
      </c>
      <c r="AA20" s="7">
        <f t="shared" si="16"/>
        <v>0.1913508857</v>
      </c>
      <c r="AB20" s="7">
        <f t="shared" si="16"/>
        <v>0.2138347708</v>
      </c>
    </row>
    <row r="21">
      <c r="B21" s="6" t="s">
        <v>4</v>
      </c>
      <c r="C21" s="7">
        <f t="shared" ref="C21:AB21" si="17">C7/C$11</f>
        <v>0.04803961576</v>
      </c>
      <c r="D21" s="7">
        <f t="shared" si="17"/>
        <v>0.05251027267</v>
      </c>
      <c r="E21" s="7">
        <f t="shared" si="17"/>
        <v>0.06811108347</v>
      </c>
      <c r="F21" s="7">
        <f t="shared" si="17"/>
        <v>0.06629678769</v>
      </c>
      <c r="G21" s="7">
        <f t="shared" si="17"/>
        <v>0.0683676662</v>
      </c>
      <c r="H21" s="7">
        <f t="shared" si="17"/>
        <v>0.06662009691</v>
      </c>
      <c r="I21" s="7">
        <f t="shared" si="17"/>
        <v>0.06729802831</v>
      </c>
      <c r="J21" s="7">
        <f t="shared" si="17"/>
        <v>0.06894234488</v>
      </c>
      <c r="K21" s="7">
        <f t="shared" si="17"/>
        <v>0.06776668461</v>
      </c>
      <c r="L21" s="7">
        <f t="shared" si="17"/>
        <v>0.06407417018</v>
      </c>
      <c r="M21" s="7">
        <f t="shared" si="17"/>
        <v>0.0607166403</v>
      </c>
      <c r="N21" s="7">
        <f t="shared" si="17"/>
        <v>0.06090849356</v>
      </c>
      <c r="O21" s="7">
        <f t="shared" si="17"/>
        <v>0.06078939365</v>
      </c>
      <c r="P21" s="7">
        <f t="shared" si="17"/>
        <v>0.06111810669</v>
      </c>
      <c r="Q21" s="7">
        <f t="shared" si="17"/>
        <v>0.05856158989</v>
      </c>
      <c r="R21" s="7">
        <f t="shared" si="17"/>
        <v>0.05907560863</v>
      </c>
      <c r="S21" s="7">
        <f t="shared" si="17"/>
        <v>0.05968822323</v>
      </c>
      <c r="T21" s="7">
        <f t="shared" si="17"/>
        <v>0.05983119816</v>
      </c>
      <c r="U21" s="7">
        <f t="shared" si="17"/>
        <v>0.06050340868</v>
      </c>
      <c r="V21" s="7">
        <f t="shared" si="17"/>
        <v>0.07197953852</v>
      </c>
      <c r="W21" s="7">
        <f t="shared" si="17"/>
        <v>0.07068548164</v>
      </c>
      <c r="X21" s="7">
        <f t="shared" si="17"/>
        <v>0.07050264231</v>
      </c>
      <c r="Y21" s="7">
        <f t="shared" si="17"/>
        <v>0.06646074981</v>
      </c>
      <c r="Z21" s="7">
        <f t="shared" si="17"/>
        <v>0.06971622789</v>
      </c>
      <c r="AA21" s="7">
        <f t="shared" si="17"/>
        <v>0.07090486997</v>
      </c>
      <c r="AB21" s="7">
        <f t="shared" si="17"/>
        <v>0.06984996113</v>
      </c>
    </row>
    <row r="22">
      <c r="B22" s="6" t="s">
        <v>5</v>
      </c>
      <c r="C22" s="7">
        <f t="shared" ref="C22:AB22" si="18">C8/C$11</f>
        <v>0.03577568896</v>
      </c>
      <c r="D22" s="7">
        <f t="shared" si="18"/>
        <v>0.06380883752</v>
      </c>
      <c r="E22" s="7">
        <f t="shared" si="18"/>
        <v>0.0880649516</v>
      </c>
      <c r="F22" s="7">
        <f t="shared" si="18"/>
        <v>0.08927874946</v>
      </c>
      <c r="G22" s="7">
        <f t="shared" si="18"/>
        <v>0.09005766582</v>
      </c>
      <c r="H22" s="7">
        <f t="shared" si="18"/>
        <v>0.0886407488</v>
      </c>
      <c r="I22" s="7">
        <f t="shared" si="18"/>
        <v>0</v>
      </c>
      <c r="J22" s="7">
        <f t="shared" si="18"/>
        <v>0</v>
      </c>
      <c r="K22" s="7">
        <f t="shared" si="18"/>
        <v>0</v>
      </c>
      <c r="L22" s="7">
        <f t="shared" si="18"/>
        <v>0</v>
      </c>
      <c r="M22" s="7">
        <f t="shared" si="18"/>
        <v>0</v>
      </c>
      <c r="N22" s="7">
        <f t="shared" si="18"/>
        <v>0</v>
      </c>
      <c r="O22" s="7">
        <f t="shared" si="18"/>
        <v>0</v>
      </c>
      <c r="P22" s="7">
        <f t="shared" si="18"/>
        <v>0</v>
      </c>
      <c r="Q22" s="7">
        <f t="shared" si="18"/>
        <v>0</v>
      </c>
      <c r="R22" s="7">
        <f t="shared" si="18"/>
        <v>0</v>
      </c>
      <c r="S22" s="7">
        <f t="shared" si="18"/>
        <v>0</v>
      </c>
      <c r="T22" s="7">
        <f t="shared" si="18"/>
        <v>0</v>
      </c>
      <c r="U22" s="7">
        <f t="shared" si="18"/>
        <v>0</v>
      </c>
      <c r="V22" s="7">
        <f t="shared" si="18"/>
        <v>0</v>
      </c>
      <c r="W22" s="7">
        <f t="shared" si="18"/>
        <v>0</v>
      </c>
      <c r="X22" s="7">
        <f t="shared" si="18"/>
        <v>0</v>
      </c>
      <c r="Y22" s="7">
        <f t="shared" si="18"/>
        <v>0</v>
      </c>
      <c r="Z22" s="7">
        <f t="shared" si="18"/>
        <v>0</v>
      </c>
      <c r="AA22" s="7">
        <f t="shared" si="18"/>
        <v>0</v>
      </c>
      <c r="AB22" s="7">
        <f t="shared" si="18"/>
        <v>0</v>
      </c>
    </row>
    <row r="23">
      <c r="B23" s="6" t="s">
        <v>6</v>
      </c>
      <c r="C23" s="7">
        <f t="shared" ref="C23:AB23" si="19">C9/C$11</f>
        <v>0.05467533784</v>
      </c>
      <c r="D23" s="7">
        <f t="shared" si="19"/>
        <v>0.006930959938</v>
      </c>
      <c r="E23" s="7">
        <f t="shared" si="19"/>
        <v>0.01207455802</v>
      </c>
      <c r="F23" s="7">
        <f t="shared" si="19"/>
        <v>0.01230634352</v>
      </c>
      <c r="G23" s="7">
        <f t="shared" si="19"/>
        <v>0.009740323542</v>
      </c>
      <c r="H23" s="7">
        <f t="shared" si="19"/>
        <v>0.01089924441</v>
      </c>
      <c r="I23" s="7">
        <f t="shared" si="19"/>
        <v>0.01738577114</v>
      </c>
      <c r="J23" s="7">
        <f t="shared" si="19"/>
        <v>0.01823829888</v>
      </c>
      <c r="K23" s="7">
        <f t="shared" si="19"/>
        <v>0.01588197783</v>
      </c>
      <c r="L23" s="7">
        <f t="shared" si="19"/>
        <v>0.01522252025</v>
      </c>
      <c r="M23" s="7">
        <f t="shared" si="19"/>
        <v>0.01449666648</v>
      </c>
      <c r="N23" s="7">
        <f t="shared" si="19"/>
        <v>0.01493971433</v>
      </c>
      <c r="O23" s="7">
        <f t="shared" si="19"/>
        <v>0.01598034817</v>
      </c>
      <c r="P23" s="7">
        <f t="shared" si="19"/>
        <v>0.01540876167</v>
      </c>
      <c r="Q23" s="7">
        <f t="shared" si="19"/>
        <v>0.01566750387</v>
      </c>
      <c r="R23" s="7">
        <f t="shared" si="19"/>
        <v>0.01545666569</v>
      </c>
      <c r="S23" s="7">
        <f t="shared" si="19"/>
        <v>0.01554521806</v>
      </c>
      <c r="T23" s="7">
        <f t="shared" si="19"/>
        <v>0.01402761561</v>
      </c>
      <c r="U23" s="7">
        <f t="shared" si="19"/>
        <v>0.01058283556</v>
      </c>
      <c r="V23" s="7">
        <f t="shared" si="19"/>
        <v>0.01073742097</v>
      </c>
      <c r="W23" s="7">
        <f t="shared" si="19"/>
        <v>0.007612977392</v>
      </c>
      <c r="X23" s="7">
        <f t="shared" si="19"/>
        <v>0.008288757553</v>
      </c>
      <c r="Y23" s="7">
        <f t="shared" si="19"/>
        <v>0.008054630133</v>
      </c>
      <c r="Z23" s="7">
        <f t="shared" si="19"/>
        <v>0.007618530412</v>
      </c>
      <c r="AA23" s="7">
        <f t="shared" si="19"/>
        <v>0.008350249241</v>
      </c>
      <c r="AB23" s="7">
        <f t="shared" si="19"/>
        <v>0.00688799929</v>
      </c>
    </row>
    <row r="24">
      <c r="B24" s="6" t="s">
        <v>7</v>
      </c>
      <c r="C24" s="7">
        <f t="shared" ref="C24:AB24" si="20">C10/C$11</f>
        <v>0.4637462746</v>
      </c>
      <c r="D24" s="7">
        <f t="shared" si="20"/>
        <v>0.09380999268</v>
      </c>
      <c r="E24" s="7">
        <f t="shared" si="20"/>
        <v>0.177260593</v>
      </c>
      <c r="F24" s="7">
        <f t="shared" si="20"/>
        <v>0.1081110481</v>
      </c>
      <c r="G24" s="7">
        <f t="shared" si="20"/>
        <v>0.1243660254</v>
      </c>
      <c r="H24" s="7">
        <f t="shared" si="20"/>
        <v>0.1414343832</v>
      </c>
      <c r="I24" s="7">
        <f t="shared" si="20"/>
        <v>0.2460997788</v>
      </c>
      <c r="J24" s="7">
        <f t="shared" si="20"/>
        <v>0.0784110479</v>
      </c>
      <c r="K24" s="7">
        <f t="shared" si="20"/>
        <v>0.08631037616</v>
      </c>
      <c r="L24" s="7">
        <f t="shared" si="20"/>
        <v>0.09372979633</v>
      </c>
      <c r="M24" s="7">
        <f t="shared" si="20"/>
        <v>0.09141942964</v>
      </c>
      <c r="N24" s="7">
        <f t="shared" si="20"/>
        <v>0.1055622065</v>
      </c>
      <c r="O24" s="7">
        <f t="shared" si="20"/>
        <v>0.1154112243</v>
      </c>
      <c r="P24" s="7">
        <f t="shared" si="20"/>
        <v>0.1824617699</v>
      </c>
      <c r="Q24" s="7">
        <f t="shared" si="20"/>
        <v>0.1903269395</v>
      </c>
      <c r="R24" s="7">
        <f t="shared" si="20"/>
        <v>0.194850299</v>
      </c>
      <c r="S24" s="7">
        <f t="shared" si="20"/>
        <v>0.2210374372</v>
      </c>
      <c r="T24" s="7">
        <f t="shared" si="20"/>
        <v>0.2222589499</v>
      </c>
      <c r="U24" s="7">
        <f t="shared" si="20"/>
        <v>0.2111224669</v>
      </c>
      <c r="V24" s="7">
        <f t="shared" si="20"/>
        <v>0.1796150284</v>
      </c>
      <c r="W24" s="7">
        <f t="shared" si="20"/>
        <v>0.1694829983</v>
      </c>
      <c r="X24" s="7">
        <f t="shared" si="20"/>
        <v>0.09619315188</v>
      </c>
      <c r="Y24" s="7">
        <f t="shared" si="20"/>
        <v>0.09847580939</v>
      </c>
      <c r="Z24" s="7">
        <f t="shared" si="20"/>
        <v>0.1299250165</v>
      </c>
      <c r="AA24" s="7">
        <f t="shared" si="20"/>
        <v>0.1876856288</v>
      </c>
      <c r="AB24" s="7">
        <f t="shared" si="20"/>
        <v>0.1794179632</v>
      </c>
    </row>
    <row r="25">
      <c r="B25" s="4" t="s">
        <v>8</v>
      </c>
      <c r="C25" s="7">
        <f t="shared" ref="C25:AB25" si="21">C11/$C$11</f>
        <v>1</v>
      </c>
      <c r="D25" s="7">
        <f t="shared" si="21"/>
        <v>1.129499283</v>
      </c>
      <c r="E25" s="7">
        <f t="shared" si="21"/>
        <v>1.409899392</v>
      </c>
      <c r="F25" s="7">
        <f t="shared" si="21"/>
        <v>1.383344451</v>
      </c>
      <c r="G25" s="7">
        <f t="shared" si="21"/>
        <v>1.45440549</v>
      </c>
      <c r="H25" s="7">
        <f t="shared" si="21"/>
        <v>1.500118919</v>
      </c>
      <c r="I25" s="7">
        <f t="shared" si="21"/>
        <v>1.572416242</v>
      </c>
      <c r="J25" s="7">
        <f t="shared" si="21"/>
        <v>1.498915502</v>
      </c>
      <c r="K25" s="7">
        <f t="shared" si="21"/>
        <v>1.55073598</v>
      </c>
      <c r="L25" s="7">
        <f t="shared" si="21"/>
        <v>1.579614685</v>
      </c>
      <c r="M25" s="7">
        <f t="shared" si="21"/>
        <v>1.523204027</v>
      </c>
      <c r="N25" s="7">
        <f t="shared" si="21"/>
        <v>1.610082083</v>
      </c>
      <c r="O25" s="7">
        <f t="shared" si="21"/>
        <v>1.698963803</v>
      </c>
      <c r="P25" s="7">
        <f t="shared" si="21"/>
        <v>1.761986698</v>
      </c>
      <c r="Q25" s="7">
        <f t="shared" si="21"/>
        <v>1.840419464</v>
      </c>
      <c r="R25" s="7">
        <f t="shared" si="21"/>
        <v>1.878033176</v>
      </c>
      <c r="S25" s="7">
        <f t="shared" si="21"/>
        <v>1.867335077</v>
      </c>
      <c r="T25" s="7">
        <f t="shared" si="21"/>
        <v>1.906512193</v>
      </c>
      <c r="U25" s="7">
        <f t="shared" si="21"/>
        <v>1.921460803</v>
      </c>
      <c r="V25" s="7">
        <f t="shared" si="21"/>
        <v>1.893797754</v>
      </c>
      <c r="W25" s="7">
        <f t="shared" si="21"/>
        <v>1.887637645</v>
      </c>
      <c r="X25" s="7">
        <f t="shared" si="21"/>
        <v>1.883145818</v>
      </c>
      <c r="Y25" s="7">
        <f t="shared" si="21"/>
        <v>1.937884032</v>
      </c>
      <c r="Z25" s="7">
        <f t="shared" si="21"/>
        <v>2.04881234</v>
      </c>
      <c r="AA25" s="7">
        <f t="shared" si="21"/>
        <v>2.092288615</v>
      </c>
      <c r="AB25" s="7">
        <f t="shared" si="21"/>
        <v>2.130460753</v>
      </c>
    </row>
    <row r="62">
      <c r="C62" s="1"/>
      <c r="D62" s="1"/>
      <c r="E62" s="2"/>
      <c r="F62" s="3"/>
      <c r="G62" s="3"/>
      <c r="H62" s="3"/>
      <c r="I62" s="3"/>
    </row>
    <row r="63">
      <c r="C63" s="5"/>
      <c r="D63" s="5"/>
      <c r="E63" s="5"/>
      <c r="F63" s="5"/>
      <c r="G63" s="5"/>
      <c r="H63" s="5"/>
      <c r="I63" s="5"/>
      <c r="J63" s="8"/>
    </row>
    <row r="64">
      <c r="C64" s="5"/>
      <c r="D64" s="5"/>
      <c r="E64" s="5"/>
      <c r="F64" s="5"/>
      <c r="G64" s="5"/>
      <c r="H64" s="5"/>
      <c r="I64" s="5"/>
      <c r="J64" s="5"/>
    </row>
    <row r="65">
      <c r="C65" s="5"/>
      <c r="D65" s="5"/>
      <c r="E65" s="5"/>
      <c r="F65" s="5"/>
      <c r="G65" s="5"/>
      <c r="H65" s="5"/>
      <c r="I65" s="5"/>
      <c r="J65" s="5"/>
    </row>
    <row r="66">
      <c r="C66" s="5"/>
      <c r="D66" s="5"/>
      <c r="E66" s="5"/>
      <c r="F66" s="5"/>
      <c r="G66" s="5"/>
      <c r="H66" s="5"/>
      <c r="I66" s="5"/>
      <c r="J66" s="5"/>
    </row>
    <row r="67">
      <c r="C67" s="5"/>
      <c r="D67" s="5"/>
      <c r="E67" s="5"/>
      <c r="F67" s="5"/>
      <c r="G67" s="5"/>
      <c r="H67" s="5"/>
      <c r="I67" s="5"/>
      <c r="J67" s="5"/>
    </row>
    <row r="68">
      <c r="C68" s="5"/>
      <c r="D68" s="5"/>
      <c r="E68" s="5"/>
      <c r="F68" s="5"/>
      <c r="G68" s="5"/>
      <c r="H68" s="5"/>
      <c r="I68" s="5"/>
      <c r="J68" s="5"/>
    </row>
    <row r="69">
      <c r="C69" s="5"/>
      <c r="D69" s="5"/>
      <c r="E69" s="5"/>
      <c r="F69" s="5"/>
      <c r="G69" s="5"/>
      <c r="H69" s="5"/>
      <c r="I69" s="5"/>
      <c r="J69" s="5"/>
    </row>
    <row r="70">
      <c r="C70" s="5"/>
      <c r="D70" s="5"/>
      <c r="E70" s="5"/>
      <c r="F70" s="5"/>
      <c r="G70" s="5"/>
      <c r="H70" s="5"/>
      <c r="I70" s="5"/>
      <c r="J70" s="5"/>
    </row>
    <row r="71">
      <c r="C71" s="5"/>
      <c r="D71" s="5"/>
      <c r="E71" s="5"/>
      <c r="F71" s="5"/>
      <c r="G71" s="5"/>
      <c r="H71" s="5"/>
      <c r="I71" s="5"/>
      <c r="J71" s="5"/>
    </row>
    <row r="72">
      <c r="D72" s="5"/>
      <c r="E72" s="5"/>
      <c r="F72" s="5"/>
      <c r="G72" s="5"/>
      <c r="H72" s="5"/>
      <c r="I7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4" t="s">
        <v>9</v>
      </c>
      <c r="E2" s="3">
        <v>44512.0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1692.0</v>
      </c>
      <c r="D5" s="4">
        <v>10366.0</v>
      </c>
      <c r="E5" s="4" t="s">
        <v>15</v>
      </c>
    </row>
    <row r="6">
      <c r="A6" s="4" t="s">
        <v>3</v>
      </c>
      <c r="B6" s="4" t="s">
        <v>16</v>
      </c>
      <c r="C6" s="4">
        <v>650.0</v>
      </c>
      <c r="D6" s="4">
        <v>1265.0</v>
      </c>
      <c r="E6" s="4" t="s">
        <v>15</v>
      </c>
    </row>
    <row r="7">
      <c r="A7" s="4" t="s">
        <v>3</v>
      </c>
      <c r="B7" s="4" t="s">
        <v>17</v>
      </c>
      <c r="C7" s="4">
        <v>700.0</v>
      </c>
      <c r="D7" s="4">
        <v>114.0</v>
      </c>
      <c r="E7" s="4" t="s">
        <v>15</v>
      </c>
    </row>
    <row r="8">
      <c r="A8" s="4" t="s">
        <v>4</v>
      </c>
      <c r="B8" s="4" t="s">
        <v>18</v>
      </c>
      <c r="D8" s="4">
        <v>3865.99</v>
      </c>
      <c r="E8" s="4" t="s">
        <v>15</v>
      </c>
      <c r="F8" s="4">
        <f>78.75+314.17+34.91</f>
        <v>427.83</v>
      </c>
    </row>
    <row r="9">
      <c r="A9" s="4" t="s">
        <v>5</v>
      </c>
      <c r="B9" s="4" t="s">
        <v>5</v>
      </c>
      <c r="D9" s="4">
        <v>2879.05</v>
      </c>
      <c r="E9" s="4" t="s">
        <v>19</v>
      </c>
    </row>
    <row r="10">
      <c r="A10" s="4" t="s">
        <v>3</v>
      </c>
      <c r="B10" s="4" t="s">
        <v>20</v>
      </c>
      <c r="D10" s="4">
        <v>5265.0</v>
      </c>
      <c r="E10" s="4" t="s">
        <v>21</v>
      </c>
    </row>
    <row r="11">
      <c r="A11" s="4" t="s">
        <v>6</v>
      </c>
      <c r="B11" s="4" t="s">
        <v>22</v>
      </c>
      <c r="D11" s="4">
        <v>500.0</v>
      </c>
      <c r="E11" s="4" t="s">
        <v>6</v>
      </c>
    </row>
    <row r="12">
      <c r="A12" s="4" t="s">
        <v>6</v>
      </c>
      <c r="B12" s="4" t="s">
        <v>23</v>
      </c>
      <c r="D12" s="4">
        <v>800.0</v>
      </c>
      <c r="E12" s="4" t="s">
        <v>6</v>
      </c>
    </row>
    <row r="13">
      <c r="A13" s="4" t="s">
        <v>6</v>
      </c>
      <c r="B13" s="4" t="s">
        <v>24</v>
      </c>
      <c r="D13" s="4">
        <v>100.0</v>
      </c>
      <c r="E13" s="4" t="s">
        <v>6</v>
      </c>
    </row>
    <row r="14">
      <c r="A14" s="4" t="s">
        <v>6</v>
      </c>
      <c r="B14" s="4" t="s">
        <v>25</v>
      </c>
      <c r="D14" s="4">
        <v>3000.0</v>
      </c>
      <c r="E14" s="4" t="s">
        <v>6</v>
      </c>
    </row>
    <row r="15">
      <c r="A15" s="4" t="s">
        <v>7</v>
      </c>
      <c r="B15" s="4" t="s">
        <v>26</v>
      </c>
      <c r="D15" s="4">
        <v>10020.0</v>
      </c>
      <c r="E15" s="4" t="s">
        <v>19</v>
      </c>
    </row>
    <row r="16">
      <c r="A16" s="4" t="s">
        <v>7</v>
      </c>
      <c r="B16" s="4" t="s">
        <v>27</v>
      </c>
      <c r="D16" s="4">
        <v>11400.0</v>
      </c>
      <c r="E16" s="4" t="s">
        <v>21</v>
      </c>
    </row>
    <row r="17">
      <c r="A17" s="4" t="s">
        <v>7</v>
      </c>
      <c r="B17" s="4" t="s">
        <v>7</v>
      </c>
      <c r="D17" s="4">
        <v>15900.0</v>
      </c>
      <c r="E17" s="4" t="s">
        <v>15</v>
      </c>
    </row>
    <row r="18">
      <c r="A18" s="4" t="s">
        <v>0</v>
      </c>
      <c r="B18" s="4" t="s">
        <v>28</v>
      </c>
      <c r="D18" s="9">
        <f>175000-160000</f>
        <v>15000</v>
      </c>
    </row>
    <row r="20">
      <c r="C20" s="6" t="s">
        <v>3</v>
      </c>
      <c r="D20" s="10">
        <f t="shared" ref="D20:D24" si="1">SUMIF($A$5:$A$17,C20,$D$5:$D$17)</f>
        <v>17010</v>
      </c>
      <c r="E20" s="11">
        <f t="shared" ref="E20:E24" si="2">D20/$D$25</f>
        <v>0.2597936557</v>
      </c>
    </row>
    <row r="21">
      <c r="C21" s="6" t="s">
        <v>4</v>
      </c>
      <c r="D21" s="10">
        <f t="shared" si="1"/>
        <v>3865.99</v>
      </c>
      <c r="E21" s="11">
        <f t="shared" si="2"/>
        <v>0.05904524839</v>
      </c>
    </row>
    <row r="22">
      <c r="C22" s="6" t="s">
        <v>5</v>
      </c>
      <c r="D22" s="10">
        <f t="shared" si="1"/>
        <v>2879.05</v>
      </c>
      <c r="E22" s="11">
        <f t="shared" si="2"/>
        <v>0.04397171808</v>
      </c>
    </row>
    <row r="23">
      <c r="C23" s="6" t="s">
        <v>6</v>
      </c>
      <c r="D23" s="10">
        <f t="shared" si="1"/>
        <v>4400</v>
      </c>
      <c r="E23" s="11">
        <f t="shared" si="2"/>
        <v>0.06720118079</v>
      </c>
    </row>
    <row r="24">
      <c r="C24" s="6" t="s">
        <v>7</v>
      </c>
      <c r="D24" s="10">
        <f t="shared" si="1"/>
        <v>37320</v>
      </c>
      <c r="E24" s="11">
        <f t="shared" si="2"/>
        <v>0.569988197</v>
      </c>
    </row>
    <row r="25">
      <c r="D25" s="10">
        <f>SUM(D20:D24)</f>
        <v>65475.04</v>
      </c>
    </row>
    <row r="28">
      <c r="C28" s="6" t="s">
        <v>3</v>
      </c>
      <c r="D28" s="10">
        <f t="shared" ref="D28:D31" si="3">SUMIF($A$5:$A$17,C28,$D$5:$D$17)</f>
        <v>17010</v>
      </c>
      <c r="E28" s="11">
        <f t="shared" ref="E28:E33" si="4">D28/$D$34</f>
        <v>0.2113698856</v>
      </c>
    </row>
    <row r="29">
      <c r="C29" s="6" t="s">
        <v>4</v>
      </c>
      <c r="D29" s="10">
        <f t="shared" si="3"/>
        <v>3865.99</v>
      </c>
      <c r="E29" s="11">
        <f t="shared" si="4"/>
        <v>0.04803961576</v>
      </c>
    </row>
    <row r="30">
      <c r="C30" s="6" t="s">
        <v>5</v>
      </c>
      <c r="D30" s="10">
        <f t="shared" si="3"/>
        <v>2879.05</v>
      </c>
      <c r="E30" s="11">
        <f t="shared" si="4"/>
        <v>0.03577568896</v>
      </c>
    </row>
    <row r="31">
      <c r="C31" s="6" t="s">
        <v>6</v>
      </c>
      <c r="D31" s="10">
        <f t="shared" si="3"/>
        <v>4400</v>
      </c>
      <c r="E31" s="11">
        <f t="shared" si="4"/>
        <v>0.05467533784</v>
      </c>
    </row>
    <row r="32">
      <c r="C32" s="6" t="s">
        <v>7</v>
      </c>
      <c r="D32" s="10">
        <f t="shared" ref="D32:D33" si="5">SUMIF($A$5:$A$18,C32,$D$5:$D$18)</f>
        <v>37320</v>
      </c>
      <c r="E32" s="11">
        <f t="shared" si="4"/>
        <v>0.4637462746</v>
      </c>
    </row>
    <row r="33">
      <c r="C33" s="4" t="s">
        <v>0</v>
      </c>
      <c r="D33" s="10">
        <f t="shared" si="5"/>
        <v>15000</v>
      </c>
      <c r="E33" s="11">
        <f t="shared" si="4"/>
        <v>0.1863931972</v>
      </c>
    </row>
    <row r="34">
      <c r="D34" s="10">
        <f>SUM(D28:D33)</f>
        <v>80475.04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4" t="s">
        <v>9</v>
      </c>
      <c r="E2" s="3">
        <v>45220.0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1692.0</v>
      </c>
      <c r="D5" s="4">
        <v>12757.0</v>
      </c>
      <c r="E5" s="4" t="s">
        <v>15</v>
      </c>
    </row>
    <row r="6">
      <c r="A6" s="4" t="s">
        <v>3</v>
      </c>
      <c r="B6" s="4" t="s">
        <v>16</v>
      </c>
      <c r="C6" s="4">
        <v>650.0</v>
      </c>
      <c r="D6" s="4">
        <v>1031.0</v>
      </c>
      <c r="E6" s="4" t="s">
        <v>15</v>
      </c>
    </row>
    <row r="7">
      <c r="A7" s="4" t="s">
        <v>3</v>
      </c>
      <c r="B7" s="4" t="s">
        <v>17</v>
      </c>
      <c r="C7" s="4">
        <v>250.0</v>
      </c>
      <c r="D7" s="4">
        <v>716.0</v>
      </c>
      <c r="E7" s="4" t="s">
        <v>15</v>
      </c>
    </row>
    <row r="8">
      <c r="A8" s="4" t="s">
        <v>3</v>
      </c>
      <c r="B8" s="4" t="s">
        <v>29</v>
      </c>
      <c r="C8" s="4">
        <v>180.0</v>
      </c>
      <c r="D8" s="4">
        <v>1878.0</v>
      </c>
      <c r="E8" s="4" t="s">
        <v>15</v>
      </c>
      <c r="F8" s="4"/>
    </row>
    <row r="9">
      <c r="A9" s="4" t="s">
        <v>4</v>
      </c>
      <c r="B9" s="4" t="s">
        <v>18</v>
      </c>
      <c r="D9" s="4">
        <v>4773.0</v>
      </c>
      <c r="E9" s="4" t="s">
        <v>21</v>
      </c>
    </row>
    <row r="10">
      <c r="A10" s="4" t="s">
        <v>5</v>
      </c>
      <c r="B10" s="4" t="s">
        <v>5</v>
      </c>
      <c r="D10" s="4">
        <v>5800.0</v>
      </c>
      <c r="E10" s="4" t="s">
        <v>19</v>
      </c>
    </row>
    <row r="11">
      <c r="A11" s="4" t="s">
        <v>3</v>
      </c>
      <c r="B11" s="4" t="s">
        <v>20</v>
      </c>
      <c r="D11" s="4">
        <v>6870.0</v>
      </c>
      <c r="E11" s="4" t="s">
        <v>21</v>
      </c>
    </row>
    <row r="12">
      <c r="A12" s="4" t="s">
        <v>6</v>
      </c>
      <c r="B12" s="4" t="s">
        <v>22</v>
      </c>
      <c r="D12" s="4">
        <v>630.0</v>
      </c>
      <c r="E12" s="4" t="s">
        <v>6</v>
      </c>
    </row>
    <row r="13">
      <c r="A13" s="4" t="s">
        <v>6</v>
      </c>
      <c r="B13" s="4" t="s">
        <v>23</v>
      </c>
      <c r="D13" s="4">
        <v>0.0</v>
      </c>
      <c r="E13" s="4" t="s">
        <v>6</v>
      </c>
    </row>
    <row r="14">
      <c r="A14" s="4" t="s">
        <v>6</v>
      </c>
      <c r="B14" s="4" t="s">
        <v>24</v>
      </c>
      <c r="D14" s="4">
        <v>0.0</v>
      </c>
      <c r="E14" s="4" t="s">
        <v>6</v>
      </c>
    </row>
    <row r="15">
      <c r="A15" s="4" t="s">
        <v>6</v>
      </c>
      <c r="B15" s="4" t="s">
        <v>25</v>
      </c>
      <c r="D15" s="4">
        <v>0.0</v>
      </c>
      <c r="E15" s="4" t="s">
        <v>6</v>
      </c>
    </row>
    <row r="16">
      <c r="A16" s="4" t="s">
        <v>7</v>
      </c>
      <c r="B16" s="4" t="s">
        <v>30</v>
      </c>
      <c r="D16" s="4">
        <v>1542.0</v>
      </c>
      <c r="E16" s="4" t="s">
        <v>21</v>
      </c>
    </row>
    <row r="17">
      <c r="A17" s="4" t="s">
        <v>7</v>
      </c>
      <c r="B17" s="4" t="s">
        <v>31</v>
      </c>
      <c r="D17" s="4">
        <v>5106.0</v>
      </c>
      <c r="E17" s="4" t="s">
        <v>21</v>
      </c>
    </row>
    <row r="18">
      <c r="A18" s="4" t="s">
        <v>7</v>
      </c>
      <c r="B18" s="4" t="s">
        <v>7</v>
      </c>
      <c r="D18" s="4">
        <v>1879.0</v>
      </c>
      <c r="E18" s="4" t="s">
        <v>15</v>
      </c>
    </row>
    <row r="19">
      <c r="A19" s="4" t="s">
        <v>1</v>
      </c>
      <c r="B19" s="4" t="s">
        <v>32</v>
      </c>
      <c r="D19" s="9">
        <f>(110000-71857)*0.5</f>
        <v>19071.5</v>
      </c>
    </row>
    <row r="20">
      <c r="A20" s="4" t="s">
        <v>0</v>
      </c>
      <c r="B20" s="4" t="s">
        <v>28</v>
      </c>
      <c r="D20" s="9">
        <f>175000-146157</f>
        <v>28843</v>
      </c>
    </row>
    <row r="22">
      <c r="C22" s="6" t="s">
        <v>3</v>
      </c>
      <c r="D22" s="10">
        <f t="shared" ref="D22:D27" si="1">SUMIF($A$5:$A$19,C22,$D$5:$D$19)</f>
        <v>23252</v>
      </c>
      <c r="E22" s="11">
        <f t="shared" ref="E22:E27" si="2">D22/$D$28</f>
        <v>0.3747089205</v>
      </c>
    </row>
    <row r="23">
      <c r="C23" s="6" t="s">
        <v>4</v>
      </c>
      <c r="D23" s="10">
        <f t="shared" si="1"/>
        <v>4773</v>
      </c>
      <c r="E23" s="11">
        <f t="shared" si="2"/>
        <v>0.07691749861</v>
      </c>
    </row>
    <row r="24">
      <c r="C24" s="6" t="s">
        <v>5</v>
      </c>
      <c r="D24" s="10">
        <f t="shared" si="1"/>
        <v>5800</v>
      </c>
      <c r="E24" s="11">
        <f t="shared" si="2"/>
        <v>0.09346773349</v>
      </c>
    </row>
    <row r="25">
      <c r="C25" s="6" t="s">
        <v>6</v>
      </c>
      <c r="D25" s="10">
        <f t="shared" si="1"/>
        <v>630</v>
      </c>
      <c r="E25" s="11">
        <f t="shared" si="2"/>
        <v>0.01015252967</v>
      </c>
    </row>
    <row r="26">
      <c r="C26" s="6" t="s">
        <v>7</v>
      </c>
      <c r="D26" s="10">
        <f t="shared" si="1"/>
        <v>8527</v>
      </c>
      <c r="E26" s="11">
        <f t="shared" si="2"/>
        <v>0.1374136834</v>
      </c>
    </row>
    <row r="27">
      <c r="C27" s="4" t="s">
        <v>1</v>
      </c>
      <c r="D27" s="10">
        <f t="shared" si="1"/>
        <v>19071.5</v>
      </c>
      <c r="E27" s="11">
        <f t="shared" si="2"/>
        <v>0.3073396343</v>
      </c>
    </row>
    <row r="28">
      <c r="D28" s="12">
        <f>SUM($D$22:D27)</f>
        <v>62053.5</v>
      </c>
      <c r="E28" s="11"/>
    </row>
    <row r="29">
      <c r="D29" s="12"/>
    </row>
    <row r="32">
      <c r="C32" s="6" t="s">
        <v>3</v>
      </c>
      <c r="D32" s="10">
        <f t="shared" ref="D32:D37" si="3">SUMIF($A$5:$A$19,C32,$D$5:$D$19)</f>
        <v>23252</v>
      </c>
      <c r="E32" s="11">
        <f t="shared" ref="E32:E38" si="4">D32/$D$39</f>
        <v>0.2558074293</v>
      </c>
    </row>
    <row r="33">
      <c r="C33" s="6" t="s">
        <v>4</v>
      </c>
      <c r="D33" s="10">
        <f t="shared" si="3"/>
        <v>4773</v>
      </c>
      <c r="E33" s="11">
        <f t="shared" si="4"/>
        <v>0.05251027267</v>
      </c>
    </row>
    <row r="34">
      <c r="C34" s="6" t="s">
        <v>5</v>
      </c>
      <c r="D34" s="10">
        <f t="shared" si="3"/>
        <v>5800</v>
      </c>
      <c r="E34" s="11">
        <f t="shared" si="4"/>
        <v>0.06380883752</v>
      </c>
    </row>
    <row r="35">
      <c r="C35" s="6" t="s">
        <v>6</v>
      </c>
      <c r="D35" s="10">
        <f t="shared" si="3"/>
        <v>630</v>
      </c>
      <c r="E35" s="11">
        <f t="shared" si="4"/>
        <v>0.006930959938</v>
      </c>
    </row>
    <row r="36">
      <c r="C36" s="6" t="s">
        <v>7</v>
      </c>
      <c r="D36" s="10">
        <f t="shared" si="3"/>
        <v>8527</v>
      </c>
      <c r="E36" s="11">
        <f t="shared" si="4"/>
        <v>0.09380999268</v>
      </c>
    </row>
    <row r="37">
      <c r="C37" s="4" t="s">
        <v>1</v>
      </c>
      <c r="D37" s="10">
        <f t="shared" si="3"/>
        <v>19071.5</v>
      </c>
      <c r="E37" s="11">
        <f t="shared" si="4"/>
        <v>0.2098155595</v>
      </c>
    </row>
    <row r="38">
      <c r="C38" s="4" t="s">
        <v>0</v>
      </c>
      <c r="D38" s="10">
        <f>SUMIF($A$5:$A$20,C38,$D$5:$D$20)</f>
        <v>28843</v>
      </c>
      <c r="E38" s="11">
        <f t="shared" si="4"/>
        <v>0.3173169484</v>
      </c>
    </row>
    <row r="39">
      <c r="D39" s="12">
        <f>SUM(D32:D38)</f>
        <v>90896.5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4" t="s">
        <v>9</v>
      </c>
      <c r="E2" s="3">
        <v>45456.0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4">
        <v>7346.59</v>
      </c>
      <c r="E5" s="4" t="s">
        <v>15</v>
      </c>
    </row>
    <row r="6">
      <c r="A6" s="4" t="s">
        <v>3</v>
      </c>
      <c r="B6" s="4" t="s">
        <v>16</v>
      </c>
      <c r="C6" s="4">
        <v>650.0</v>
      </c>
      <c r="D6" s="4">
        <v>1294.48</v>
      </c>
      <c r="E6" s="4" t="s">
        <v>15</v>
      </c>
    </row>
    <row r="7">
      <c r="A7" s="4" t="s">
        <v>3</v>
      </c>
      <c r="B7" s="4" t="s">
        <v>17</v>
      </c>
      <c r="C7" s="4">
        <v>250.0</v>
      </c>
      <c r="D7" s="4">
        <v>807.5</v>
      </c>
      <c r="E7" s="4" t="s">
        <v>15</v>
      </c>
    </row>
    <row r="8">
      <c r="A8" s="4" t="s">
        <v>3</v>
      </c>
      <c r="B8" s="4" t="s">
        <v>29</v>
      </c>
      <c r="C8" s="4">
        <v>180.0</v>
      </c>
      <c r="D8" s="4">
        <v>1679.4</v>
      </c>
      <c r="E8" s="4" t="s">
        <v>15</v>
      </c>
    </row>
    <row r="9">
      <c r="A9" s="4" t="s">
        <v>3</v>
      </c>
      <c r="B9" s="4" t="s">
        <v>21</v>
      </c>
      <c r="C9" s="13">
        <v>180.0</v>
      </c>
      <c r="D9" s="13">
        <v>1392.0</v>
      </c>
      <c r="E9" s="4" t="s">
        <v>21</v>
      </c>
    </row>
    <row r="10">
      <c r="A10" s="4" t="s">
        <v>4</v>
      </c>
      <c r="B10" s="4" t="s">
        <v>18</v>
      </c>
      <c r="D10" s="13">
        <v>7728.0</v>
      </c>
      <c r="E10" s="4" t="s">
        <v>21</v>
      </c>
    </row>
    <row r="11">
      <c r="A11" s="4" t="s">
        <v>5</v>
      </c>
      <c r="B11" s="4" t="s">
        <v>33</v>
      </c>
      <c r="D11" s="13">
        <v>7906.0</v>
      </c>
      <c r="E11" s="4" t="s">
        <v>19</v>
      </c>
      <c r="F11" s="11"/>
    </row>
    <row r="12">
      <c r="A12" s="4" t="s">
        <v>5</v>
      </c>
      <c r="B12" s="4" t="s">
        <v>5</v>
      </c>
      <c r="D12" s="13">
        <v>2086.0</v>
      </c>
      <c r="E12" s="4" t="s">
        <v>21</v>
      </c>
    </row>
    <row r="13">
      <c r="A13" s="4" t="s">
        <v>3</v>
      </c>
      <c r="B13" s="4" t="s">
        <v>20</v>
      </c>
      <c r="D13" s="13">
        <v>10732.0</v>
      </c>
      <c r="E13" s="4" t="s">
        <v>21</v>
      </c>
    </row>
    <row r="14">
      <c r="A14" s="4" t="s">
        <v>6</v>
      </c>
      <c r="B14" s="4" t="s">
        <v>22</v>
      </c>
      <c r="D14" s="4">
        <v>1370.0</v>
      </c>
      <c r="E14" s="4" t="s">
        <v>6</v>
      </c>
    </row>
    <row r="15">
      <c r="A15" s="4" t="s">
        <v>6</v>
      </c>
      <c r="B15" s="4" t="s">
        <v>23</v>
      </c>
      <c r="D15" s="4">
        <v>0.0</v>
      </c>
      <c r="E15" s="4" t="s">
        <v>6</v>
      </c>
    </row>
    <row r="16">
      <c r="A16" s="4" t="s">
        <v>6</v>
      </c>
      <c r="B16" s="4" t="s">
        <v>24</v>
      </c>
      <c r="D16" s="4">
        <v>0.0</v>
      </c>
      <c r="E16" s="4" t="s">
        <v>6</v>
      </c>
    </row>
    <row r="17">
      <c r="A17" s="4" t="s">
        <v>6</v>
      </c>
      <c r="B17" s="4" t="s">
        <v>25</v>
      </c>
      <c r="D17" s="4">
        <v>0.0</v>
      </c>
      <c r="E17" s="4" t="s">
        <v>6</v>
      </c>
    </row>
    <row r="18">
      <c r="A18" s="4" t="s">
        <v>7</v>
      </c>
      <c r="B18" s="4" t="s">
        <v>30</v>
      </c>
      <c r="D18" s="13">
        <v>1190.0</v>
      </c>
      <c r="E18" s="4" t="s">
        <v>21</v>
      </c>
    </row>
    <row r="19">
      <c r="A19" s="4" t="s">
        <v>7</v>
      </c>
      <c r="B19" s="4" t="s">
        <v>31</v>
      </c>
      <c r="D19" s="13">
        <v>3400.0</v>
      </c>
      <c r="E19" s="4" t="s">
        <v>21</v>
      </c>
    </row>
    <row r="20">
      <c r="A20" s="4" t="s">
        <v>7</v>
      </c>
      <c r="B20" s="4" t="s">
        <v>7</v>
      </c>
      <c r="D20" s="4">
        <v>1846.74</v>
      </c>
      <c r="E20" s="4" t="s">
        <v>34</v>
      </c>
    </row>
    <row r="21">
      <c r="A21" s="4" t="s">
        <v>7</v>
      </c>
      <c r="B21" s="4" t="s">
        <v>7</v>
      </c>
      <c r="D21" s="4">
        <v>9955.61</v>
      </c>
      <c r="E21" s="4" t="s">
        <v>35</v>
      </c>
    </row>
    <row r="22">
      <c r="A22" s="4" t="s">
        <v>7</v>
      </c>
      <c r="B22" s="4" t="s">
        <v>7</v>
      </c>
      <c r="D22" s="4">
        <v>3719.94</v>
      </c>
      <c r="E22" s="4" t="s">
        <v>15</v>
      </c>
    </row>
    <row r="23">
      <c r="A23" s="4" t="s">
        <v>1</v>
      </c>
      <c r="B23" s="4" t="s">
        <v>32</v>
      </c>
      <c r="D23" s="9">
        <f>(110000-70000)*0.5</f>
        <v>20000</v>
      </c>
    </row>
    <row r="24">
      <c r="A24" s="4" t="s">
        <v>0</v>
      </c>
      <c r="B24" s="4" t="s">
        <v>28</v>
      </c>
      <c r="D24" s="9">
        <f>175000-143992.55</f>
        <v>31007.45</v>
      </c>
    </row>
    <row r="26">
      <c r="C26" s="6" t="s">
        <v>3</v>
      </c>
      <c r="D26" s="10">
        <f t="shared" ref="D26:D31" si="1">SUMIF($A$5:$A$24,C26,$D$5:$D$24)</f>
        <v>23251.97</v>
      </c>
      <c r="E26" s="11">
        <f t="shared" ref="E26:E31" si="2">D26/$D$32</f>
        <v>0.2819984074</v>
      </c>
    </row>
    <row r="27">
      <c r="C27" s="6" t="s">
        <v>4</v>
      </c>
      <c r="D27" s="10">
        <f t="shared" si="1"/>
        <v>7728</v>
      </c>
      <c r="E27" s="11">
        <f t="shared" si="2"/>
        <v>0.09372469051</v>
      </c>
    </row>
    <row r="28">
      <c r="C28" s="6" t="s">
        <v>5</v>
      </c>
      <c r="D28" s="10">
        <f t="shared" si="1"/>
        <v>9992</v>
      </c>
      <c r="E28" s="11">
        <f t="shared" si="2"/>
        <v>0.1211823379</v>
      </c>
    </row>
    <row r="29">
      <c r="C29" s="6" t="s">
        <v>6</v>
      </c>
      <c r="D29" s="10">
        <f t="shared" si="1"/>
        <v>1370</v>
      </c>
      <c r="E29" s="11">
        <f t="shared" si="2"/>
        <v>0.01661527252</v>
      </c>
    </row>
    <row r="30">
      <c r="C30" s="6" t="s">
        <v>7</v>
      </c>
      <c r="D30" s="10">
        <f t="shared" si="1"/>
        <v>20112.29</v>
      </c>
      <c r="E30" s="11">
        <f t="shared" si="2"/>
        <v>0.2439205688</v>
      </c>
    </row>
    <row r="31">
      <c r="C31" s="4" t="s">
        <v>1</v>
      </c>
      <c r="D31" s="10">
        <f t="shared" si="1"/>
        <v>20000</v>
      </c>
      <c r="E31" s="11">
        <f t="shared" si="2"/>
        <v>0.2425587229</v>
      </c>
    </row>
    <row r="32">
      <c r="D32" s="12">
        <f>SUM($D$26:D31)</f>
        <v>82454.26</v>
      </c>
      <c r="E32" s="11"/>
    </row>
    <row r="33">
      <c r="D33" s="12"/>
    </row>
    <row r="36">
      <c r="C36" s="6" t="s">
        <v>3</v>
      </c>
      <c r="D36" s="10">
        <f t="shared" ref="D36:D41" si="3">SUMIF($A$5:$A$23,C36,$D$5:$D$23)</f>
        <v>23251.97</v>
      </c>
      <c r="E36" s="11">
        <f t="shared" ref="E36:E42" si="4">D36/$D$43</f>
        <v>0.2049323071</v>
      </c>
    </row>
    <row r="37">
      <c r="C37" s="6" t="s">
        <v>4</v>
      </c>
      <c r="D37" s="10">
        <f t="shared" si="3"/>
        <v>7728</v>
      </c>
      <c r="E37" s="11">
        <f t="shared" si="4"/>
        <v>0.06811108347</v>
      </c>
    </row>
    <row r="38">
      <c r="C38" s="6" t="s">
        <v>5</v>
      </c>
      <c r="D38" s="10">
        <f t="shared" si="3"/>
        <v>9992</v>
      </c>
      <c r="E38" s="11">
        <f t="shared" si="4"/>
        <v>0.0880649516</v>
      </c>
    </row>
    <row r="39">
      <c r="C39" s="6" t="s">
        <v>6</v>
      </c>
      <c r="D39" s="10">
        <f t="shared" si="3"/>
        <v>1370</v>
      </c>
      <c r="E39" s="11">
        <f t="shared" si="4"/>
        <v>0.01207455802</v>
      </c>
    </row>
    <row r="40">
      <c r="C40" s="6" t="s">
        <v>7</v>
      </c>
      <c r="D40" s="10">
        <f t="shared" si="3"/>
        <v>20112.29</v>
      </c>
      <c r="E40" s="11">
        <f t="shared" si="4"/>
        <v>0.177260593</v>
      </c>
    </row>
    <row r="41">
      <c r="C41" s="4" t="s">
        <v>1</v>
      </c>
      <c r="D41" s="10">
        <f t="shared" si="3"/>
        <v>20000</v>
      </c>
      <c r="E41" s="11">
        <f t="shared" si="4"/>
        <v>0.1762709199</v>
      </c>
    </row>
    <row r="42">
      <c r="C42" s="4" t="s">
        <v>0</v>
      </c>
      <c r="D42" s="10">
        <f>SUMIF($A$5:$A$24,C42,$D$5:$D$24)</f>
        <v>31007.45</v>
      </c>
      <c r="E42" s="11">
        <f t="shared" si="4"/>
        <v>0.2732855868</v>
      </c>
    </row>
    <row r="43">
      <c r="D43" s="12">
        <f>SUM(D36:D42)</f>
        <v>113461.71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4" t="s">
        <v>9</v>
      </c>
      <c r="E2" s="3">
        <v>45510.0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4">
        <v>6884.06</v>
      </c>
      <c r="E5" s="4" t="s">
        <v>15</v>
      </c>
    </row>
    <row r="6">
      <c r="A6" s="4" t="s">
        <v>3</v>
      </c>
      <c r="B6" s="4" t="s">
        <v>16</v>
      </c>
      <c r="C6" s="4">
        <v>650.0</v>
      </c>
      <c r="D6" s="4">
        <v>1232.73</v>
      </c>
      <c r="E6" s="4" t="s">
        <v>15</v>
      </c>
    </row>
    <row r="7">
      <c r="A7" s="4" t="s">
        <v>3</v>
      </c>
      <c r="B7" s="4" t="s">
        <v>17</v>
      </c>
      <c r="C7" s="4">
        <v>0.0</v>
      </c>
      <c r="D7" s="4">
        <v>0.0</v>
      </c>
      <c r="E7" s="4" t="s">
        <v>15</v>
      </c>
    </row>
    <row r="8">
      <c r="A8" s="4" t="s">
        <v>3</v>
      </c>
      <c r="B8" s="4" t="s">
        <v>29</v>
      </c>
      <c r="C8" s="4">
        <v>180.0</v>
      </c>
      <c r="D8" s="4">
        <v>1587.96</v>
      </c>
      <c r="E8" s="4" t="s">
        <v>15</v>
      </c>
    </row>
    <row r="9">
      <c r="A9" s="4" t="s">
        <v>3</v>
      </c>
      <c r="B9" s="4" t="s">
        <v>21</v>
      </c>
      <c r="C9" s="4">
        <v>120.0</v>
      </c>
      <c r="D9" s="4">
        <v>861.36</v>
      </c>
      <c r="E9" s="4" t="s">
        <v>21</v>
      </c>
    </row>
    <row r="10">
      <c r="A10" s="4" t="s">
        <v>4</v>
      </c>
      <c r="B10" s="4" t="s">
        <v>18</v>
      </c>
      <c r="D10" s="4">
        <v>7380.47</v>
      </c>
      <c r="E10" s="4" t="s">
        <v>21</v>
      </c>
    </row>
    <row r="11">
      <c r="A11" s="4" t="s">
        <v>5</v>
      </c>
      <c r="B11" s="4" t="s">
        <v>33</v>
      </c>
      <c r="D11" s="4">
        <v>7904.82</v>
      </c>
      <c r="E11" s="4" t="s">
        <v>19</v>
      </c>
      <c r="F11" s="11"/>
    </row>
    <row r="12">
      <c r="A12" s="4" t="s">
        <v>5</v>
      </c>
      <c r="B12" s="4" t="s">
        <v>5</v>
      </c>
      <c r="D12" s="4">
        <v>2034.11</v>
      </c>
      <c r="E12" s="4" t="s">
        <v>21</v>
      </c>
    </row>
    <row r="13">
      <c r="A13" s="4" t="s">
        <v>3</v>
      </c>
      <c r="B13" s="4" t="s">
        <v>20</v>
      </c>
      <c r="D13" s="4">
        <v>10508.58</v>
      </c>
      <c r="E13" s="4" t="s">
        <v>21</v>
      </c>
    </row>
    <row r="14">
      <c r="A14" s="4" t="s">
        <v>6</v>
      </c>
      <c r="B14" s="4" t="s">
        <v>22</v>
      </c>
      <c r="D14" s="4">
        <v>1370.0</v>
      </c>
      <c r="E14" s="4" t="s">
        <v>6</v>
      </c>
    </row>
    <row r="15">
      <c r="A15" s="4" t="s">
        <v>6</v>
      </c>
      <c r="B15" s="4" t="s">
        <v>23</v>
      </c>
      <c r="D15" s="4">
        <v>0.0</v>
      </c>
      <c r="E15" s="4" t="s">
        <v>6</v>
      </c>
    </row>
    <row r="16">
      <c r="A16" s="4" t="s">
        <v>6</v>
      </c>
      <c r="B16" s="4" t="s">
        <v>24</v>
      </c>
      <c r="D16" s="4">
        <v>0.0</v>
      </c>
      <c r="E16" s="4" t="s">
        <v>6</v>
      </c>
    </row>
    <row r="17">
      <c r="A17" s="4" t="s">
        <v>6</v>
      </c>
      <c r="B17" s="4" t="s">
        <v>25</v>
      </c>
      <c r="D17" s="4">
        <v>0.0</v>
      </c>
      <c r="E17" s="4" t="s">
        <v>6</v>
      </c>
    </row>
    <row r="18">
      <c r="A18" s="4" t="s">
        <v>7</v>
      </c>
      <c r="B18" s="4" t="s">
        <v>30</v>
      </c>
      <c r="D18" s="14">
        <f>2025.34*0.5</f>
        <v>1012.67</v>
      </c>
      <c r="E18" s="4" t="s">
        <v>36</v>
      </c>
    </row>
    <row r="19">
      <c r="A19" s="4" t="s">
        <v>7</v>
      </c>
      <c r="B19" s="4" t="s">
        <v>30</v>
      </c>
      <c r="D19" s="4">
        <v>650.55</v>
      </c>
      <c r="E19" s="4" t="s">
        <v>21</v>
      </c>
    </row>
    <row r="20">
      <c r="A20" s="4" t="s">
        <v>7</v>
      </c>
      <c r="B20" s="4" t="s">
        <v>31</v>
      </c>
      <c r="D20" s="4">
        <v>941.72</v>
      </c>
      <c r="E20" s="4" t="s">
        <v>21</v>
      </c>
    </row>
    <row r="21">
      <c r="A21" s="4" t="s">
        <v>7</v>
      </c>
      <c r="B21" s="4" t="s">
        <v>7</v>
      </c>
      <c r="D21" s="4">
        <v>1661.46</v>
      </c>
      <c r="E21" s="4" t="s">
        <v>34</v>
      </c>
    </row>
    <row r="22">
      <c r="A22" s="4" t="s">
        <v>7</v>
      </c>
      <c r="B22" s="4" t="s">
        <v>7</v>
      </c>
      <c r="D22" s="4">
        <v>3932.62</v>
      </c>
      <c r="E22" s="4" t="s">
        <v>35</v>
      </c>
    </row>
    <row r="23">
      <c r="A23" s="4" t="s">
        <v>7</v>
      </c>
      <c r="B23" s="4" t="s">
        <v>7</v>
      </c>
      <c r="D23" s="4">
        <v>3836.41</v>
      </c>
      <c r="E23" s="4" t="s">
        <v>15</v>
      </c>
    </row>
    <row r="24">
      <c r="A24" s="4" t="s">
        <v>1</v>
      </c>
      <c r="B24" s="4" t="s">
        <v>32</v>
      </c>
      <c r="D24" s="9">
        <f>(110000-70000)*0.5</f>
        <v>20000</v>
      </c>
    </row>
    <row r="25">
      <c r="A25" s="4" t="s">
        <v>2</v>
      </c>
      <c r="D25" s="4">
        <f>(16000)/2</f>
        <v>8000</v>
      </c>
    </row>
    <row r="26">
      <c r="A26" s="4" t="s">
        <v>0</v>
      </c>
      <c r="B26" s="4" t="s">
        <v>28</v>
      </c>
      <c r="D26" s="9">
        <f>175000-143474.82</f>
        <v>31525.18</v>
      </c>
    </row>
    <row r="27">
      <c r="E27" s="11"/>
    </row>
    <row r="28">
      <c r="C28" s="6" t="s">
        <v>3</v>
      </c>
      <c r="D28" s="10">
        <f t="shared" ref="D28:D34" si="1">SUMIF($A$5:$A$26,C28,$D$5:$D$26)</f>
        <v>21074.69</v>
      </c>
      <c r="E28" s="11">
        <f t="shared" ref="E28:E33" si="2">D28/$D$35</f>
        <v>0.2640954482</v>
      </c>
    </row>
    <row r="29">
      <c r="C29" s="6" t="s">
        <v>4</v>
      </c>
      <c r="D29" s="10">
        <f t="shared" si="1"/>
        <v>7380.47</v>
      </c>
      <c r="E29" s="11">
        <f t="shared" si="2"/>
        <v>0.09248764905</v>
      </c>
    </row>
    <row r="30">
      <c r="C30" s="6" t="s">
        <v>5</v>
      </c>
      <c r="D30" s="10">
        <f t="shared" si="1"/>
        <v>9938.93</v>
      </c>
      <c r="E30" s="11">
        <f t="shared" si="2"/>
        <v>0.1245487442</v>
      </c>
    </row>
    <row r="31">
      <c r="C31" s="6" t="s">
        <v>6</v>
      </c>
      <c r="D31" s="10">
        <f t="shared" si="1"/>
        <v>1370</v>
      </c>
      <c r="E31" s="11">
        <f t="shared" si="2"/>
        <v>0.01716802307</v>
      </c>
    </row>
    <row r="32">
      <c r="C32" s="6" t="s">
        <v>7</v>
      </c>
      <c r="D32" s="10">
        <f t="shared" si="1"/>
        <v>12035.43</v>
      </c>
      <c r="E32" s="11">
        <f t="shared" si="2"/>
        <v>0.150820832</v>
      </c>
    </row>
    <row r="33">
      <c r="C33" s="4" t="s">
        <v>1</v>
      </c>
      <c r="D33" s="10">
        <f t="shared" si="1"/>
        <v>20000</v>
      </c>
      <c r="E33" s="11">
        <f t="shared" si="2"/>
        <v>0.250628074</v>
      </c>
    </row>
    <row r="34">
      <c r="C34" s="4" t="s">
        <v>2</v>
      </c>
      <c r="D34" s="10">
        <f t="shared" si="1"/>
        <v>8000</v>
      </c>
      <c r="E34" s="11"/>
    </row>
    <row r="35">
      <c r="D35" s="12">
        <f>SUM($D$28:D34)</f>
        <v>79799.52</v>
      </c>
      <c r="E35" s="11"/>
    </row>
    <row r="36">
      <c r="D36" s="12"/>
    </row>
    <row r="39">
      <c r="C39" s="6" t="s">
        <v>3</v>
      </c>
      <c r="D39" s="10">
        <f t="shared" ref="D39:D46" si="3">SUMIF($A$5:$A$26,C39,$D$5:$D$26)</f>
        <v>21074.69</v>
      </c>
      <c r="E39" s="11">
        <f t="shared" ref="E39:E46" si="4">D39/$D$47</f>
        <v>0.1893083026</v>
      </c>
    </row>
    <row r="40">
      <c r="C40" s="6" t="s">
        <v>4</v>
      </c>
      <c r="D40" s="10">
        <f t="shared" si="3"/>
        <v>7380.47</v>
      </c>
      <c r="E40" s="11">
        <f t="shared" si="4"/>
        <v>0.06629678769</v>
      </c>
    </row>
    <row r="41">
      <c r="C41" s="6" t="s">
        <v>5</v>
      </c>
      <c r="D41" s="10">
        <f t="shared" si="3"/>
        <v>9938.93</v>
      </c>
      <c r="E41" s="11">
        <f t="shared" si="4"/>
        <v>0.08927874946</v>
      </c>
    </row>
    <row r="42">
      <c r="C42" s="6" t="s">
        <v>6</v>
      </c>
      <c r="D42" s="10">
        <f t="shared" si="3"/>
        <v>1370</v>
      </c>
      <c r="E42" s="11">
        <f t="shared" si="4"/>
        <v>0.01230634352</v>
      </c>
    </row>
    <row r="43">
      <c r="C43" s="6" t="s">
        <v>7</v>
      </c>
      <c r="D43" s="10">
        <f t="shared" si="3"/>
        <v>12035.43</v>
      </c>
      <c r="E43" s="11">
        <f t="shared" si="4"/>
        <v>0.1081110481</v>
      </c>
    </row>
    <row r="44">
      <c r="C44" s="4" t="s">
        <v>1</v>
      </c>
      <c r="D44" s="10">
        <f t="shared" si="3"/>
        <v>20000</v>
      </c>
      <c r="E44" s="11">
        <f t="shared" si="4"/>
        <v>0.1796546499</v>
      </c>
    </row>
    <row r="45">
      <c r="C45" s="4" t="s">
        <v>0</v>
      </c>
      <c r="D45" s="10">
        <f t="shared" si="3"/>
        <v>31525.18</v>
      </c>
      <c r="E45" s="11">
        <f t="shared" si="4"/>
        <v>0.2831822587</v>
      </c>
    </row>
    <row r="46">
      <c r="C46" s="4" t="s">
        <v>2</v>
      </c>
      <c r="D46" s="10">
        <f t="shared" si="3"/>
        <v>8000</v>
      </c>
      <c r="E46" s="11">
        <f t="shared" si="4"/>
        <v>0.07186185995</v>
      </c>
    </row>
    <row r="47">
      <c r="D47" s="12">
        <f>SUM(D39:D46)</f>
        <v>111324.7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4" t="s">
        <v>9</v>
      </c>
      <c r="E2" s="3">
        <v>45538.0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14">
        <v>7373.52</v>
      </c>
      <c r="E5" s="4" t="s">
        <v>15</v>
      </c>
    </row>
    <row r="6">
      <c r="A6" s="4" t="s">
        <v>3</v>
      </c>
      <c r="B6" s="4" t="s">
        <v>16</v>
      </c>
      <c r="C6" s="4">
        <v>0.0</v>
      </c>
      <c r="D6" s="14">
        <v>1403.0</v>
      </c>
      <c r="E6" s="4" t="s">
        <v>15</v>
      </c>
    </row>
    <row r="7">
      <c r="A7" s="4" t="s">
        <v>3</v>
      </c>
      <c r="B7" s="4" t="s">
        <v>17</v>
      </c>
      <c r="D7" s="14">
        <v>0.0</v>
      </c>
      <c r="E7" s="4" t="s">
        <v>15</v>
      </c>
    </row>
    <row r="8">
      <c r="A8" s="4" t="s">
        <v>3</v>
      </c>
      <c r="B8" s="4" t="s">
        <v>29</v>
      </c>
      <c r="C8" s="4">
        <v>180.0</v>
      </c>
      <c r="D8" s="14">
        <v>1773.0</v>
      </c>
      <c r="E8" s="4" t="s">
        <v>15</v>
      </c>
    </row>
    <row r="9">
      <c r="A9" s="4" t="s">
        <v>3</v>
      </c>
      <c r="B9" s="4" t="s">
        <v>21</v>
      </c>
      <c r="C9" s="4">
        <v>120.0</v>
      </c>
      <c r="D9" s="14">
        <v>950.88</v>
      </c>
      <c r="E9" s="4" t="s">
        <v>21</v>
      </c>
    </row>
    <row r="10">
      <c r="A10" s="4" t="s">
        <v>4</v>
      </c>
      <c r="B10" s="4" t="s">
        <v>18</v>
      </c>
      <c r="D10" s="14">
        <v>8001.98</v>
      </c>
      <c r="E10" s="4" t="s">
        <v>21</v>
      </c>
    </row>
    <row r="11">
      <c r="A11" s="4" t="s">
        <v>5</v>
      </c>
      <c r="B11" s="4" t="s">
        <v>33</v>
      </c>
      <c r="D11" s="14">
        <v>8430.47</v>
      </c>
      <c r="E11" s="4" t="s">
        <v>19</v>
      </c>
      <c r="F11" s="11"/>
    </row>
    <row r="12">
      <c r="A12" s="4" t="s">
        <v>5</v>
      </c>
      <c r="B12" s="4" t="s">
        <v>5</v>
      </c>
      <c r="D12" s="14">
        <v>2110.18</v>
      </c>
      <c r="E12" s="4" t="s">
        <v>21</v>
      </c>
    </row>
    <row r="13">
      <c r="A13" s="4" t="s">
        <v>3</v>
      </c>
      <c r="B13" s="4" t="s">
        <v>20</v>
      </c>
      <c r="D13" s="14">
        <v>11284.33</v>
      </c>
      <c r="E13" s="4" t="s">
        <v>21</v>
      </c>
    </row>
    <row r="14">
      <c r="A14" s="4" t="s">
        <v>6</v>
      </c>
      <c r="B14" s="4" t="s">
        <v>22</v>
      </c>
      <c r="D14" s="14">
        <v>1140.04</v>
      </c>
      <c r="E14" s="4" t="s">
        <v>6</v>
      </c>
    </row>
    <row r="15">
      <c r="A15" s="4" t="s">
        <v>6</v>
      </c>
      <c r="B15" s="4" t="s">
        <v>23</v>
      </c>
      <c r="D15" s="14">
        <v>0.0</v>
      </c>
      <c r="E15" s="4" t="s">
        <v>6</v>
      </c>
    </row>
    <row r="16">
      <c r="A16" s="4" t="s">
        <v>6</v>
      </c>
      <c r="B16" s="4" t="s">
        <v>24</v>
      </c>
      <c r="D16" s="14">
        <v>0.0</v>
      </c>
      <c r="E16" s="4" t="s">
        <v>6</v>
      </c>
    </row>
    <row r="17">
      <c r="A17" s="4" t="s">
        <v>6</v>
      </c>
      <c r="B17" s="4" t="s">
        <v>25</v>
      </c>
      <c r="D17" s="14">
        <v>0.0</v>
      </c>
      <c r="E17" s="4" t="s">
        <v>6</v>
      </c>
    </row>
    <row r="18">
      <c r="A18" s="4" t="s">
        <v>7</v>
      </c>
      <c r="B18" s="4" t="s">
        <v>30</v>
      </c>
      <c r="D18" s="14">
        <f>2025.34*0.5</f>
        <v>1012.67</v>
      </c>
      <c r="E18" s="4" t="s">
        <v>36</v>
      </c>
    </row>
    <row r="19">
      <c r="A19" s="4" t="s">
        <v>7</v>
      </c>
      <c r="B19" s="4" t="s">
        <v>30</v>
      </c>
      <c r="D19" s="14">
        <f>236.63*0.5</f>
        <v>118.315</v>
      </c>
      <c r="E19" s="4" t="s">
        <v>21</v>
      </c>
    </row>
    <row r="20">
      <c r="A20" s="4" t="s">
        <v>7</v>
      </c>
      <c r="B20" s="4" t="s">
        <v>31</v>
      </c>
      <c r="D20" s="14">
        <v>1040.3</v>
      </c>
      <c r="E20" s="4" t="s">
        <v>21</v>
      </c>
    </row>
    <row r="21">
      <c r="A21" s="4" t="s">
        <v>7</v>
      </c>
      <c r="B21" s="4" t="s">
        <v>7</v>
      </c>
      <c r="D21" s="14">
        <v>2576.22</v>
      </c>
      <c r="E21" s="4" t="s">
        <v>34</v>
      </c>
    </row>
    <row r="22">
      <c r="A22" s="4" t="s">
        <v>7</v>
      </c>
      <c r="B22" s="4" t="s">
        <v>7</v>
      </c>
      <c r="D22" s="14">
        <v>4921.41</v>
      </c>
      <c r="E22" s="4" t="s">
        <v>35</v>
      </c>
    </row>
    <row r="23">
      <c r="A23" s="4" t="s">
        <v>7</v>
      </c>
      <c r="B23" s="4" t="s">
        <v>7</v>
      </c>
      <c r="D23" s="14">
        <v>4887.3</v>
      </c>
      <c r="E23" s="4" t="s">
        <v>15</v>
      </c>
    </row>
    <row r="24">
      <c r="A24" s="4" t="s">
        <v>1</v>
      </c>
      <c r="B24" s="4" t="s">
        <v>32</v>
      </c>
      <c r="D24" s="15">
        <f>(110000-69531.37)*0.5</f>
        <v>20234.315</v>
      </c>
    </row>
    <row r="25">
      <c r="A25" s="4" t="s">
        <v>2</v>
      </c>
      <c r="D25" s="14">
        <f>(16000)/2</f>
        <v>8000</v>
      </c>
    </row>
    <row r="26">
      <c r="A26" s="4" t="s">
        <v>0</v>
      </c>
      <c r="B26" s="4" t="s">
        <v>28</v>
      </c>
      <c r="D26" s="15">
        <f>175000-143214.59</f>
        <v>31785.41</v>
      </c>
    </row>
    <row r="27">
      <c r="E27" s="11"/>
    </row>
    <row r="28">
      <c r="C28" s="6" t="s">
        <v>3</v>
      </c>
      <c r="D28" s="10">
        <f t="shared" ref="D28:D34" si="1">SUMIF($A$5:$A$26,C28,$D$5:$D$26)</f>
        <v>22784.73</v>
      </c>
      <c r="E28" s="11">
        <f t="shared" ref="E28:E33" si="2">D28/$D$35</f>
        <v>0.2672447009</v>
      </c>
    </row>
    <row r="29">
      <c r="C29" s="6" t="s">
        <v>4</v>
      </c>
      <c r="D29" s="10">
        <f t="shared" si="1"/>
        <v>8001.98</v>
      </c>
      <c r="E29" s="11">
        <f t="shared" si="2"/>
        <v>0.09385613749</v>
      </c>
    </row>
    <row r="30">
      <c r="C30" s="6" t="s">
        <v>5</v>
      </c>
      <c r="D30" s="10">
        <f t="shared" si="1"/>
        <v>10540.65</v>
      </c>
      <c r="E30" s="11">
        <f t="shared" si="2"/>
        <v>0.1236324879</v>
      </c>
    </row>
    <row r="31">
      <c r="C31" s="6" t="s">
        <v>6</v>
      </c>
      <c r="D31" s="10">
        <f t="shared" si="1"/>
        <v>1140.04</v>
      </c>
      <c r="E31" s="11">
        <f t="shared" si="2"/>
        <v>0.01337165939</v>
      </c>
    </row>
    <row r="32">
      <c r="C32" s="6" t="s">
        <v>7</v>
      </c>
      <c r="D32" s="10">
        <f t="shared" si="1"/>
        <v>14556.215</v>
      </c>
      <c r="E32" s="11">
        <f t="shared" si="2"/>
        <v>0.1707315085</v>
      </c>
    </row>
    <row r="33">
      <c r="C33" s="4" t="s">
        <v>1</v>
      </c>
      <c r="D33" s="10">
        <f t="shared" si="1"/>
        <v>20234.315</v>
      </c>
      <c r="E33" s="11">
        <f t="shared" si="2"/>
        <v>0.237330592</v>
      </c>
    </row>
    <row r="34">
      <c r="C34" s="4" t="s">
        <v>2</v>
      </c>
      <c r="D34" s="10">
        <f t="shared" si="1"/>
        <v>8000</v>
      </c>
      <c r="E34" s="11"/>
    </row>
    <row r="35">
      <c r="D35" s="12">
        <f>SUM($D$28:D34)</f>
        <v>85257.93</v>
      </c>
      <c r="E35" s="11"/>
    </row>
    <row r="36">
      <c r="D36" s="12"/>
    </row>
    <row r="39">
      <c r="C39" s="6" t="s">
        <v>3</v>
      </c>
      <c r="D39" s="10">
        <f t="shared" ref="D39:D46" si="3">SUMIF($A$5:$A$26,C39,$D$5:$D$26)</f>
        <v>22784.73</v>
      </c>
      <c r="E39" s="11">
        <f t="shared" ref="E39:E46" si="4">D39/$D$47</f>
        <v>0.1946691713</v>
      </c>
    </row>
    <row r="40">
      <c r="C40" s="6" t="s">
        <v>4</v>
      </c>
      <c r="D40" s="10">
        <f t="shared" si="3"/>
        <v>8001.98</v>
      </c>
      <c r="E40" s="11">
        <f t="shared" si="4"/>
        <v>0.0683676662</v>
      </c>
    </row>
    <row r="41">
      <c r="C41" s="6" t="s">
        <v>5</v>
      </c>
      <c r="D41" s="10">
        <f t="shared" si="3"/>
        <v>10540.65</v>
      </c>
      <c r="E41" s="11">
        <f t="shared" si="4"/>
        <v>0.09005766582</v>
      </c>
    </row>
    <row r="42">
      <c r="C42" s="6" t="s">
        <v>6</v>
      </c>
      <c r="D42" s="10">
        <f t="shared" si="3"/>
        <v>1140.04</v>
      </c>
      <c r="E42" s="11">
        <f t="shared" si="4"/>
        <v>0.009740323542</v>
      </c>
    </row>
    <row r="43">
      <c r="C43" s="6" t="s">
        <v>7</v>
      </c>
      <c r="D43" s="10">
        <f t="shared" si="3"/>
        <v>14556.215</v>
      </c>
      <c r="E43" s="11">
        <f t="shared" si="4"/>
        <v>0.1243660254</v>
      </c>
    </row>
    <row r="44">
      <c r="C44" s="4" t="s">
        <v>1</v>
      </c>
      <c r="D44" s="10">
        <f t="shared" si="3"/>
        <v>20234.315</v>
      </c>
      <c r="E44" s="11">
        <f t="shared" si="4"/>
        <v>0.1728788242</v>
      </c>
    </row>
    <row r="45">
      <c r="C45" s="4" t="s">
        <v>0</v>
      </c>
      <c r="D45" s="10">
        <f t="shared" si="3"/>
        <v>31785.41</v>
      </c>
      <c r="E45" s="11">
        <f t="shared" si="4"/>
        <v>0.2715695741</v>
      </c>
    </row>
    <row r="46">
      <c r="C46" s="4" t="s">
        <v>2</v>
      </c>
      <c r="D46" s="10">
        <f t="shared" si="3"/>
        <v>8000</v>
      </c>
      <c r="E46" s="11">
        <f t="shared" si="4"/>
        <v>0.06835074939</v>
      </c>
    </row>
    <row r="47">
      <c r="D47" s="12">
        <f>SUM(D39:D46)</f>
        <v>117043.34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4" t="s">
        <v>9</v>
      </c>
      <c r="E2" s="3">
        <v>45538.0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14">
        <v>7362.43</v>
      </c>
      <c r="E5" s="4" t="s">
        <v>15</v>
      </c>
    </row>
    <row r="6">
      <c r="A6" s="4" t="s">
        <v>3</v>
      </c>
      <c r="B6" s="4" t="s">
        <v>16</v>
      </c>
      <c r="C6" s="4">
        <v>0.0</v>
      </c>
      <c r="D6" s="14">
        <v>1490.45</v>
      </c>
      <c r="E6" s="4" t="s">
        <v>15</v>
      </c>
    </row>
    <row r="7">
      <c r="A7" s="4" t="s">
        <v>3</v>
      </c>
      <c r="B7" s="4" t="s">
        <v>17</v>
      </c>
      <c r="D7" s="14">
        <v>0.0</v>
      </c>
      <c r="E7" s="4" t="s">
        <v>15</v>
      </c>
    </row>
    <row r="8">
      <c r="A8" s="4" t="s">
        <v>3</v>
      </c>
      <c r="B8" s="4" t="s">
        <v>29</v>
      </c>
      <c r="C8" s="4">
        <v>180.0</v>
      </c>
      <c r="D8" s="14">
        <v>1828.8</v>
      </c>
      <c r="E8" s="4" t="s">
        <v>15</v>
      </c>
    </row>
    <row r="9">
      <c r="A9" s="4" t="s">
        <v>3</v>
      </c>
      <c r="B9" s="4" t="s">
        <v>21</v>
      </c>
      <c r="C9" s="4">
        <v>120.0</v>
      </c>
      <c r="D9" s="14">
        <v>916.32</v>
      </c>
      <c r="E9" s="4" t="s">
        <v>21</v>
      </c>
    </row>
    <row r="10">
      <c r="A10" s="4" t="s">
        <v>4</v>
      </c>
      <c r="B10" s="4" t="s">
        <v>18</v>
      </c>
      <c r="D10" s="14">
        <v>8042.52</v>
      </c>
      <c r="E10" s="4" t="s">
        <v>21</v>
      </c>
    </row>
    <row r="11">
      <c r="A11" s="4" t="s">
        <v>5</v>
      </c>
      <c r="B11" s="4" t="s">
        <v>33</v>
      </c>
      <c r="D11" s="14">
        <v>8570.9</v>
      </c>
      <c r="E11" s="4" t="s">
        <v>19</v>
      </c>
      <c r="F11" s="11"/>
    </row>
    <row r="12">
      <c r="A12" s="4" t="s">
        <v>5</v>
      </c>
      <c r="B12" s="4" t="s">
        <v>5</v>
      </c>
      <c r="D12" s="14">
        <v>2130.0</v>
      </c>
      <c r="E12" s="4" t="s">
        <v>21</v>
      </c>
    </row>
    <row r="13">
      <c r="A13" s="4" t="s">
        <v>3</v>
      </c>
      <c r="B13" s="4" t="s">
        <v>20</v>
      </c>
      <c r="D13" s="14">
        <v>11793.62</v>
      </c>
      <c r="E13" s="4" t="s">
        <v>21</v>
      </c>
    </row>
    <row r="14">
      <c r="A14" s="4" t="s">
        <v>6</v>
      </c>
      <c r="B14" s="4" t="s">
        <v>22</v>
      </c>
      <c r="D14" s="14">
        <v>1315.78</v>
      </c>
      <c r="E14" s="4" t="s">
        <v>6</v>
      </c>
    </row>
    <row r="15">
      <c r="A15" s="4" t="s">
        <v>6</v>
      </c>
      <c r="B15" s="4" t="s">
        <v>23</v>
      </c>
      <c r="D15" s="14">
        <v>0.0</v>
      </c>
      <c r="E15" s="4" t="s">
        <v>6</v>
      </c>
    </row>
    <row r="16">
      <c r="A16" s="4" t="s">
        <v>6</v>
      </c>
      <c r="B16" s="4" t="s">
        <v>24</v>
      </c>
      <c r="D16" s="14">
        <v>0.0</v>
      </c>
      <c r="E16" s="4" t="s">
        <v>6</v>
      </c>
    </row>
    <row r="17">
      <c r="A17" s="4" t="s">
        <v>6</v>
      </c>
      <c r="B17" s="4" t="s">
        <v>25</v>
      </c>
      <c r="D17" s="14">
        <v>0.0</v>
      </c>
      <c r="E17" s="4" t="s">
        <v>6</v>
      </c>
    </row>
    <row r="18">
      <c r="A18" s="4" t="s">
        <v>7</v>
      </c>
      <c r="B18" s="4" t="s">
        <v>30</v>
      </c>
      <c r="D18" s="14">
        <v>1460.0</v>
      </c>
      <c r="E18" s="4" t="s">
        <v>36</v>
      </c>
    </row>
    <row r="19">
      <c r="A19" s="4" t="s">
        <v>7</v>
      </c>
      <c r="B19" s="4" t="s">
        <v>30</v>
      </c>
      <c r="D19" s="16">
        <f>5729/2</f>
        <v>2864.5</v>
      </c>
      <c r="E19" s="4" t="s">
        <v>21</v>
      </c>
    </row>
    <row r="20">
      <c r="A20" s="4" t="s">
        <v>7</v>
      </c>
      <c r="B20" s="4" t="s">
        <v>31</v>
      </c>
      <c r="D20" s="14">
        <v>1590.36</v>
      </c>
      <c r="E20" s="4" t="s">
        <v>21</v>
      </c>
    </row>
    <row r="21">
      <c r="A21" s="4" t="s">
        <v>7</v>
      </c>
      <c r="B21" s="4" t="s">
        <v>7</v>
      </c>
      <c r="D21" s="14">
        <v>2406.8</v>
      </c>
      <c r="E21" s="4" t="s">
        <v>34</v>
      </c>
    </row>
    <row r="22">
      <c r="A22" s="4" t="s">
        <v>7</v>
      </c>
      <c r="B22" s="4" t="s">
        <v>7</v>
      </c>
      <c r="D22" s="14">
        <v>5905.63</v>
      </c>
      <c r="E22" s="4" t="s">
        <v>35</v>
      </c>
    </row>
    <row r="23">
      <c r="A23" s="4" t="s">
        <v>7</v>
      </c>
      <c r="B23" s="4" t="s">
        <v>7</v>
      </c>
      <c r="D23" s="14">
        <v>2846.97</v>
      </c>
      <c r="E23" s="4" t="s">
        <v>15</v>
      </c>
    </row>
    <row r="24">
      <c r="A24" s="4" t="s">
        <v>1</v>
      </c>
      <c r="B24" s="4" t="s">
        <v>32</v>
      </c>
      <c r="D24" s="17">
        <f>(110000-69059)*0.5</f>
        <v>20470.5</v>
      </c>
    </row>
    <row r="25">
      <c r="A25" s="4" t="s">
        <v>2</v>
      </c>
      <c r="D25" s="16">
        <f>(75000+21360-81000)/2</f>
        <v>7680</v>
      </c>
    </row>
    <row r="26">
      <c r="A26" s="4" t="s">
        <v>0</v>
      </c>
      <c r="B26" s="4" t="s">
        <v>28</v>
      </c>
      <c r="D26" s="18">
        <f>175000-142953.45</f>
        <v>32046.55</v>
      </c>
    </row>
    <row r="27">
      <c r="E27" s="11"/>
    </row>
    <row r="28">
      <c r="C28" s="6" t="s">
        <v>3</v>
      </c>
      <c r="D28" s="10">
        <f t="shared" ref="D28:D34" si="1">SUMIF($A$5:$A$26,C28,$D$5:$D$26)</f>
        <v>23391.62</v>
      </c>
      <c r="E28" s="11">
        <f t="shared" ref="E28:E34" si="2">D28/$D$35</f>
        <v>0.2637887454</v>
      </c>
    </row>
    <row r="29">
      <c r="C29" s="6" t="s">
        <v>4</v>
      </c>
      <c r="D29" s="10">
        <f t="shared" si="1"/>
        <v>8042.52</v>
      </c>
      <c r="E29" s="11">
        <f t="shared" si="2"/>
        <v>0.09069599545</v>
      </c>
    </row>
    <row r="30">
      <c r="C30" s="6" t="s">
        <v>5</v>
      </c>
      <c r="D30" s="10">
        <f t="shared" si="1"/>
        <v>10700.9</v>
      </c>
      <c r="E30" s="11">
        <f t="shared" si="2"/>
        <v>0.1206747111</v>
      </c>
    </row>
    <row r="31">
      <c r="C31" s="6" t="s">
        <v>6</v>
      </c>
      <c r="D31" s="10">
        <f t="shared" si="1"/>
        <v>1315.78</v>
      </c>
      <c r="E31" s="11">
        <f t="shared" si="2"/>
        <v>0.01483813244</v>
      </c>
    </row>
    <row r="32">
      <c r="C32" s="6" t="s">
        <v>7</v>
      </c>
      <c r="D32" s="10">
        <f t="shared" si="1"/>
        <v>17074.26</v>
      </c>
      <c r="E32" s="11">
        <f t="shared" si="2"/>
        <v>0.192547486</v>
      </c>
    </row>
    <row r="33">
      <c r="C33" s="4" t="s">
        <v>1</v>
      </c>
      <c r="D33" s="10">
        <f t="shared" si="1"/>
        <v>20470.5</v>
      </c>
      <c r="E33" s="11">
        <f t="shared" si="2"/>
        <v>0.2308470945</v>
      </c>
    </row>
    <row r="34">
      <c r="C34" s="4" t="s">
        <v>2</v>
      </c>
      <c r="D34" s="10">
        <f t="shared" si="1"/>
        <v>7680</v>
      </c>
      <c r="E34" s="11">
        <f t="shared" si="2"/>
        <v>0.08660783499</v>
      </c>
    </row>
    <row r="35">
      <c r="D35" s="12">
        <f>SUM($D$28:D34)</f>
        <v>88675.58</v>
      </c>
      <c r="E35" s="11"/>
    </row>
    <row r="36">
      <c r="D36" s="12"/>
    </row>
    <row r="39">
      <c r="C39" s="6" t="s">
        <v>3</v>
      </c>
      <c r="D39" s="10">
        <f t="shared" ref="D39:D46" si="3">SUMIF($A$5:$A$26,C39,$D$5:$D$26)</f>
        <v>23391.62</v>
      </c>
      <c r="E39" s="11">
        <f t="shared" ref="E39:E46" si="4">D39/$D$47</f>
        <v>0.1937641425</v>
      </c>
    </row>
    <row r="40">
      <c r="C40" s="6" t="s">
        <v>4</v>
      </c>
      <c r="D40" s="10">
        <f t="shared" si="3"/>
        <v>8042.52</v>
      </c>
      <c r="E40" s="11">
        <f t="shared" si="4"/>
        <v>0.06662009691</v>
      </c>
    </row>
    <row r="41">
      <c r="C41" s="6" t="s">
        <v>5</v>
      </c>
      <c r="D41" s="10">
        <f t="shared" si="3"/>
        <v>10700.9</v>
      </c>
      <c r="E41" s="11">
        <f t="shared" si="4"/>
        <v>0.0886407488</v>
      </c>
    </row>
    <row r="42">
      <c r="C42" s="6" t="s">
        <v>6</v>
      </c>
      <c r="D42" s="10">
        <f t="shared" si="3"/>
        <v>1315.78</v>
      </c>
      <c r="E42" s="11">
        <f t="shared" si="4"/>
        <v>0.01089924441</v>
      </c>
    </row>
    <row r="43">
      <c r="C43" s="6" t="s">
        <v>7</v>
      </c>
      <c r="D43" s="10">
        <f t="shared" si="3"/>
        <v>17074.26</v>
      </c>
      <c r="E43" s="11">
        <f t="shared" si="4"/>
        <v>0.1414343832</v>
      </c>
    </row>
    <row r="44">
      <c r="C44" s="4" t="s">
        <v>1</v>
      </c>
      <c r="D44" s="10">
        <f t="shared" si="3"/>
        <v>20470.5</v>
      </c>
      <c r="E44" s="11">
        <f t="shared" si="4"/>
        <v>0.1695670877</v>
      </c>
    </row>
    <row r="45">
      <c r="C45" s="4" t="s">
        <v>0</v>
      </c>
      <c r="D45" s="10">
        <f t="shared" si="3"/>
        <v>32046.55</v>
      </c>
      <c r="E45" s="11">
        <f t="shared" si="4"/>
        <v>0.2654571287</v>
      </c>
    </row>
    <row r="46">
      <c r="C46" s="4" t="s">
        <v>2</v>
      </c>
      <c r="D46" s="10">
        <f t="shared" si="3"/>
        <v>7680</v>
      </c>
      <c r="E46" s="11">
        <f t="shared" si="4"/>
        <v>0.06361716779</v>
      </c>
    </row>
    <row r="47">
      <c r="D47" s="12">
        <f>SUM(D39:D46)</f>
        <v>120722.13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4" t="s">
        <v>9</v>
      </c>
      <c r="E2" s="3">
        <v>45538.0</v>
      </c>
      <c r="O2" s="4" t="s">
        <v>37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N4" s="4" t="s">
        <v>38</v>
      </c>
      <c r="O4" s="4" t="s">
        <v>39</v>
      </c>
    </row>
    <row r="5">
      <c r="A5" s="4" t="s">
        <v>3</v>
      </c>
      <c r="B5" s="4" t="s">
        <v>15</v>
      </c>
      <c r="C5" s="4">
        <v>792.0</v>
      </c>
      <c r="D5" s="14">
        <v>7269.77</v>
      </c>
      <c r="E5" s="4" t="s">
        <v>15</v>
      </c>
    </row>
    <row r="6">
      <c r="A6" s="4" t="s">
        <v>3</v>
      </c>
      <c r="B6" s="4" t="s">
        <v>16</v>
      </c>
      <c r="C6" s="4">
        <v>0.0</v>
      </c>
      <c r="D6" s="14">
        <v>2130.7</v>
      </c>
      <c r="E6" s="4" t="s">
        <v>15</v>
      </c>
    </row>
    <row r="7">
      <c r="A7" s="4" t="s">
        <v>3</v>
      </c>
      <c r="B7" s="4" t="s">
        <v>17</v>
      </c>
      <c r="D7" s="14">
        <v>0.0</v>
      </c>
      <c r="E7" s="4" t="s">
        <v>15</v>
      </c>
    </row>
    <row r="8">
      <c r="A8" s="4" t="s">
        <v>3</v>
      </c>
      <c r="B8" s="4" t="s">
        <v>29</v>
      </c>
      <c r="C8" s="4">
        <v>180.0</v>
      </c>
      <c r="D8" s="14">
        <v>1521.0</v>
      </c>
      <c r="E8" s="4" t="s">
        <v>15</v>
      </c>
    </row>
    <row r="9">
      <c r="A9" s="4" t="s">
        <v>3</v>
      </c>
      <c r="B9" s="4" t="s">
        <v>21</v>
      </c>
      <c r="C9" s="4">
        <v>120.0</v>
      </c>
      <c r="D9" s="14">
        <v>915.84</v>
      </c>
      <c r="E9" s="4" t="s">
        <v>21</v>
      </c>
    </row>
    <row r="10">
      <c r="A10" s="4" t="s">
        <v>4</v>
      </c>
      <c r="B10" s="4" t="s">
        <v>18</v>
      </c>
      <c r="D10" s="14">
        <v>8515.91</v>
      </c>
      <c r="E10" s="4" t="s">
        <v>21</v>
      </c>
    </row>
    <row r="11">
      <c r="A11" s="4" t="s">
        <v>5</v>
      </c>
      <c r="B11" s="4" t="s">
        <v>33</v>
      </c>
      <c r="D11" s="14">
        <v>0.0</v>
      </c>
      <c r="E11" s="4" t="s">
        <v>19</v>
      </c>
      <c r="F11" s="11"/>
    </row>
    <row r="12">
      <c r="A12" s="4" t="s">
        <v>5</v>
      </c>
      <c r="B12" s="4" t="s">
        <v>5</v>
      </c>
      <c r="D12" s="14">
        <v>0.0</v>
      </c>
      <c r="E12" s="4" t="s">
        <v>21</v>
      </c>
    </row>
    <row r="13">
      <c r="A13" s="4" t="s">
        <v>3</v>
      </c>
      <c r="B13" s="4" t="s">
        <v>20</v>
      </c>
      <c r="D13" s="14">
        <v>13402.77</v>
      </c>
      <c r="E13" s="4" t="s">
        <v>21</v>
      </c>
    </row>
    <row r="14">
      <c r="A14" s="4" t="s">
        <v>6</v>
      </c>
      <c r="B14" s="4" t="s">
        <v>22</v>
      </c>
      <c r="D14" s="14">
        <v>2200.0</v>
      </c>
      <c r="E14" s="4" t="s">
        <v>6</v>
      </c>
    </row>
    <row r="15">
      <c r="A15" s="4" t="s">
        <v>6</v>
      </c>
      <c r="B15" s="4" t="s">
        <v>23</v>
      </c>
      <c r="D15" s="14">
        <v>0.0</v>
      </c>
      <c r="E15" s="4" t="s">
        <v>6</v>
      </c>
    </row>
    <row r="16">
      <c r="A16" s="4" t="s">
        <v>6</v>
      </c>
      <c r="B16" s="4" t="s">
        <v>24</v>
      </c>
      <c r="D16" s="14">
        <v>0.0</v>
      </c>
      <c r="E16" s="4" t="s">
        <v>6</v>
      </c>
    </row>
    <row r="17">
      <c r="A17" s="4" t="s">
        <v>6</v>
      </c>
      <c r="B17" s="4" t="s">
        <v>25</v>
      </c>
      <c r="D17" s="14">
        <v>0.0</v>
      </c>
      <c r="E17" s="4" t="s">
        <v>6</v>
      </c>
    </row>
    <row r="18">
      <c r="A18" s="4" t="s">
        <v>7</v>
      </c>
      <c r="B18" s="4" t="s">
        <v>30</v>
      </c>
      <c r="D18" s="14">
        <f>3000/2</f>
        <v>1500</v>
      </c>
      <c r="E18" s="4" t="s">
        <v>36</v>
      </c>
      <c r="F18" s="19">
        <f t="shared" ref="F18:F19" si="1">D18*2</f>
        <v>3000</v>
      </c>
    </row>
    <row r="19">
      <c r="A19" s="4" t="s">
        <v>7</v>
      </c>
      <c r="B19" s="4" t="s">
        <v>30</v>
      </c>
      <c r="D19" s="14">
        <f>15575/2</f>
        <v>7787.5</v>
      </c>
      <c r="E19" s="4" t="s">
        <v>21</v>
      </c>
      <c r="F19" s="10">
        <f t="shared" si="1"/>
        <v>15575</v>
      </c>
      <c r="O19" s="4" t="s">
        <v>40</v>
      </c>
    </row>
    <row r="20">
      <c r="A20" s="4" t="s">
        <v>7</v>
      </c>
      <c r="B20" s="4" t="s">
        <v>31</v>
      </c>
      <c r="D20" s="14">
        <v>14100.0</v>
      </c>
      <c r="E20" s="4" t="s">
        <v>21</v>
      </c>
      <c r="F20" s="10">
        <f t="shared" ref="F20:F23" si="2">D20</f>
        <v>14100</v>
      </c>
      <c r="O20" s="20">
        <v>37000.0</v>
      </c>
      <c r="P20" s="9">
        <f t="shared" ref="P20:P21" si="3">O20*1.01</f>
        <v>37370</v>
      </c>
    </row>
    <row r="21">
      <c r="A21" s="4" t="s">
        <v>7</v>
      </c>
      <c r="B21" s="4" t="s">
        <v>7</v>
      </c>
      <c r="D21" s="14">
        <v>1787.65</v>
      </c>
      <c r="E21" s="4" t="s">
        <v>34</v>
      </c>
      <c r="F21" s="10">
        <f t="shared" si="2"/>
        <v>1787.65</v>
      </c>
      <c r="N21" s="4" t="s">
        <v>41</v>
      </c>
      <c r="O21" s="21">
        <v>42000.0</v>
      </c>
      <c r="P21" s="9">
        <f t="shared" si="3"/>
        <v>42420</v>
      </c>
    </row>
    <row r="22">
      <c r="A22" s="4" t="s">
        <v>7</v>
      </c>
      <c r="B22" s="4" t="s">
        <v>7</v>
      </c>
      <c r="D22" s="14">
        <v>0.0</v>
      </c>
      <c r="E22" s="4" t="s">
        <v>35</v>
      </c>
      <c r="F22" s="10">
        <f t="shared" si="2"/>
        <v>0</v>
      </c>
    </row>
    <row r="23">
      <c r="A23" s="4" t="s">
        <v>7</v>
      </c>
      <c r="B23" s="4" t="s">
        <v>7</v>
      </c>
      <c r="D23" s="14">
        <v>5966.38</v>
      </c>
      <c r="E23" s="4" t="s">
        <v>15</v>
      </c>
      <c r="F23" s="10">
        <f t="shared" si="2"/>
        <v>5966.38</v>
      </c>
      <c r="O23" s="4" t="s">
        <v>42</v>
      </c>
    </row>
    <row r="24">
      <c r="A24" s="4" t="s">
        <v>1</v>
      </c>
      <c r="B24" s="4" t="s">
        <v>32</v>
      </c>
      <c r="D24" s="15">
        <f>(110000-69059)*0.5</f>
        <v>20470.5</v>
      </c>
    </row>
    <row r="25">
      <c r="A25" s="4" t="s">
        <v>2</v>
      </c>
      <c r="D25" s="14">
        <f>(75000+19000-37273-44000)/2</f>
        <v>6363.5</v>
      </c>
      <c r="F25" s="21">
        <f>14977</f>
        <v>14977</v>
      </c>
      <c r="O25" s="22">
        <v>38000.0</v>
      </c>
    </row>
    <row r="26">
      <c r="A26" s="4" t="s">
        <v>0</v>
      </c>
      <c r="B26" s="4" t="s">
        <v>28</v>
      </c>
      <c r="D26" s="14">
        <f>175000-142391.26</f>
        <v>32608.74</v>
      </c>
    </row>
    <row r="27">
      <c r="E27" s="11"/>
    </row>
    <row r="28">
      <c r="C28" s="6" t="s">
        <v>3</v>
      </c>
      <c r="D28" s="10">
        <f t="shared" ref="D28:D34" si="4">SUMIF($A$5:$A$26,C28,$D$5:$D$26)</f>
        <v>25240.08</v>
      </c>
      <c r="E28" s="11">
        <f t="shared" ref="E28:E34" si="5">D28/$D$35</f>
        <v>0.2687072454</v>
      </c>
      <c r="O28" s="10">
        <f>O21+O20-O25</f>
        <v>41000</v>
      </c>
    </row>
    <row r="29">
      <c r="C29" s="6" t="s">
        <v>4</v>
      </c>
      <c r="D29" s="10">
        <f t="shared" si="4"/>
        <v>8515.91</v>
      </c>
      <c r="E29" s="11">
        <f t="shared" si="5"/>
        <v>0.09066083462</v>
      </c>
    </row>
    <row r="30">
      <c r="C30" s="6" t="s">
        <v>5</v>
      </c>
      <c r="D30" s="10">
        <f t="shared" si="4"/>
        <v>0</v>
      </c>
      <c r="E30" s="11">
        <f t="shared" si="5"/>
        <v>0</v>
      </c>
      <c r="O30" s="10">
        <f>F25+F23+F21+F20+F19+F18</f>
        <v>55406.03</v>
      </c>
    </row>
    <row r="31">
      <c r="C31" s="6" t="s">
        <v>6</v>
      </c>
      <c r="D31" s="10">
        <f t="shared" si="4"/>
        <v>2200</v>
      </c>
      <c r="E31" s="11">
        <f t="shared" si="5"/>
        <v>0.023421318</v>
      </c>
      <c r="P31" s="10">
        <f>O30-O32-O33-O34</f>
        <v>36406.03</v>
      </c>
    </row>
    <row r="32">
      <c r="C32" s="6" t="s">
        <v>7</v>
      </c>
      <c r="D32" s="10">
        <f t="shared" si="4"/>
        <v>31141.53</v>
      </c>
      <c r="E32" s="11">
        <f t="shared" si="5"/>
        <v>0.3315343987</v>
      </c>
      <c r="O32" s="4">
        <v>3000.0</v>
      </c>
      <c r="Q32" s="4">
        <v>4000.0</v>
      </c>
    </row>
    <row r="33">
      <c r="C33" s="4" t="s">
        <v>1</v>
      </c>
      <c r="D33" s="10">
        <f t="shared" si="4"/>
        <v>20470.5</v>
      </c>
      <c r="E33" s="11">
        <f t="shared" si="5"/>
        <v>0.2179300409</v>
      </c>
      <c r="O33" s="4">
        <v>8000.0</v>
      </c>
      <c r="Q33" s="10">
        <f>P31-Q32</f>
        <v>32406.03</v>
      </c>
    </row>
    <row r="34">
      <c r="C34" s="4" t="s">
        <v>2</v>
      </c>
      <c r="D34" s="10">
        <f t="shared" si="4"/>
        <v>6363.5</v>
      </c>
      <c r="E34" s="11">
        <f t="shared" si="5"/>
        <v>0.06774616231</v>
      </c>
      <c r="O34" s="4">
        <v>8000.0</v>
      </c>
    </row>
    <row r="35">
      <c r="D35" s="12">
        <f>SUM($D$28:D34)</f>
        <v>93931.52</v>
      </c>
      <c r="E35" s="11"/>
    </row>
    <row r="36">
      <c r="D36" s="12"/>
    </row>
    <row r="39">
      <c r="C39" s="6" t="s">
        <v>3</v>
      </c>
      <c r="D39" s="10">
        <f t="shared" ref="D39:D46" si="6">SUMIF($A$5:$A$26,C39,$D$5:$D$26)</f>
        <v>25240.08</v>
      </c>
      <c r="E39" s="11">
        <f t="shared" ref="E39:E46" si="7">D39/$D$47</f>
        <v>0.1994628429</v>
      </c>
    </row>
    <row r="40">
      <c r="C40" s="6" t="s">
        <v>4</v>
      </c>
      <c r="D40" s="10">
        <f t="shared" si="6"/>
        <v>8515.91</v>
      </c>
      <c r="E40" s="11">
        <f t="shared" si="7"/>
        <v>0.06729802831</v>
      </c>
    </row>
    <row r="41">
      <c r="C41" s="6" t="s">
        <v>5</v>
      </c>
      <c r="D41" s="10">
        <f t="shared" si="6"/>
        <v>0</v>
      </c>
      <c r="E41" s="11">
        <f t="shared" si="7"/>
        <v>0</v>
      </c>
    </row>
    <row r="42">
      <c r="C42" s="6" t="s">
        <v>6</v>
      </c>
      <c r="D42" s="10">
        <f t="shared" si="6"/>
        <v>2200</v>
      </c>
      <c r="E42" s="11">
        <f t="shared" si="7"/>
        <v>0.01738577114</v>
      </c>
    </row>
    <row r="43">
      <c r="C43" s="6" t="s">
        <v>7</v>
      </c>
      <c r="D43" s="10">
        <f t="shared" si="6"/>
        <v>31141.53</v>
      </c>
      <c r="E43" s="11">
        <f t="shared" si="7"/>
        <v>0.2460997788</v>
      </c>
    </row>
    <row r="44">
      <c r="C44" s="4" t="s">
        <v>1</v>
      </c>
      <c r="D44" s="10">
        <f t="shared" si="6"/>
        <v>20470.5</v>
      </c>
      <c r="E44" s="11">
        <f t="shared" si="7"/>
        <v>0.1617706491</v>
      </c>
    </row>
    <row r="45">
      <c r="C45" s="4" t="s">
        <v>0</v>
      </c>
      <c r="D45" s="10">
        <f t="shared" si="6"/>
        <v>32608.74</v>
      </c>
      <c r="E45" s="11">
        <f t="shared" si="7"/>
        <v>0.2576945867</v>
      </c>
    </row>
    <row r="46">
      <c r="C46" s="4" t="s">
        <v>2</v>
      </c>
      <c r="D46" s="10">
        <f t="shared" si="6"/>
        <v>6363.5</v>
      </c>
      <c r="E46" s="11">
        <f t="shared" si="7"/>
        <v>0.05028834301</v>
      </c>
    </row>
    <row r="47">
      <c r="D47" s="12">
        <f>SUM(D39:D46)</f>
        <v>126540.26</v>
      </c>
    </row>
    <row r="50">
      <c r="D50" s="9">
        <v>12</v>
      </c>
    </row>
    <row r="51">
      <c r="D51" s="9">
        <v>12</v>
      </c>
    </row>
  </sheetData>
  <autoFilter ref="$A$4:$E$26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4" t="s">
        <v>9</v>
      </c>
      <c r="E2" s="3">
        <v>45538.0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14">
        <v>7717.25</v>
      </c>
      <c r="E5" s="4" t="s">
        <v>15</v>
      </c>
    </row>
    <row r="6">
      <c r="A6" s="4" t="s">
        <v>3</v>
      </c>
      <c r="B6" s="4" t="s">
        <v>16</v>
      </c>
      <c r="C6" s="4">
        <v>650.0</v>
      </c>
      <c r="D6" s="14">
        <v>2321.8</v>
      </c>
      <c r="E6" s="4" t="s">
        <v>15</v>
      </c>
    </row>
    <row r="7">
      <c r="A7" s="4" t="s">
        <v>3</v>
      </c>
      <c r="B7" s="4" t="s">
        <v>29</v>
      </c>
      <c r="C7" s="4">
        <v>180.0</v>
      </c>
      <c r="D7" s="14">
        <v>1720.44</v>
      </c>
      <c r="E7" s="4" t="s">
        <v>15</v>
      </c>
    </row>
    <row r="8">
      <c r="A8" s="4" t="s">
        <v>3</v>
      </c>
      <c r="B8" s="4" t="s">
        <v>21</v>
      </c>
      <c r="C8" s="4">
        <v>120.0</v>
      </c>
      <c r="D8" s="14">
        <v>924.24</v>
      </c>
      <c r="E8" s="4" t="s">
        <v>15</v>
      </c>
    </row>
    <row r="9">
      <c r="A9" s="4" t="s">
        <v>3</v>
      </c>
      <c r="B9" s="4" t="s">
        <v>43</v>
      </c>
      <c r="C9" s="4">
        <v>5000.0</v>
      </c>
      <c r="D9" s="14">
        <v>2145.0</v>
      </c>
      <c r="E9" s="4" t="s">
        <v>21</v>
      </c>
    </row>
    <row r="10">
      <c r="A10" s="4" t="s">
        <v>4</v>
      </c>
      <c r="B10" s="4" t="s">
        <v>18</v>
      </c>
      <c r="D10" s="14">
        <v>8316.19</v>
      </c>
      <c r="E10" s="4" t="s">
        <v>21</v>
      </c>
    </row>
    <row r="11">
      <c r="A11" s="4" t="s">
        <v>5</v>
      </c>
      <c r="B11" s="4" t="s">
        <v>33</v>
      </c>
      <c r="D11" s="14">
        <v>0.0</v>
      </c>
      <c r="E11" s="4" t="s">
        <v>19</v>
      </c>
      <c r="F11" s="11"/>
    </row>
    <row r="12">
      <c r="A12" s="4" t="s">
        <v>5</v>
      </c>
      <c r="B12" s="4" t="s">
        <v>5</v>
      </c>
      <c r="D12" s="14">
        <v>0.0</v>
      </c>
      <c r="E12" s="4" t="s">
        <v>21</v>
      </c>
    </row>
    <row r="13">
      <c r="A13" s="4" t="s">
        <v>3</v>
      </c>
      <c r="B13" s="4" t="s">
        <v>20</v>
      </c>
      <c r="D13" s="14">
        <v>13617.33</v>
      </c>
      <c r="E13" s="4" t="s">
        <v>21</v>
      </c>
    </row>
    <row r="14">
      <c r="A14" s="4" t="s">
        <v>3</v>
      </c>
      <c r="B14" s="4" t="s">
        <v>20</v>
      </c>
      <c r="D14" s="14">
        <v>1145.97</v>
      </c>
      <c r="E14" s="4" t="s">
        <v>44</v>
      </c>
    </row>
    <row r="15">
      <c r="A15" s="4" t="s">
        <v>6</v>
      </c>
      <c r="B15" s="4" t="s">
        <v>22</v>
      </c>
      <c r="D15" s="14">
        <v>2200.0</v>
      </c>
      <c r="E15" s="4" t="s">
        <v>6</v>
      </c>
    </row>
    <row r="16">
      <c r="A16" s="4" t="s">
        <v>6</v>
      </c>
      <c r="B16" s="4" t="s">
        <v>23</v>
      </c>
      <c r="D16" s="14">
        <v>0.0</v>
      </c>
      <c r="E16" s="4" t="s">
        <v>6</v>
      </c>
    </row>
    <row r="17">
      <c r="A17" s="4" t="s">
        <v>6</v>
      </c>
      <c r="B17" s="4" t="s">
        <v>24</v>
      </c>
      <c r="D17" s="14">
        <v>0.0</v>
      </c>
      <c r="E17" s="4" t="s">
        <v>6</v>
      </c>
    </row>
    <row r="18">
      <c r="A18" s="4" t="s">
        <v>6</v>
      </c>
      <c r="B18" s="4" t="s">
        <v>25</v>
      </c>
      <c r="D18" s="14">
        <v>0.0</v>
      </c>
      <c r="E18" s="4" t="s">
        <v>6</v>
      </c>
    </row>
    <row r="19">
      <c r="A19" s="4" t="s">
        <v>7</v>
      </c>
      <c r="B19" s="4" t="s">
        <v>30</v>
      </c>
      <c r="D19" s="14">
        <f>3698.56/2</f>
        <v>1849.28</v>
      </c>
      <c r="E19" s="4" t="s">
        <v>36</v>
      </c>
    </row>
    <row r="20">
      <c r="A20" s="4" t="s">
        <v>7</v>
      </c>
      <c r="B20" s="4" t="s">
        <v>30</v>
      </c>
      <c r="D20" s="14">
        <f>3722.67/2</f>
        <v>1861.335</v>
      </c>
      <c r="E20" s="4" t="s">
        <v>21</v>
      </c>
    </row>
    <row r="21">
      <c r="A21" s="4" t="s">
        <v>7</v>
      </c>
      <c r="B21" s="4" t="s">
        <v>31</v>
      </c>
      <c r="D21" s="14">
        <v>807.81</v>
      </c>
      <c r="E21" s="4" t="s">
        <v>21</v>
      </c>
    </row>
    <row r="22">
      <c r="A22" s="4" t="s">
        <v>7</v>
      </c>
      <c r="B22" s="4" t="s">
        <v>7</v>
      </c>
      <c r="D22" s="14">
        <v>996.68</v>
      </c>
      <c r="E22" s="4" t="s">
        <v>34</v>
      </c>
    </row>
    <row r="23">
      <c r="A23" s="4" t="s">
        <v>7</v>
      </c>
      <c r="B23" s="4" t="s">
        <v>7</v>
      </c>
      <c r="D23" s="14">
        <v>1088.25</v>
      </c>
      <c r="E23" s="4" t="s">
        <v>35</v>
      </c>
    </row>
    <row r="24">
      <c r="A24" s="4" t="s">
        <v>7</v>
      </c>
      <c r="B24" s="4" t="s">
        <v>7</v>
      </c>
      <c r="D24" s="14">
        <v>2855.0</v>
      </c>
      <c r="E24" s="4" t="s">
        <v>15</v>
      </c>
    </row>
    <row r="25">
      <c r="A25" s="4" t="s">
        <v>1</v>
      </c>
      <c r="B25" s="4" t="s">
        <v>32</v>
      </c>
      <c r="D25" s="15">
        <f>(110000-68348.7)*0.5</f>
        <v>20825.65</v>
      </c>
    </row>
    <row r="26">
      <c r="A26" s="4" t="s">
        <v>2</v>
      </c>
      <c r="D26" s="14">
        <f>(75000+14918.69-14868.47-43211.22)/2</f>
        <v>15919.5</v>
      </c>
    </row>
    <row r="27">
      <c r="A27" s="4" t="s">
        <v>0</v>
      </c>
      <c r="B27" s="4" t="s">
        <v>28</v>
      </c>
      <c r="D27" s="14">
        <f>175000-140686.44</f>
        <v>34313.56</v>
      </c>
    </row>
    <row r="28">
      <c r="E28" s="11"/>
    </row>
    <row r="29">
      <c r="C29" s="6" t="s">
        <v>3</v>
      </c>
      <c r="D29" s="10">
        <f t="shared" ref="D29:D35" si="1">SUMIF($A$5:$A$27,C29,$D$5:$D$27)</f>
        <v>29592.03</v>
      </c>
      <c r="E29" s="11">
        <f t="shared" ref="E29:E35" si="2">D29/$D$36</f>
        <v>0.3428506382</v>
      </c>
    </row>
    <row r="30">
      <c r="C30" s="6" t="s">
        <v>4</v>
      </c>
      <c r="D30" s="10">
        <f t="shared" si="1"/>
        <v>8316.19</v>
      </c>
      <c r="E30" s="11">
        <f t="shared" si="2"/>
        <v>0.09635064066</v>
      </c>
    </row>
    <row r="31">
      <c r="C31" s="6" t="s">
        <v>5</v>
      </c>
      <c r="D31" s="10">
        <f t="shared" si="1"/>
        <v>0</v>
      </c>
      <c r="E31" s="11">
        <f t="shared" si="2"/>
        <v>0</v>
      </c>
    </row>
    <row r="32">
      <c r="C32" s="6" t="s">
        <v>6</v>
      </c>
      <c r="D32" s="10">
        <f t="shared" si="1"/>
        <v>2200</v>
      </c>
      <c r="E32" s="11">
        <f t="shared" si="2"/>
        <v>0.02548900511</v>
      </c>
    </row>
    <row r="33">
      <c r="C33" s="6" t="s">
        <v>7</v>
      </c>
      <c r="D33" s="10">
        <f t="shared" si="1"/>
        <v>9458.355</v>
      </c>
      <c r="E33" s="11">
        <f t="shared" si="2"/>
        <v>0.1095836632</v>
      </c>
    </row>
    <row r="34">
      <c r="C34" s="4" t="s">
        <v>1</v>
      </c>
      <c r="D34" s="10">
        <f t="shared" si="1"/>
        <v>20825.65</v>
      </c>
      <c r="E34" s="11">
        <f t="shared" si="2"/>
        <v>0.2412841361</v>
      </c>
    </row>
    <row r="35">
      <c r="C35" s="4" t="s">
        <v>2</v>
      </c>
      <c r="D35" s="10">
        <f t="shared" si="1"/>
        <v>15919.5</v>
      </c>
      <c r="E35" s="11">
        <f t="shared" si="2"/>
        <v>0.1844419168</v>
      </c>
    </row>
    <row r="36">
      <c r="D36" s="5">
        <f>SUM($D$29:D35)</f>
        <v>86311.725</v>
      </c>
      <c r="E36" s="11"/>
    </row>
    <row r="37">
      <c r="D37" s="12"/>
    </row>
    <row r="40">
      <c r="C40" s="6" t="s">
        <v>3</v>
      </c>
      <c r="D40" s="10">
        <f t="shared" ref="D40:D47" si="3">SUMIF($A$5:$A$27,C40,$D$5:$D$27)</f>
        <v>29592.03</v>
      </c>
      <c r="E40" s="11">
        <f t="shared" ref="E40:E47" si="4">D40/$D$48</f>
        <v>0.2453219489</v>
      </c>
    </row>
    <row r="41">
      <c r="C41" s="6" t="s">
        <v>4</v>
      </c>
      <c r="D41" s="10">
        <f t="shared" si="3"/>
        <v>8316.19</v>
      </c>
      <c r="E41" s="11">
        <f t="shared" si="4"/>
        <v>0.06894234488</v>
      </c>
    </row>
    <row r="42">
      <c r="C42" s="6" t="s">
        <v>5</v>
      </c>
      <c r="D42" s="10">
        <f t="shared" si="3"/>
        <v>0</v>
      </c>
      <c r="E42" s="11">
        <f t="shared" si="4"/>
        <v>0</v>
      </c>
    </row>
    <row r="43">
      <c r="C43" s="6" t="s">
        <v>6</v>
      </c>
      <c r="D43" s="10">
        <f t="shared" si="3"/>
        <v>2200</v>
      </c>
      <c r="E43" s="11">
        <f t="shared" si="4"/>
        <v>0.01823829888</v>
      </c>
    </row>
    <row r="44">
      <c r="C44" s="6" t="s">
        <v>7</v>
      </c>
      <c r="D44" s="10">
        <f t="shared" si="3"/>
        <v>9458.355</v>
      </c>
      <c r="E44" s="11">
        <f t="shared" si="4"/>
        <v>0.0784110479</v>
      </c>
    </row>
    <row r="45">
      <c r="C45" s="4" t="s">
        <v>1</v>
      </c>
      <c r="D45" s="10">
        <f t="shared" si="3"/>
        <v>20825.65</v>
      </c>
      <c r="E45" s="11">
        <f t="shared" si="4"/>
        <v>0.1726474677</v>
      </c>
    </row>
    <row r="46">
      <c r="C46" s="4" t="s">
        <v>0</v>
      </c>
      <c r="D46" s="10">
        <f t="shared" si="3"/>
        <v>34313.56</v>
      </c>
      <c r="E46" s="11">
        <f t="shared" si="4"/>
        <v>0.284464074</v>
      </c>
    </row>
    <row r="47">
      <c r="C47" s="4" t="s">
        <v>2</v>
      </c>
      <c r="D47" s="10">
        <f t="shared" si="3"/>
        <v>15919.5</v>
      </c>
      <c r="E47" s="11">
        <f t="shared" si="4"/>
        <v>0.1319748177</v>
      </c>
    </row>
    <row r="48">
      <c r="D48" s="5">
        <f>SUM(D40:D47)</f>
        <v>120625.285</v>
      </c>
    </row>
  </sheetData>
  <autoFilter ref="$A$4:$E$27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4" t="s">
        <v>9</v>
      </c>
      <c r="E2" s="3">
        <v>45538.0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23">
        <v>9155.52</v>
      </c>
      <c r="E5" s="4" t="s">
        <v>15</v>
      </c>
    </row>
    <row r="6">
      <c r="A6" s="4" t="s">
        <v>3</v>
      </c>
      <c r="B6" s="4" t="s">
        <v>16</v>
      </c>
      <c r="C6" s="4">
        <v>650.0</v>
      </c>
      <c r="D6" s="23">
        <v>2817.75</v>
      </c>
      <c r="E6" s="4" t="s">
        <v>15</v>
      </c>
    </row>
    <row r="7">
      <c r="A7" s="4" t="s">
        <v>3</v>
      </c>
      <c r="B7" s="4" t="s">
        <v>29</v>
      </c>
      <c r="C7" s="4">
        <v>180.0</v>
      </c>
      <c r="D7" s="23">
        <v>1521.0</v>
      </c>
      <c r="E7" s="4" t="s">
        <v>15</v>
      </c>
    </row>
    <row r="8">
      <c r="A8" s="4" t="s">
        <v>3</v>
      </c>
      <c r="B8" s="4" t="s">
        <v>21</v>
      </c>
      <c r="C8" s="4">
        <v>120.0</v>
      </c>
      <c r="D8" s="23">
        <v>1008.24</v>
      </c>
      <c r="E8" s="4" t="s">
        <v>21</v>
      </c>
    </row>
    <row r="9">
      <c r="A9" s="4" t="s">
        <v>3</v>
      </c>
      <c r="B9" s="4" t="s">
        <v>43</v>
      </c>
      <c r="C9" s="4">
        <v>5000.0</v>
      </c>
      <c r="D9" s="23">
        <v>1810.0</v>
      </c>
      <c r="E9" s="4" t="s">
        <v>21</v>
      </c>
    </row>
    <row r="10">
      <c r="A10" s="4" t="s">
        <v>4</v>
      </c>
      <c r="B10" s="4" t="s">
        <v>18</v>
      </c>
      <c r="D10" s="23">
        <v>8456.98</v>
      </c>
      <c r="E10" s="4" t="s">
        <v>21</v>
      </c>
    </row>
    <row r="11">
      <c r="A11" s="4" t="s">
        <v>5</v>
      </c>
      <c r="B11" s="4" t="s">
        <v>33</v>
      </c>
      <c r="D11" s="23">
        <v>0.0</v>
      </c>
      <c r="E11" s="4" t="s">
        <v>19</v>
      </c>
      <c r="F11" s="11"/>
    </row>
    <row r="12">
      <c r="A12" s="4" t="s">
        <v>5</v>
      </c>
      <c r="B12" s="4" t="s">
        <v>5</v>
      </c>
      <c r="D12" s="23">
        <v>0.0</v>
      </c>
      <c r="E12" s="4" t="s">
        <v>21</v>
      </c>
    </row>
    <row r="13">
      <c r="A13" s="4" t="s">
        <v>3</v>
      </c>
      <c r="B13" s="4" t="s">
        <v>20</v>
      </c>
      <c r="D13" s="23">
        <v>13870.0</v>
      </c>
      <c r="E13" s="4" t="s">
        <v>21</v>
      </c>
    </row>
    <row r="14">
      <c r="A14" s="4" t="s">
        <v>3</v>
      </c>
      <c r="B14" s="4" t="s">
        <v>20</v>
      </c>
      <c r="D14" s="23">
        <v>1314.7</v>
      </c>
      <c r="E14" s="4" t="s">
        <v>44</v>
      </c>
    </row>
    <row r="15">
      <c r="A15" s="4" t="s">
        <v>6</v>
      </c>
      <c r="B15" s="4" t="s">
        <v>22</v>
      </c>
      <c r="D15" s="23">
        <v>1982.0</v>
      </c>
      <c r="E15" s="4" t="s">
        <v>6</v>
      </c>
    </row>
    <row r="16">
      <c r="A16" s="4" t="s">
        <v>6</v>
      </c>
      <c r="B16" s="4" t="s">
        <v>23</v>
      </c>
      <c r="D16" s="23">
        <v>0.0</v>
      </c>
      <c r="E16" s="4" t="s">
        <v>6</v>
      </c>
    </row>
    <row r="17">
      <c r="A17" s="4" t="s">
        <v>6</v>
      </c>
      <c r="B17" s="4" t="s">
        <v>24</v>
      </c>
      <c r="D17" s="23">
        <v>0.0</v>
      </c>
      <c r="E17" s="4" t="s">
        <v>6</v>
      </c>
    </row>
    <row r="18">
      <c r="A18" s="4" t="s">
        <v>6</v>
      </c>
      <c r="B18" s="4" t="s">
        <v>25</v>
      </c>
      <c r="D18" s="23">
        <v>0.0</v>
      </c>
      <c r="E18" s="4" t="s">
        <v>6</v>
      </c>
    </row>
    <row r="19">
      <c r="A19" s="4" t="s">
        <v>7</v>
      </c>
      <c r="B19" s="4" t="s">
        <v>30</v>
      </c>
      <c r="D19" s="23">
        <f>4849.12/2</f>
        <v>2424.56</v>
      </c>
      <c r="E19" s="4" t="s">
        <v>36</v>
      </c>
    </row>
    <row r="20">
      <c r="A20" s="4" t="s">
        <v>7</v>
      </c>
      <c r="B20" s="4" t="s">
        <v>30</v>
      </c>
      <c r="D20" s="23">
        <f>2901.64/2</f>
        <v>1450.82</v>
      </c>
      <c r="E20" s="4" t="s">
        <v>21</v>
      </c>
    </row>
    <row r="21">
      <c r="A21" s="4" t="s">
        <v>7</v>
      </c>
      <c r="B21" s="4" t="s">
        <v>31</v>
      </c>
      <c r="D21" s="23">
        <v>958.61</v>
      </c>
      <c r="E21" s="4" t="s">
        <v>21</v>
      </c>
    </row>
    <row r="22">
      <c r="A22" s="4" t="s">
        <v>7</v>
      </c>
      <c r="B22" s="4" t="s">
        <v>7</v>
      </c>
      <c r="D22" s="23">
        <v>2042.89</v>
      </c>
      <c r="E22" s="4" t="s">
        <v>34</v>
      </c>
    </row>
    <row r="23">
      <c r="A23" s="4" t="s">
        <v>7</v>
      </c>
      <c r="B23" s="4" t="s">
        <v>7</v>
      </c>
      <c r="D23" s="23">
        <v>2126.62</v>
      </c>
      <c r="E23" s="4" t="s">
        <v>35</v>
      </c>
    </row>
    <row r="24">
      <c r="A24" s="4" t="s">
        <v>7</v>
      </c>
      <c r="B24" s="4" t="s">
        <v>7</v>
      </c>
      <c r="D24" s="23">
        <v>1767.65</v>
      </c>
      <c r="E24" s="4" t="s">
        <v>15</v>
      </c>
    </row>
    <row r="25">
      <c r="A25" s="4" t="s">
        <v>1</v>
      </c>
      <c r="B25" s="4" t="s">
        <v>32</v>
      </c>
      <c r="D25" s="24">
        <f>(110000-68109.76)*0.5</f>
        <v>20945.12</v>
      </c>
    </row>
    <row r="26">
      <c r="A26" s="4" t="s">
        <v>2</v>
      </c>
      <c r="D26" s="23">
        <f>(75000+15360.48-14366.41-42946.37)/2</f>
        <v>16523.85</v>
      </c>
    </row>
    <row r="27">
      <c r="A27" s="4" t="s">
        <v>0</v>
      </c>
      <c r="B27" s="4" t="s">
        <v>28</v>
      </c>
      <c r="D27" s="23">
        <f>175000-140380.77</f>
        <v>34619.23</v>
      </c>
    </row>
    <row r="28">
      <c r="E28" s="11"/>
    </row>
    <row r="29">
      <c r="C29" s="6" t="s">
        <v>3</v>
      </c>
      <c r="D29" s="10">
        <f t="shared" ref="D29:D35" si="1">SUMIF($A$5:$A$27,C29,$D$5:$D$27)</f>
        <v>31497.21</v>
      </c>
      <c r="E29" s="11">
        <f t="shared" ref="E29:E35" si="2">D29/$D$36</f>
        <v>0.3492847512</v>
      </c>
    </row>
    <row r="30">
      <c r="C30" s="6" t="s">
        <v>4</v>
      </c>
      <c r="D30" s="10">
        <f t="shared" si="1"/>
        <v>8456.98</v>
      </c>
      <c r="E30" s="11">
        <f t="shared" si="2"/>
        <v>0.09378272409</v>
      </c>
    </row>
    <row r="31">
      <c r="C31" s="6" t="s">
        <v>5</v>
      </c>
      <c r="D31" s="10">
        <f t="shared" si="1"/>
        <v>0</v>
      </c>
      <c r="E31" s="11">
        <f t="shared" si="2"/>
        <v>0</v>
      </c>
    </row>
    <row r="32">
      <c r="C32" s="6" t="s">
        <v>6</v>
      </c>
      <c r="D32" s="10">
        <f t="shared" si="1"/>
        <v>1982</v>
      </c>
      <c r="E32" s="11">
        <f t="shared" si="2"/>
        <v>0.02197916504</v>
      </c>
    </row>
    <row r="33">
      <c r="C33" s="6" t="s">
        <v>7</v>
      </c>
      <c r="D33" s="10">
        <f t="shared" si="1"/>
        <v>10771.15</v>
      </c>
      <c r="E33" s="11">
        <f t="shared" si="2"/>
        <v>0.1194454508</v>
      </c>
    </row>
    <row r="34">
      <c r="C34" s="4" t="s">
        <v>1</v>
      </c>
      <c r="D34" s="10">
        <f t="shared" si="1"/>
        <v>20945.12</v>
      </c>
      <c r="E34" s="11">
        <f t="shared" si="2"/>
        <v>0.2322685415</v>
      </c>
    </row>
    <row r="35">
      <c r="C35" s="4" t="s">
        <v>2</v>
      </c>
      <c r="D35" s="10">
        <f t="shared" si="1"/>
        <v>16523.85</v>
      </c>
      <c r="E35" s="11">
        <f t="shared" si="2"/>
        <v>0.1832393674</v>
      </c>
    </row>
    <row r="36">
      <c r="D36" s="5">
        <f>SUM($D$29:D35)</f>
        <v>90176.31</v>
      </c>
      <c r="E36" s="11"/>
    </row>
    <row r="37">
      <c r="D37" s="12"/>
    </row>
    <row r="40">
      <c r="C40" s="6" t="s">
        <v>3</v>
      </c>
      <c r="D40" s="10">
        <f t="shared" ref="D40:D47" si="3">SUMIF($A$5:$A$27,C40,$D$5:$D$27)</f>
        <v>31497.21</v>
      </c>
      <c r="E40" s="11">
        <f t="shared" ref="E40:E47" si="4">D40/$D$48</f>
        <v>0.2523905101</v>
      </c>
    </row>
    <row r="41">
      <c r="C41" s="6" t="s">
        <v>4</v>
      </c>
      <c r="D41" s="10">
        <f t="shared" si="3"/>
        <v>8456.98</v>
      </c>
      <c r="E41" s="11">
        <f t="shared" si="4"/>
        <v>0.06776668461</v>
      </c>
    </row>
    <row r="42">
      <c r="C42" s="6" t="s">
        <v>5</v>
      </c>
      <c r="D42" s="10">
        <f t="shared" si="3"/>
        <v>0</v>
      </c>
      <c r="E42" s="11">
        <f t="shared" si="4"/>
        <v>0</v>
      </c>
    </row>
    <row r="43">
      <c r="C43" s="6" t="s">
        <v>6</v>
      </c>
      <c r="D43" s="10">
        <f t="shared" si="3"/>
        <v>1982</v>
      </c>
      <c r="E43" s="11">
        <f t="shared" si="4"/>
        <v>0.01588197783</v>
      </c>
    </row>
    <row r="44">
      <c r="C44" s="6" t="s">
        <v>7</v>
      </c>
      <c r="D44" s="10">
        <f t="shared" si="3"/>
        <v>10771.15</v>
      </c>
      <c r="E44" s="11">
        <f t="shared" si="4"/>
        <v>0.08631037616</v>
      </c>
    </row>
    <row r="45">
      <c r="C45" s="4" t="s">
        <v>1</v>
      </c>
      <c r="D45" s="10">
        <f t="shared" si="3"/>
        <v>20945.12</v>
      </c>
      <c r="E45" s="11">
        <f t="shared" si="4"/>
        <v>0.1678354851</v>
      </c>
    </row>
    <row r="46">
      <c r="C46" s="4" t="s">
        <v>0</v>
      </c>
      <c r="D46" s="10">
        <f t="shared" si="3"/>
        <v>34619.23</v>
      </c>
      <c r="E46" s="11">
        <f t="shared" si="4"/>
        <v>0.27740759</v>
      </c>
    </row>
    <row r="47">
      <c r="C47" s="4" t="s">
        <v>2</v>
      </c>
      <c r="D47" s="10">
        <f t="shared" si="3"/>
        <v>16523.85</v>
      </c>
      <c r="E47" s="11">
        <f t="shared" si="4"/>
        <v>0.1324073761</v>
      </c>
    </row>
    <row r="48">
      <c r="D48" s="5">
        <f>SUM(D40:D47)</f>
        <v>124795.54</v>
      </c>
    </row>
  </sheetData>
  <autoFilter ref="$A$4:$E$27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4" t="s">
        <v>9</v>
      </c>
      <c r="E2" s="3">
        <v>45722.0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25">
        <v>10236.6</v>
      </c>
      <c r="E5" s="4" t="s">
        <v>15</v>
      </c>
    </row>
    <row r="6">
      <c r="A6" s="4" t="s">
        <v>3</v>
      </c>
      <c r="B6" s="4" t="s">
        <v>16</v>
      </c>
      <c r="C6" s="4">
        <v>650.0</v>
      </c>
      <c r="D6" s="25">
        <v>2538.9</v>
      </c>
      <c r="E6" s="4" t="s">
        <v>15</v>
      </c>
    </row>
    <row r="7">
      <c r="A7" s="4" t="s">
        <v>3</v>
      </c>
      <c r="B7" s="4" t="s">
        <v>29</v>
      </c>
      <c r="C7" s="4">
        <v>180.0</v>
      </c>
      <c r="D7" s="25">
        <v>1947.6</v>
      </c>
      <c r="E7" s="4" t="s">
        <v>15</v>
      </c>
    </row>
    <row r="8">
      <c r="A8" s="4" t="s">
        <v>3</v>
      </c>
      <c r="B8" s="4" t="s">
        <v>21</v>
      </c>
      <c r="C8" s="4">
        <v>120.0</v>
      </c>
      <c r="D8" s="25">
        <v>1208.4</v>
      </c>
      <c r="E8" s="4" t="s">
        <v>21</v>
      </c>
    </row>
    <row r="9">
      <c r="A9" s="4" t="s">
        <v>3</v>
      </c>
      <c r="B9" s="4" t="s">
        <v>43</v>
      </c>
      <c r="C9" s="4">
        <v>5000.0</v>
      </c>
      <c r="D9" s="25">
        <v>2527.5</v>
      </c>
      <c r="E9" s="4" t="s">
        <v>21</v>
      </c>
    </row>
    <row r="10">
      <c r="A10" s="4" t="s">
        <v>4</v>
      </c>
      <c r="B10" s="4" t="s">
        <v>18</v>
      </c>
      <c r="D10" s="25">
        <v>8145.08</v>
      </c>
      <c r="E10" s="4" t="s">
        <v>21</v>
      </c>
    </row>
    <row r="11">
      <c r="A11" s="4" t="s">
        <v>5</v>
      </c>
      <c r="B11" s="4" t="s">
        <v>33</v>
      </c>
      <c r="D11" s="23">
        <v>0.0</v>
      </c>
      <c r="E11" s="4" t="s">
        <v>19</v>
      </c>
      <c r="F11" s="11"/>
    </row>
    <row r="12">
      <c r="A12" s="4" t="s">
        <v>5</v>
      </c>
      <c r="B12" s="4" t="s">
        <v>5</v>
      </c>
      <c r="D12" s="23">
        <v>0.0</v>
      </c>
      <c r="E12" s="4" t="s">
        <v>21</v>
      </c>
    </row>
    <row r="13">
      <c r="A13" s="4" t="s">
        <v>3</v>
      </c>
      <c r="B13" s="4" t="s">
        <v>20</v>
      </c>
      <c r="D13" s="25">
        <v>13100.67</v>
      </c>
      <c r="E13" s="4" t="s">
        <v>21</v>
      </c>
    </row>
    <row r="14">
      <c r="A14" s="4" t="s">
        <v>3</v>
      </c>
      <c r="B14" s="4" t="s">
        <v>20</v>
      </c>
      <c r="D14" s="25">
        <v>1413.7</v>
      </c>
      <c r="E14" s="4" t="s">
        <v>44</v>
      </c>
    </row>
    <row r="15">
      <c r="A15" s="4" t="s">
        <v>6</v>
      </c>
      <c r="B15" s="4" t="s">
        <v>22</v>
      </c>
      <c r="D15" s="25">
        <v>1935.08</v>
      </c>
      <c r="E15" s="4" t="s">
        <v>6</v>
      </c>
    </row>
    <row r="16">
      <c r="A16" s="4" t="s">
        <v>6</v>
      </c>
      <c r="B16" s="4" t="s">
        <v>23</v>
      </c>
      <c r="D16" s="23">
        <v>0.0</v>
      </c>
      <c r="E16" s="4" t="s">
        <v>6</v>
      </c>
    </row>
    <row r="17">
      <c r="A17" s="4" t="s">
        <v>6</v>
      </c>
      <c r="B17" s="4" t="s">
        <v>24</v>
      </c>
      <c r="D17" s="23">
        <v>0.0</v>
      </c>
      <c r="E17" s="4" t="s">
        <v>6</v>
      </c>
    </row>
    <row r="18">
      <c r="A18" s="4" t="s">
        <v>6</v>
      </c>
      <c r="B18" s="4" t="s">
        <v>25</v>
      </c>
      <c r="D18" s="23">
        <v>0.0</v>
      </c>
      <c r="E18" s="4" t="s">
        <v>6</v>
      </c>
    </row>
    <row r="19">
      <c r="A19" s="4" t="s">
        <v>7</v>
      </c>
      <c r="B19" s="4" t="s">
        <v>30</v>
      </c>
      <c r="D19" s="23">
        <f>5555.76/2</f>
        <v>2777.88</v>
      </c>
      <c r="E19" s="4" t="s">
        <v>36</v>
      </c>
    </row>
    <row r="20">
      <c r="A20" s="4" t="s">
        <v>7</v>
      </c>
      <c r="B20" s="4" t="s">
        <v>30</v>
      </c>
      <c r="D20" s="25">
        <f>2171.08/2</f>
        <v>1085.54</v>
      </c>
      <c r="E20" s="4" t="s">
        <v>21</v>
      </c>
    </row>
    <row r="21">
      <c r="A21" s="4" t="s">
        <v>7</v>
      </c>
      <c r="B21" s="4" t="s">
        <v>31</v>
      </c>
      <c r="D21" s="25">
        <v>2194.55</v>
      </c>
      <c r="E21" s="4" t="s">
        <v>21</v>
      </c>
    </row>
    <row r="22">
      <c r="A22" s="4" t="s">
        <v>7</v>
      </c>
      <c r="B22" s="4" t="s">
        <v>7</v>
      </c>
      <c r="D22" s="25">
        <v>1474.11</v>
      </c>
      <c r="E22" s="4" t="s">
        <v>34</v>
      </c>
    </row>
    <row r="23">
      <c r="A23" s="4" t="s">
        <v>7</v>
      </c>
      <c r="B23" s="4" t="s">
        <v>7</v>
      </c>
      <c r="D23" s="25">
        <v>3075.62</v>
      </c>
      <c r="E23" s="4" t="s">
        <v>35</v>
      </c>
    </row>
    <row r="24">
      <c r="A24" s="4" t="s">
        <v>7</v>
      </c>
      <c r="B24" s="4" t="s">
        <v>7</v>
      </c>
      <c r="D24" s="25">
        <v>1307.19</v>
      </c>
      <c r="E24" s="4" t="s">
        <v>15</v>
      </c>
    </row>
    <row r="25">
      <c r="A25" s="4" t="s">
        <v>1</v>
      </c>
      <c r="B25" s="4" t="s">
        <v>32</v>
      </c>
      <c r="D25" s="24">
        <f>(110000-67870.9)*0.5</f>
        <v>21064.55</v>
      </c>
    </row>
    <row r="26">
      <c r="A26" s="4" t="s">
        <v>2</v>
      </c>
      <c r="D26" s="23">
        <f>(75000+51882.94-13881.86-42679.39-38000)/2</f>
        <v>16160.845</v>
      </c>
    </row>
    <row r="27">
      <c r="A27" s="4" t="s">
        <v>0</v>
      </c>
      <c r="B27" s="4" t="s">
        <v>28</v>
      </c>
      <c r="D27" s="25">
        <f>175000-140074.26</f>
        <v>34925.74</v>
      </c>
    </row>
    <row r="28">
      <c r="E28" s="11"/>
    </row>
    <row r="29">
      <c r="C29" s="6" t="s">
        <v>3</v>
      </c>
      <c r="D29" s="10">
        <f t="shared" ref="D29:D35" si="1">SUMIF($A$5:$A$27,C29,$D$5:$D$27)</f>
        <v>32973.37</v>
      </c>
      <c r="E29" s="11">
        <f t="shared" ref="E29:E35" si="2">D29/$D$36</f>
        <v>0.3576527341</v>
      </c>
    </row>
    <row r="30">
      <c r="C30" s="6" t="s">
        <v>4</v>
      </c>
      <c r="D30" s="10">
        <f t="shared" si="1"/>
        <v>8145.08</v>
      </c>
      <c r="E30" s="11">
        <f t="shared" si="2"/>
        <v>0.08834735823</v>
      </c>
    </row>
    <row r="31">
      <c r="C31" s="6" t="s">
        <v>5</v>
      </c>
      <c r="D31" s="10">
        <f t="shared" si="1"/>
        <v>0</v>
      </c>
      <c r="E31" s="11">
        <f t="shared" si="2"/>
        <v>0</v>
      </c>
    </row>
    <row r="32">
      <c r="C32" s="6" t="s">
        <v>6</v>
      </c>
      <c r="D32" s="10">
        <f t="shared" si="1"/>
        <v>1935.08</v>
      </c>
      <c r="E32" s="11">
        <f t="shared" si="2"/>
        <v>0.02098926051</v>
      </c>
    </row>
    <row r="33">
      <c r="C33" s="6" t="s">
        <v>7</v>
      </c>
      <c r="D33" s="10">
        <f t="shared" si="1"/>
        <v>11914.89</v>
      </c>
      <c r="E33" s="11">
        <f t="shared" si="2"/>
        <v>0.1292374114</v>
      </c>
    </row>
    <row r="34">
      <c r="C34" s="4" t="s">
        <v>1</v>
      </c>
      <c r="D34" s="10">
        <f t="shared" si="1"/>
        <v>21064.55</v>
      </c>
      <c r="E34" s="11">
        <f t="shared" si="2"/>
        <v>0.2284811622</v>
      </c>
    </row>
    <row r="35">
      <c r="C35" s="4" t="s">
        <v>2</v>
      </c>
      <c r="D35" s="10">
        <f t="shared" si="1"/>
        <v>16160.845</v>
      </c>
      <c r="E35" s="11">
        <f t="shared" si="2"/>
        <v>0.1752920736</v>
      </c>
    </row>
    <row r="36">
      <c r="D36" s="5">
        <f>SUM($D$29:D35)</f>
        <v>92193.815</v>
      </c>
      <c r="E36" s="11"/>
    </row>
    <row r="37">
      <c r="D37" s="12"/>
    </row>
    <row r="40">
      <c r="C40" s="6" t="s">
        <v>3</v>
      </c>
      <c r="D40" s="10">
        <f t="shared" ref="D40:D47" si="3">SUMIF($A$5:$A$27,C40,$D$5:$D$27)</f>
        <v>32973.37</v>
      </c>
      <c r="E40" s="11">
        <f t="shared" ref="E40:E47" si="4">D40/$D$48</f>
        <v>0.2593886519</v>
      </c>
    </row>
    <row r="41">
      <c r="C41" s="6" t="s">
        <v>4</v>
      </c>
      <c r="D41" s="10">
        <f t="shared" si="3"/>
        <v>8145.08</v>
      </c>
      <c r="E41" s="11">
        <f t="shared" si="4"/>
        <v>0.06407417018</v>
      </c>
    </row>
    <row r="42">
      <c r="C42" s="6" t="s">
        <v>5</v>
      </c>
      <c r="D42" s="10">
        <f t="shared" si="3"/>
        <v>0</v>
      </c>
      <c r="E42" s="11">
        <f t="shared" si="4"/>
        <v>0</v>
      </c>
    </row>
    <row r="43">
      <c r="C43" s="6" t="s">
        <v>6</v>
      </c>
      <c r="D43" s="10">
        <f t="shared" si="3"/>
        <v>1935.08</v>
      </c>
      <c r="E43" s="11">
        <f t="shared" si="4"/>
        <v>0.01522252025</v>
      </c>
    </row>
    <row r="44">
      <c r="C44" s="6" t="s">
        <v>7</v>
      </c>
      <c r="D44" s="10">
        <f t="shared" si="3"/>
        <v>11914.89</v>
      </c>
      <c r="E44" s="11">
        <f t="shared" si="4"/>
        <v>0.09372979633</v>
      </c>
    </row>
    <row r="45">
      <c r="C45" s="4" t="s">
        <v>1</v>
      </c>
      <c r="D45" s="10">
        <f t="shared" si="3"/>
        <v>21064.55</v>
      </c>
      <c r="E45" s="11">
        <f t="shared" si="4"/>
        <v>0.1657066059</v>
      </c>
    </row>
    <row r="46">
      <c r="C46" s="4" t="s">
        <v>0</v>
      </c>
      <c r="D46" s="10">
        <f t="shared" si="3"/>
        <v>34925.74</v>
      </c>
      <c r="E46" s="11">
        <f t="shared" si="4"/>
        <v>0.2747471858</v>
      </c>
    </row>
    <row r="47">
      <c r="C47" s="4" t="s">
        <v>2</v>
      </c>
      <c r="D47" s="10">
        <f t="shared" si="3"/>
        <v>16160.845</v>
      </c>
      <c r="E47" s="11">
        <f t="shared" si="4"/>
        <v>0.1271310696</v>
      </c>
    </row>
    <row r="48">
      <c r="D48" s="5">
        <f>SUM(D40:D47)</f>
        <v>127119.555</v>
      </c>
    </row>
  </sheetData>
  <autoFilter ref="$A$4:$E$27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4" t="s">
        <v>9</v>
      </c>
      <c r="E2" s="3">
        <v>45722.0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20">
        <v>8933.76</v>
      </c>
      <c r="E5" s="4" t="s">
        <v>15</v>
      </c>
      <c r="F5" s="4">
        <v>9836.0</v>
      </c>
    </row>
    <row r="6">
      <c r="A6" s="4" t="s">
        <v>3</v>
      </c>
      <c r="B6" s="4" t="s">
        <v>16</v>
      </c>
      <c r="C6" s="4">
        <v>650.0</v>
      </c>
      <c r="D6" s="20">
        <v>4572.15</v>
      </c>
      <c r="E6" s="4" t="s">
        <v>15</v>
      </c>
      <c r="F6" s="4">
        <v>5129.85</v>
      </c>
    </row>
    <row r="7">
      <c r="A7" s="4" t="s">
        <v>3</v>
      </c>
      <c r="B7" s="4" t="s">
        <v>29</v>
      </c>
      <c r="C7" s="4">
        <v>180.0</v>
      </c>
      <c r="D7" s="20">
        <v>1409.04</v>
      </c>
      <c r="E7" s="4" t="s">
        <v>15</v>
      </c>
      <c r="F7" s="4">
        <v>1533.24</v>
      </c>
    </row>
    <row r="8">
      <c r="A8" s="4" t="s">
        <v>3</v>
      </c>
      <c r="B8" s="4" t="s">
        <v>21</v>
      </c>
      <c r="C8" s="4">
        <v>120.0</v>
      </c>
      <c r="D8" s="20">
        <v>1128.24</v>
      </c>
      <c r="E8" s="4" t="s">
        <v>21</v>
      </c>
      <c r="F8" s="4">
        <v>1231.8</v>
      </c>
    </row>
    <row r="9">
      <c r="A9" s="4" t="s">
        <v>3</v>
      </c>
      <c r="B9" s="4" t="s">
        <v>43</v>
      </c>
      <c r="C9" s="4">
        <v>5000.0</v>
      </c>
      <c r="D9" s="20">
        <v>0.0</v>
      </c>
      <c r="E9" s="4" t="s">
        <v>21</v>
      </c>
    </row>
    <row r="10">
      <c r="A10" s="4" t="s">
        <v>4</v>
      </c>
      <c r="B10" s="4" t="s">
        <v>18</v>
      </c>
      <c r="D10" s="20">
        <v>7442.64</v>
      </c>
      <c r="E10" s="4" t="s">
        <v>21</v>
      </c>
    </row>
    <row r="11">
      <c r="A11" s="4" t="s">
        <v>5</v>
      </c>
      <c r="B11" s="4" t="s">
        <v>33</v>
      </c>
      <c r="D11" s="23">
        <v>0.0</v>
      </c>
      <c r="E11" s="4" t="s">
        <v>19</v>
      </c>
      <c r="F11" s="11"/>
    </row>
    <row r="12">
      <c r="A12" s="4" t="s">
        <v>5</v>
      </c>
      <c r="B12" s="4" t="s">
        <v>5</v>
      </c>
      <c r="D12" s="23">
        <v>0.0</v>
      </c>
      <c r="E12" s="4" t="s">
        <v>21</v>
      </c>
    </row>
    <row r="13">
      <c r="A13" s="4" t="s">
        <v>3</v>
      </c>
      <c r="B13" s="4" t="s">
        <v>20</v>
      </c>
      <c r="D13" s="20">
        <v>11514.56</v>
      </c>
      <c r="E13" s="4" t="s">
        <v>21</v>
      </c>
      <c r="F13" s="4">
        <v>11791.47</v>
      </c>
    </row>
    <row r="14">
      <c r="A14" s="4" t="s">
        <v>3</v>
      </c>
      <c r="B14" s="4" t="s">
        <v>20</v>
      </c>
      <c r="D14" s="20">
        <v>1388.58</v>
      </c>
      <c r="E14" s="4" t="s">
        <v>44</v>
      </c>
      <c r="F14" s="4">
        <v>1447.7</v>
      </c>
    </row>
    <row r="15">
      <c r="A15" s="4" t="s">
        <v>6</v>
      </c>
      <c r="B15" s="4" t="s">
        <v>22</v>
      </c>
      <c r="D15" s="25">
        <v>1777.0</v>
      </c>
      <c r="E15" s="4" t="s">
        <v>6</v>
      </c>
    </row>
    <row r="16">
      <c r="A16" s="4" t="s">
        <v>6</v>
      </c>
      <c r="B16" s="4" t="s">
        <v>23</v>
      </c>
      <c r="D16" s="23">
        <v>0.0</v>
      </c>
      <c r="E16" s="4" t="s">
        <v>6</v>
      </c>
    </row>
    <row r="17">
      <c r="A17" s="4" t="s">
        <v>6</v>
      </c>
      <c r="B17" s="4" t="s">
        <v>24</v>
      </c>
      <c r="D17" s="23">
        <v>0.0</v>
      </c>
      <c r="E17" s="4" t="s">
        <v>6</v>
      </c>
    </row>
    <row r="18">
      <c r="A18" s="4" t="s">
        <v>6</v>
      </c>
      <c r="B18" s="4" t="s">
        <v>25</v>
      </c>
      <c r="D18" s="23">
        <v>0.0</v>
      </c>
      <c r="E18" s="4" t="s">
        <v>6</v>
      </c>
    </row>
    <row r="19">
      <c r="A19" s="4" t="s">
        <v>7</v>
      </c>
      <c r="B19" s="4" t="s">
        <v>30</v>
      </c>
      <c r="D19" s="25">
        <f>6045.98/2</f>
        <v>3022.99</v>
      </c>
      <c r="E19" s="4" t="s">
        <v>36</v>
      </c>
    </row>
    <row r="20">
      <c r="A20" s="4" t="s">
        <v>7</v>
      </c>
      <c r="B20" s="4" t="s">
        <v>30</v>
      </c>
      <c r="D20" s="20">
        <f>1752.31/2</f>
        <v>876.155</v>
      </c>
      <c r="E20" s="4" t="s">
        <v>21</v>
      </c>
    </row>
    <row r="21">
      <c r="A21" s="4" t="s">
        <v>7</v>
      </c>
      <c r="B21" s="4" t="s">
        <v>31</v>
      </c>
      <c r="D21" s="20">
        <v>2760.03</v>
      </c>
      <c r="E21" s="4" t="s">
        <v>21</v>
      </c>
    </row>
    <row r="22">
      <c r="A22" s="4" t="s">
        <v>7</v>
      </c>
      <c r="B22" s="4" t="s">
        <v>7</v>
      </c>
      <c r="D22" s="20">
        <v>1222.19</v>
      </c>
      <c r="E22" s="4" t="s">
        <v>34</v>
      </c>
    </row>
    <row r="23">
      <c r="A23" s="4" t="s">
        <v>7</v>
      </c>
      <c r="B23" s="4" t="s">
        <v>7</v>
      </c>
      <c r="D23" s="20">
        <v>52.75</v>
      </c>
      <c r="E23" s="4" t="s">
        <v>35</v>
      </c>
    </row>
    <row r="24">
      <c r="A24" s="4" t="s">
        <v>7</v>
      </c>
      <c r="B24" s="4" t="s">
        <v>7</v>
      </c>
      <c r="D24" s="20">
        <v>3272.07</v>
      </c>
      <c r="E24" s="4" t="s">
        <v>15</v>
      </c>
    </row>
    <row r="25">
      <c r="A25" s="4" t="s">
        <v>1</v>
      </c>
      <c r="B25" s="4" t="s">
        <v>32</v>
      </c>
      <c r="D25" s="25">
        <f>(110000-67631.48)*0.5</f>
        <v>21184.26</v>
      </c>
    </row>
    <row r="26">
      <c r="A26" s="4" t="s">
        <v>2</v>
      </c>
      <c r="D26" s="25">
        <f>(75000+51882.94-13394.8-42410.96-37496.4)/2</f>
        <v>16790.39</v>
      </c>
    </row>
    <row r="27">
      <c r="A27" s="4" t="s">
        <v>0</v>
      </c>
      <c r="B27" s="4" t="s">
        <v>28</v>
      </c>
      <c r="D27" s="20">
        <f>175000-139766.9</f>
        <v>35233.1</v>
      </c>
    </row>
    <row r="28">
      <c r="E28" s="11"/>
    </row>
    <row r="29">
      <c r="C29" s="6" t="s">
        <v>3</v>
      </c>
      <c r="D29" s="10">
        <f t="shared" ref="D29:D35" si="1">SUMIF($A$5:$A$27,C29,$D$5:$D$27)</f>
        <v>28946.33</v>
      </c>
      <c r="E29" s="11">
        <f t="shared" ref="E29:E35" si="2">D29/$D$36</f>
        <v>0.3313954071</v>
      </c>
    </row>
    <row r="30">
      <c r="C30" s="6" t="s">
        <v>4</v>
      </c>
      <c r="D30" s="10">
        <f t="shared" si="1"/>
        <v>7442.64</v>
      </c>
      <c r="E30" s="11">
        <f t="shared" si="2"/>
        <v>0.08520792489</v>
      </c>
    </row>
    <row r="31">
      <c r="C31" s="6" t="s">
        <v>5</v>
      </c>
      <c r="D31" s="10">
        <f t="shared" si="1"/>
        <v>0</v>
      </c>
      <c r="E31" s="11">
        <f t="shared" si="2"/>
        <v>0</v>
      </c>
    </row>
    <row r="32">
      <c r="C32" s="6" t="s">
        <v>6</v>
      </c>
      <c r="D32" s="10">
        <f t="shared" si="1"/>
        <v>1777</v>
      </c>
      <c r="E32" s="11">
        <f t="shared" si="2"/>
        <v>0.02034419004</v>
      </c>
    </row>
    <row r="33">
      <c r="C33" s="6" t="s">
        <v>7</v>
      </c>
      <c r="D33" s="10">
        <f t="shared" si="1"/>
        <v>11206.185</v>
      </c>
      <c r="E33" s="11">
        <f t="shared" si="2"/>
        <v>0.1282953051</v>
      </c>
    </row>
    <row r="34">
      <c r="C34" s="4" t="s">
        <v>1</v>
      </c>
      <c r="D34" s="10">
        <f t="shared" si="1"/>
        <v>21184.26</v>
      </c>
      <c r="E34" s="11">
        <f t="shared" si="2"/>
        <v>0.2425304509</v>
      </c>
    </row>
    <row r="35">
      <c r="C35" s="4" t="s">
        <v>2</v>
      </c>
      <c r="D35" s="10">
        <f t="shared" si="1"/>
        <v>16790.39</v>
      </c>
      <c r="E35" s="11">
        <f t="shared" si="2"/>
        <v>0.192226722</v>
      </c>
    </row>
    <row r="36">
      <c r="D36" s="5">
        <f>SUM($D$29:D35)</f>
        <v>87346.805</v>
      </c>
      <c r="E36" s="11"/>
    </row>
    <row r="37">
      <c r="D37" s="12"/>
    </row>
    <row r="40">
      <c r="C40" s="6" t="s">
        <v>3</v>
      </c>
      <c r="D40" s="10">
        <f t="shared" ref="D40:D47" si="3">SUMIF($A$5:$A$27,C40,$D$5:$D$27)</f>
        <v>28946.33</v>
      </c>
      <c r="E40" s="11">
        <f t="shared" ref="E40:E47" si="4">D40/$D$48</f>
        <v>0.236142539</v>
      </c>
    </row>
    <row r="41">
      <c r="C41" s="6" t="s">
        <v>4</v>
      </c>
      <c r="D41" s="10">
        <f t="shared" si="3"/>
        <v>7442.64</v>
      </c>
      <c r="E41" s="11">
        <f t="shared" si="4"/>
        <v>0.0607166403</v>
      </c>
    </row>
    <row r="42">
      <c r="C42" s="6" t="s">
        <v>5</v>
      </c>
      <c r="D42" s="10">
        <f t="shared" si="3"/>
        <v>0</v>
      </c>
      <c r="E42" s="11">
        <f t="shared" si="4"/>
        <v>0</v>
      </c>
    </row>
    <row r="43">
      <c r="C43" s="6" t="s">
        <v>6</v>
      </c>
      <c r="D43" s="10">
        <f t="shared" si="3"/>
        <v>1777</v>
      </c>
      <c r="E43" s="11">
        <f t="shared" si="4"/>
        <v>0.01449666648</v>
      </c>
    </row>
    <row r="44">
      <c r="C44" s="6" t="s">
        <v>7</v>
      </c>
      <c r="D44" s="10">
        <f t="shared" si="3"/>
        <v>11206.185</v>
      </c>
      <c r="E44" s="11">
        <f t="shared" si="4"/>
        <v>0.09141942964</v>
      </c>
    </row>
    <row r="45">
      <c r="C45" s="4" t="s">
        <v>1</v>
      </c>
      <c r="D45" s="10">
        <f t="shared" si="3"/>
        <v>21184.26</v>
      </c>
      <c r="E45" s="11">
        <f t="shared" si="4"/>
        <v>0.1728200067</v>
      </c>
    </row>
    <row r="46">
      <c r="C46" s="4" t="s">
        <v>0</v>
      </c>
      <c r="D46" s="10">
        <f t="shared" si="3"/>
        <v>35233.1</v>
      </c>
      <c r="E46" s="11">
        <f t="shared" si="4"/>
        <v>0.2874296566</v>
      </c>
    </row>
    <row r="47">
      <c r="C47" s="4" t="s">
        <v>2</v>
      </c>
      <c r="D47" s="10">
        <f t="shared" si="3"/>
        <v>16790.39</v>
      </c>
      <c r="E47" s="11">
        <f t="shared" si="4"/>
        <v>0.1369750613</v>
      </c>
    </row>
    <row r="48">
      <c r="D48" s="5">
        <f>SUM(D40:D47)</f>
        <v>122579.905</v>
      </c>
    </row>
  </sheetData>
  <autoFilter ref="$A$4:$E$27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4" t="s">
        <v>9</v>
      </c>
      <c r="E2" s="3">
        <v>45722.0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20">
        <v>9757.44</v>
      </c>
      <c r="E5" s="4" t="s">
        <v>15</v>
      </c>
      <c r="F5" s="4">
        <v>9836.0</v>
      </c>
    </row>
    <row r="6">
      <c r="A6" s="4" t="s">
        <v>3</v>
      </c>
      <c r="B6" s="4" t="s">
        <v>16</v>
      </c>
      <c r="C6" s="4">
        <v>650.0</v>
      </c>
      <c r="D6" s="20">
        <v>5407.05</v>
      </c>
      <c r="E6" s="4" t="s">
        <v>15</v>
      </c>
      <c r="F6" s="4">
        <v>5129.85</v>
      </c>
    </row>
    <row r="7">
      <c r="A7" s="4" t="s">
        <v>3</v>
      </c>
      <c r="B7" s="4" t="s">
        <v>29</v>
      </c>
      <c r="C7" s="4">
        <v>180.0</v>
      </c>
      <c r="D7" s="20">
        <v>1546.56</v>
      </c>
      <c r="E7" s="4" t="s">
        <v>15</v>
      </c>
      <c r="F7" s="4">
        <v>1533.24</v>
      </c>
    </row>
    <row r="8">
      <c r="A8" s="4" t="s">
        <v>3</v>
      </c>
      <c r="B8" s="4" t="s">
        <v>21</v>
      </c>
      <c r="C8" s="4">
        <v>120.0</v>
      </c>
      <c r="D8" s="20">
        <v>1263.0</v>
      </c>
      <c r="E8" s="4" t="s">
        <v>21</v>
      </c>
      <c r="F8" s="4">
        <v>1231.8</v>
      </c>
    </row>
    <row r="9">
      <c r="A9" s="4" t="s">
        <v>3</v>
      </c>
      <c r="B9" s="4" t="s">
        <v>43</v>
      </c>
      <c r="C9" s="4">
        <v>5000.0</v>
      </c>
      <c r="D9" s="20">
        <v>0.0</v>
      </c>
      <c r="E9" s="4" t="s">
        <v>21</v>
      </c>
    </row>
    <row r="10">
      <c r="A10" s="4" t="s">
        <v>4</v>
      </c>
      <c r="B10" s="4" t="s">
        <v>18</v>
      </c>
      <c r="D10" s="20">
        <v>7892.0</v>
      </c>
      <c r="E10" s="4" t="s">
        <v>21</v>
      </c>
    </row>
    <row r="11">
      <c r="A11" s="4" t="s">
        <v>5</v>
      </c>
      <c r="B11" s="4" t="s">
        <v>33</v>
      </c>
      <c r="D11" s="23">
        <v>0.0</v>
      </c>
      <c r="E11" s="4" t="s">
        <v>19</v>
      </c>
      <c r="F11" s="11"/>
    </row>
    <row r="12">
      <c r="A12" s="4" t="s">
        <v>5</v>
      </c>
      <c r="B12" s="4" t="s">
        <v>5</v>
      </c>
      <c r="D12" s="23">
        <v>0.0</v>
      </c>
      <c r="E12" s="4" t="s">
        <v>21</v>
      </c>
    </row>
    <row r="13">
      <c r="A13" s="4" t="s">
        <v>3</v>
      </c>
      <c r="B13" s="4" t="s">
        <v>20</v>
      </c>
      <c r="D13" s="20">
        <v>12381.2</v>
      </c>
      <c r="E13" s="4" t="s">
        <v>21</v>
      </c>
      <c r="F13" s="4">
        <v>11791.47</v>
      </c>
    </row>
    <row r="14">
      <c r="A14" s="4" t="s">
        <v>3</v>
      </c>
      <c r="B14" s="4" t="s">
        <v>20</v>
      </c>
      <c r="D14" s="20">
        <v>1645.65</v>
      </c>
      <c r="E14" s="4" t="s">
        <v>44</v>
      </c>
      <c r="F14" s="4">
        <v>1447.7</v>
      </c>
    </row>
    <row r="15">
      <c r="A15" s="4" t="s">
        <v>6</v>
      </c>
      <c r="B15" s="4" t="s">
        <v>22</v>
      </c>
      <c r="D15" s="25">
        <v>1935.76</v>
      </c>
      <c r="E15" s="4" t="s">
        <v>6</v>
      </c>
    </row>
    <row r="16">
      <c r="A16" s="4" t="s">
        <v>6</v>
      </c>
      <c r="B16" s="4" t="s">
        <v>23</v>
      </c>
      <c r="D16" s="23">
        <v>0.0</v>
      </c>
      <c r="E16" s="4" t="s">
        <v>6</v>
      </c>
    </row>
    <row r="17">
      <c r="A17" s="4" t="s">
        <v>6</v>
      </c>
      <c r="B17" s="4" t="s">
        <v>24</v>
      </c>
      <c r="D17" s="23">
        <v>0.0</v>
      </c>
      <c r="E17" s="4" t="s">
        <v>6</v>
      </c>
    </row>
    <row r="18">
      <c r="A18" s="4" t="s">
        <v>6</v>
      </c>
      <c r="B18" s="4" t="s">
        <v>25</v>
      </c>
      <c r="D18" s="23">
        <v>0.0</v>
      </c>
      <c r="E18" s="4" t="s">
        <v>6</v>
      </c>
    </row>
    <row r="19">
      <c r="A19" s="4" t="s">
        <v>7</v>
      </c>
      <c r="B19" s="4" t="s">
        <v>30</v>
      </c>
      <c r="D19" s="25">
        <f>6768.16/2</f>
        <v>3384.08</v>
      </c>
      <c r="E19" s="4" t="s">
        <v>36</v>
      </c>
    </row>
    <row r="20">
      <c r="A20" s="4" t="s">
        <v>7</v>
      </c>
      <c r="B20" s="4" t="s">
        <v>30</v>
      </c>
      <c r="D20" s="20">
        <f>1809.79/2</f>
        <v>904.895</v>
      </c>
      <c r="E20" s="4" t="s">
        <v>21</v>
      </c>
    </row>
    <row r="21">
      <c r="A21" s="4" t="s">
        <v>7</v>
      </c>
      <c r="B21" s="4" t="s">
        <v>31</v>
      </c>
      <c r="D21" s="20">
        <v>1795.0</v>
      </c>
      <c r="E21" s="4" t="s">
        <v>21</v>
      </c>
    </row>
    <row r="22">
      <c r="A22" s="4" t="s">
        <v>7</v>
      </c>
      <c r="B22" s="4" t="s">
        <v>7</v>
      </c>
      <c r="D22" s="20">
        <v>3610.18</v>
      </c>
      <c r="E22" s="4" t="s">
        <v>34</v>
      </c>
    </row>
    <row r="23">
      <c r="A23" s="4" t="s">
        <v>7</v>
      </c>
      <c r="B23" s="4" t="s">
        <v>7</v>
      </c>
      <c r="D23" s="20">
        <v>1675.55</v>
      </c>
      <c r="E23" s="4" t="s">
        <v>35</v>
      </c>
    </row>
    <row r="24">
      <c r="A24" s="4" t="s">
        <v>7</v>
      </c>
      <c r="B24" s="4" t="s">
        <v>7</v>
      </c>
      <c r="D24" s="20">
        <v>2308.14</v>
      </c>
      <c r="E24" s="4" t="s">
        <v>15</v>
      </c>
    </row>
    <row r="25">
      <c r="A25" s="4" t="s">
        <v>1</v>
      </c>
      <c r="B25" s="4" t="s">
        <v>32</v>
      </c>
      <c r="D25" s="25">
        <f>(110000-67391.5)*0.5</f>
        <v>21304.25</v>
      </c>
    </row>
    <row r="26">
      <c r="A26" s="4" t="s">
        <v>2</v>
      </c>
      <c r="D26" s="25">
        <f>(75000+51981.42-12905.23-42141.08-37496.4)/2</f>
        <v>17219.355</v>
      </c>
    </row>
    <row r="27">
      <c r="A27" s="4" t="s">
        <v>0</v>
      </c>
      <c r="B27" s="4" t="s">
        <v>28</v>
      </c>
      <c r="D27" s="20">
        <f>175000-139458.69</f>
        <v>35541.31</v>
      </c>
    </row>
    <row r="28">
      <c r="E28" s="11"/>
    </row>
    <row r="29">
      <c r="C29" s="6" t="s">
        <v>3</v>
      </c>
      <c r="D29" s="10">
        <f t="shared" ref="D29:D35" si="1">SUMIF($A$5:$A$27,C29,$D$5:$D$27)</f>
        <v>32000.9</v>
      </c>
      <c r="E29" s="11">
        <f t="shared" ref="E29:E35" si="2">D29/$D$36</f>
        <v>0.3403260934</v>
      </c>
    </row>
    <row r="30">
      <c r="C30" s="6" t="s">
        <v>4</v>
      </c>
      <c r="D30" s="10">
        <f t="shared" si="1"/>
        <v>7892</v>
      </c>
      <c r="E30" s="11">
        <f t="shared" si="2"/>
        <v>0.08393056224</v>
      </c>
    </row>
    <row r="31">
      <c r="C31" s="6" t="s">
        <v>5</v>
      </c>
      <c r="D31" s="10">
        <f t="shared" si="1"/>
        <v>0</v>
      </c>
      <c r="E31" s="11">
        <f t="shared" si="2"/>
        <v>0</v>
      </c>
    </row>
    <row r="32">
      <c r="C32" s="6" t="s">
        <v>6</v>
      </c>
      <c r="D32" s="10">
        <f t="shared" si="1"/>
        <v>1935.76</v>
      </c>
      <c r="E32" s="11">
        <f t="shared" si="2"/>
        <v>0.02058659721</v>
      </c>
    </row>
    <row r="33">
      <c r="C33" s="6" t="s">
        <v>7</v>
      </c>
      <c r="D33" s="10">
        <f t="shared" si="1"/>
        <v>13677.845</v>
      </c>
      <c r="E33" s="11">
        <f t="shared" si="2"/>
        <v>0.145462395</v>
      </c>
    </row>
    <row r="34">
      <c r="C34" s="4" t="s">
        <v>1</v>
      </c>
      <c r="D34" s="10">
        <f t="shared" si="1"/>
        <v>21304.25</v>
      </c>
      <c r="E34" s="11">
        <f t="shared" si="2"/>
        <v>0.2265683833</v>
      </c>
    </row>
    <row r="35">
      <c r="C35" s="4" t="s">
        <v>2</v>
      </c>
      <c r="D35" s="10">
        <f t="shared" si="1"/>
        <v>17219.355</v>
      </c>
      <c r="E35" s="11">
        <f t="shared" si="2"/>
        <v>0.1831259689</v>
      </c>
    </row>
    <row r="36">
      <c r="D36" s="5">
        <f>SUM($D$29:D35)</f>
        <v>94030.11</v>
      </c>
      <c r="E36" s="11"/>
    </row>
    <row r="37">
      <c r="D37" s="12"/>
    </row>
    <row r="40">
      <c r="C40" s="6" t="s">
        <v>3</v>
      </c>
      <c r="D40" s="10">
        <f t="shared" ref="D40:D47" si="3">SUMIF($A$5:$A$27,C40,$D$5:$D$27)</f>
        <v>32000.9</v>
      </c>
      <c r="E40" s="11">
        <f t="shared" ref="E40:E47" si="4">D40/$D$48</f>
        <v>0.2469749888</v>
      </c>
    </row>
    <row r="41">
      <c r="C41" s="6" t="s">
        <v>4</v>
      </c>
      <c r="D41" s="10">
        <f t="shared" si="3"/>
        <v>7892</v>
      </c>
      <c r="E41" s="11">
        <f t="shared" si="4"/>
        <v>0.06090849356</v>
      </c>
    </row>
    <row r="42">
      <c r="C42" s="6" t="s">
        <v>5</v>
      </c>
      <c r="D42" s="10">
        <f t="shared" si="3"/>
        <v>0</v>
      </c>
      <c r="E42" s="11">
        <f t="shared" si="4"/>
        <v>0</v>
      </c>
    </row>
    <row r="43">
      <c r="C43" s="6" t="s">
        <v>6</v>
      </c>
      <c r="D43" s="10">
        <f t="shared" si="3"/>
        <v>1935.76</v>
      </c>
      <c r="E43" s="11">
        <f t="shared" si="4"/>
        <v>0.01493971433</v>
      </c>
    </row>
    <row r="44">
      <c r="C44" s="6" t="s">
        <v>7</v>
      </c>
      <c r="D44" s="10">
        <f t="shared" si="3"/>
        <v>13677.845</v>
      </c>
      <c r="E44" s="11">
        <f t="shared" si="4"/>
        <v>0.1055622065</v>
      </c>
    </row>
    <row r="45">
      <c r="C45" s="4" t="s">
        <v>1</v>
      </c>
      <c r="D45" s="10">
        <f t="shared" si="3"/>
        <v>21304.25</v>
      </c>
      <c r="E45" s="11">
        <f t="shared" si="4"/>
        <v>0.1644209039</v>
      </c>
    </row>
    <row r="46">
      <c r="C46" s="4" t="s">
        <v>0</v>
      </c>
      <c r="D46" s="10">
        <f t="shared" si="3"/>
        <v>35541.31</v>
      </c>
      <c r="E46" s="11">
        <f t="shared" si="4"/>
        <v>0.2742989928</v>
      </c>
    </row>
    <row r="47">
      <c r="C47" s="4" t="s">
        <v>2</v>
      </c>
      <c r="D47" s="10">
        <f t="shared" si="3"/>
        <v>17219.355</v>
      </c>
      <c r="E47" s="11">
        <f t="shared" si="4"/>
        <v>0.1328947001</v>
      </c>
    </row>
    <row r="48">
      <c r="D48" s="5">
        <f>SUM(D40:D47)</f>
        <v>129571.42</v>
      </c>
    </row>
  </sheetData>
  <autoFilter ref="$A$4:$E$27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4" t="s">
        <v>9</v>
      </c>
      <c r="E2" s="3">
        <v>45722.0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4">
        <v>10503.9</v>
      </c>
      <c r="E5" s="4" t="s">
        <v>15</v>
      </c>
      <c r="F5" s="4">
        <v>9836.0</v>
      </c>
    </row>
    <row r="6">
      <c r="A6" s="4" t="s">
        <v>3</v>
      </c>
      <c r="B6" s="4" t="s">
        <v>16</v>
      </c>
      <c r="C6" s="4">
        <v>650.0</v>
      </c>
      <c r="D6" s="4">
        <v>6599.18</v>
      </c>
      <c r="E6" s="4" t="s">
        <v>15</v>
      </c>
      <c r="F6" s="4">
        <v>5129.85</v>
      </c>
    </row>
    <row r="7">
      <c r="A7" s="4" t="s">
        <v>3</v>
      </c>
      <c r="B7" s="4" t="s">
        <v>29</v>
      </c>
      <c r="C7" s="4">
        <v>180.0</v>
      </c>
      <c r="D7" s="4">
        <v>1868.4</v>
      </c>
      <c r="E7" s="4" t="s">
        <v>15</v>
      </c>
      <c r="F7" s="4">
        <v>1533.24</v>
      </c>
    </row>
    <row r="8">
      <c r="A8" s="4" t="s">
        <v>3</v>
      </c>
      <c r="B8" s="4" t="s">
        <v>21</v>
      </c>
      <c r="C8" s="4">
        <v>120.0</v>
      </c>
      <c r="D8" s="4">
        <v>1380.0</v>
      </c>
      <c r="E8" s="4" t="s">
        <v>21</v>
      </c>
      <c r="F8" s="4">
        <v>1231.8</v>
      </c>
    </row>
    <row r="9">
      <c r="A9" s="4" t="s">
        <v>3</v>
      </c>
      <c r="B9" s="4" t="s">
        <v>43</v>
      </c>
      <c r="C9" s="4">
        <v>5000.0</v>
      </c>
      <c r="D9" s="9">
        <v>0.0</v>
      </c>
      <c r="E9" s="4" t="s">
        <v>21</v>
      </c>
    </row>
    <row r="10">
      <c r="A10" s="4" t="s">
        <v>4</v>
      </c>
      <c r="B10" s="4" t="s">
        <v>18</v>
      </c>
      <c r="D10" s="4">
        <v>8311.38</v>
      </c>
      <c r="E10" s="4" t="s">
        <v>21</v>
      </c>
    </row>
    <row r="11">
      <c r="A11" s="4" t="s">
        <v>5</v>
      </c>
      <c r="B11" s="4" t="s">
        <v>33</v>
      </c>
      <c r="D11" s="9">
        <v>0.0</v>
      </c>
      <c r="E11" s="4" t="s">
        <v>19</v>
      </c>
      <c r="F11" s="11"/>
    </row>
    <row r="12">
      <c r="A12" s="4" t="s">
        <v>5</v>
      </c>
      <c r="B12" s="4" t="s">
        <v>5</v>
      </c>
      <c r="D12" s="9">
        <v>0.0</v>
      </c>
      <c r="E12" s="4" t="s">
        <v>21</v>
      </c>
    </row>
    <row r="13">
      <c r="A13" s="4" t="s">
        <v>3</v>
      </c>
      <c r="B13" s="4" t="s">
        <v>20</v>
      </c>
      <c r="D13" s="4">
        <v>13206.1</v>
      </c>
      <c r="E13" s="4" t="s">
        <v>21</v>
      </c>
      <c r="F13" s="4">
        <v>11791.47</v>
      </c>
    </row>
    <row r="14">
      <c r="A14" s="4" t="s">
        <v>3</v>
      </c>
      <c r="B14" s="4" t="s">
        <v>20</v>
      </c>
      <c r="D14" s="4">
        <v>1877.43</v>
      </c>
      <c r="E14" s="4" t="s">
        <v>44</v>
      </c>
      <c r="F14" s="4">
        <v>1447.7</v>
      </c>
    </row>
    <row r="15">
      <c r="A15" s="4" t="s">
        <v>6</v>
      </c>
      <c r="B15" s="4" t="s">
        <v>22</v>
      </c>
      <c r="D15" s="4">
        <v>2184.9</v>
      </c>
      <c r="E15" s="4" t="s">
        <v>6</v>
      </c>
    </row>
    <row r="16">
      <c r="A16" s="4" t="s">
        <v>6</v>
      </c>
      <c r="B16" s="4" t="s">
        <v>23</v>
      </c>
      <c r="D16" s="9">
        <v>0.0</v>
      </c>
      <c r="E16" s="4" t="s">
        <v>6</v>
      </c>
    </row>
    <row r="17">
      <c r="A17" s="4" t="s">
        <v>6</v>
      </c>
      <c r="B17" s="4" t="s">
        <v>24</v>
      </c>
      <c r="D17" s="4">
        <v>0.0</v>
      </c>
      <c r="E17" s="4" t="s">
        <v>6</v>
      </c>
    </row>
    <row r="18">
      <c r="A18" s="4" t="s">
        <v>6</v>
      </c>
      <c r="B18" s="4" t="s">
        <v>25</v>
      </c>
      <c r="D18" s="4">
        <v>0.0</v>
      </c>
      <c r="E18" s="4" t="s">
        <v>6</v>
      </c>
    </row>
    <row r="19">
      <c r="A19" s="4" t="s">
        <v>7</v>
      </c>
      <c r="B19" s="4" t="s">
        <v>30</v>
      </c>
      <c r="D19" s="4">
        <f>7649.86/2</f>
        <v>3824.93</v>
      </c>
      <c r="E19" s="4" t="s">
        <v>36</v>
      </c>
    </row>
    <row r="20">
      <c r="A20" s="4" t="s">
        <v>7</v>
      </c>
      <c r="B20" s="4" t="s">
        <v>30</v>
      </c>
      <c r="D20" s="4">
        <f>1940.47/2</f>
        <v>970.235</v>
      </c>
      <c r="E20" s="4" t="s">
        <v>21</v>
      </c>
    </row>
    <row r="21">
      <c r="A21" s="4" t="s">
        <v>7</v>
      </c>
      <c r="B21" s="4" t="s">
        <v>31</v>
      </c>
      <c r="D21" s="4">
        <v>578.32</v>
      </c>
      <c r="E21" s="4" t="s">
        <v>21</v>
      </c>
    </row>
    <row r="22">
      <c r="A22" s="4" t="s">
        <v>7</v>
      </c>
      <c r="B22" s="4" t="s">
        <v>7</v>
      </c>
      <c r="D22" s="4">
        <v>5286.89</v>
      </c>
      <c r="E22" s="4" t="s">
        <v>34</v>
      </c>
    </row>
    <row r="23">
      <c r="A23" s="4" t="s">
        <v>7</v>
      </c>
      <c r="B23" s="4" t="s">
        <v>7</v>
      </c>
      <c r="D23" s="4">
        <v>3321.33</v>
      </c>
      <c r="E23" s="4" t="s">
        <v>35</v>
      </c>
    </row>
    <row r="24">
      <c r="A24" s="4" t="s">
        <v>7</v>
      </c>
      <c r="B24" s="4" t="s">
        <v>7</v>
      </c>
      <c r="D24" s="4">
        <v>1797.8</v>
      </c>
      <c r="E24" s="4" t="s">
        <v>15</v>
      </c>
    </row>
    <row r="25">
      <c r="A25" s="4" t="s">
        <v>1</v>
      </c>
      <c r="B25" s="4" t="s">
        <v>32</v>
      </c>
      <c r="D25" s="4">
        <f>(110000-67150.96)*0.5</f>
        <v>21424.52</v>
      </c>
    </row>
    <row r="26">
      <c r="A26" s="4" t="s">
        <v>2</v>
      </c>
      <c r="D26" s="4">
        <f>(75000+52003.03-12413.13-41869.73-37243.18)/2</f>
        <v>17738.495</v>
      </c>
    </row>
    <row r="27">
      <c r="A27" s="4" t="s">
        <v>0</v>
      </c>
      <c r="B27" s="4" t="s">
        <v>28</v>
      </c>
      <c r="D27" s="4">
        <f>175000-139149.63</f>
        <v>35850.37</v>
      </c>
    </row>
    <row r="28">
      <c r="E28" s="11"/>
    </row>
    <row r="29">
      <c r="C29" s="6" t="s">
        <v>3</v>
      </c>
      <c r="D29" s="10">
        <f t="shared" ref="D29:D35" si="1">SUMIF($A$5:$A$27,C29,$D$5:$D$27)</f>
        <v>35435.01</v>
      </c>
      <c r="E29" s="11">
        <f t="shared" ref="E29:E35" si="2">D29/$D$36</f>
        <v>0.3512805752</v>
      </c>
    </row>
    <row r="30">
      <c r="C30" s="6" t="s">
        <v>4</v>
      </c>
      <c r="D30" s="10">
        <f t="shared" si="1"/>
        <v>8311.38</v>
      </c>
      <c r="E30" s="11">
        <f t="shared" si="2"/>
        <v>0.08239383444</v>
      </c>
    </row>
    <row r="31">
      <c r="C31" s="6" t="s">
        <v>5</v>
      </c>
      <c r="D31" s="10">
        <f t="shared" si="1"/>
        <v>0</v>
      </c>
      <c r="E31" s="11">
        <f t="shared" si="2"/>
        <v>0</v>
      </c>
    </row>
    <row r="32">
      <c r="C32" s="6" t="s">
        <v>6</v>
      </c>
      <c r="D32" s="10">
        <f t="shared" si="1"/>
        <v>2184.9</v>
      </c>
      <c r="E32" s="11">
        <f t="shared" si="2"/>
        <v>0.02165973507</v>
      </c>
    </row>
    <row r="33">
      <c r="C33" s="6" t="s">
        <v>7</v>
      </c>
      <c r="D33" s="10">
        <f t="shared" si="1"/>
        <v>15779.505</v>
      </c>
      <c r="E33" s="11">
        <f t="shared" si="2"/>
        <v>0.1564281651</v>
      </c>
    </row>
    <row r="34">
      <c r="C34" s="4" t="s">
        <v>1</v>
      </c>
      <c r="D34" s="10">
        <f t="shared" si="1"/>
        <v>21424.52</v>
      </c>
      <c r="E34" s="11">
        <f t="shared" si="2"/>
        <v>0.2123893209</v>
      </c>
    </row>
    <row r="35">
      <c r="C35" s="4" t="s">
        <v>2</v>
      </c>
      <c r="D35" s="10">
        <f t="shared" si="1"/>
        <v>17738.495</v>
      </c>
      <c r="E35" s="11">
        <f t="shared" si="2"/>
        <v>0.1758483694</v>
      </c>
    </row>
    <row r="36">
      <c r="D36" s="5">
        <f>SUM($D$29:D35)</f>
        <v>100873.81</v>
      </c>
      <c r="E36" s="11"/>
    </row>
    <row r="37">
      <c r="D37" s="12"/>
    </row>
    <row r="40">
      <c r="C40" s="6" t="s">
        <v>3</v>
      </c>
      <c r="D40" s="10">
        <f t="shared" ref="D40:D47" si="3">SUMIF($A$5:$A$27,C40,$D$5:$D$27)</f>
        <v>35435.01</v>
      </c>
      <c r="E40" s="11">
        <f t="shared" ref="E40:E47" si="4">D40/$D$48</f>
        <v>0.259171494</v>
      </c>
    </row>
    <row r="41">
      <c r="C41" s="6" t="s">
        <v>4</v>
      </c>
      <c r="D41" s="10">
        <f t="shared" si="3"/>
        <v>8311.38</v>
      </c>
      <c r="E41" s="11">
        <f t="shared" si="4"/>
        <v>0.06078939365</v>
      </c>
    </row>
    <row r="42">
      <c r="C42" s="6" t="s">
        <v>5</v>
      </c>
      <c r="D42" s="10">
        <f t="shared" si="3"/>
        <v>0</v>
      </c>
      <c r="E42" s="11">
        <f t="shared" si="4"/>
        <v>0</v>
      </c>
    </row>
    <row r="43">
      <c r="C43" s="6" t="s">
        <v>6</v>
      </c>
      <c r="D43" s="10">
        <f t="shared" si="3"/>
        <v>2184.9</v>
      </c>
      <c r="E43" s="11">
        <f t="shared" si="4"/>
        <v>0.01598034817</v>
      </c>
    </row>
    <row r="44">
      <c r="C44" s="6" t="s">
        <v>7</v>
      </c>
      <c r="D44" s="10">
        <f t="shared" si="3"/>
        <v>15779.505</v>
      </c>
      <c r="E44" s="11">
        <f t="shared" si="4"/>
        <v>0.1154112243</v>
      </c>
    </row>
    <row r="45">
      <c r="C45" s="4" t="s">
        <v>1</v>
      </c>
      <c r="D45" s="10">
        <f t="shared" si="3"/>
        <v>21424.52</v>
      </c>
      <c r="E45" s="11">
        <f t="shared" si="4"/>
        <v>0.156698837</v>
      </c>
    </row>
    <row r="46">
      <c r="C46" s="4" t="s">
        <v>0</v>
      </c>
      <c r="D46" s="10">
        <f t="shared" si="3"/>
        <v>35850.37</v>
      </c>
      <c r="E46" s="11">
        <f t="shared" si="4"/>
        <v>0.2622094351</v>
      </c>
    </row>
    <row r="47">
      <c r="C47" s="4" t="s">
        <v>2</v>
      </c>
      <c r="D47" s="10">
        <f t="shared" si="3"/>
        <v>17738.495</v>
      </c>
      <c r="E47" s="11">
        <f t="shared" si="4"/>
        <v>0.1297392678</v>
      </c>
    </row>
    <row r="48">
      <c r="D48" s="5">
        <f>SUM(D40:D47)</f>
        <v>136724.18</v>
      </c>
    </row>
  </sheetData>
  <autoFilter ref="$A$4:$E$27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4" t="s">
        <v>9</v>
      </c>
      <c r="E2" s="3">
        <v>45722.0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4">
        <v>10242.54</v>
      </c>
      <c r="E5" s="4" t="s">
        <v>15</v>
      </c>
      <c r="F5" s="4">
        <v>9836.0</v>
      </c>
    </row>
    <row r="6">
      <c r="A6" s="4" t="s">
        <v>3</v>
      </c>
      <c r="B6" s="4" t="s">
        <v>16</v>
      </c>
      <c r="C6" s="4">
        <v>0.0</v>
      </c>
      <c r="D6" s="4">
        <v>0.0</v>
      </c>
      <c r="E6" s="4" t="s">
        <v>15</v>
      </c>
      <c r="F6" s="4">
        <v>5129.85</v>
      </c>
    </row>
    <row r="7">
      <c r="A7" s="4" t="s">
        <v>3</v>
      </c>
      <c r="B7" s="4" t="s">
        <v>29</v>
      </c>
      <c r="C7" s="4">
        <v>180.0</v>
      </c>
      <c r="D7" s="4">
        <v>1899.45</v>
      </c>
      <c r="E7" s="4" t="s">
        <v>15</v>
      </c>
      <c r="F7" s="4">
        <v>1533.24</v>
      </c>
    </row>
    <row r="8">
      <c r="A8" s="4" t="s">
        <v>3</v>
      </c>
      <c r="B8" s="4" t="s">
        <v>21</v>
      </c>
      <c r="C8" s="4">
        <v>120.0</v>
      </c>
      <c r="D8" s="4">
        <v>1349.4</v>
      </c>
      <c r="E8" s="4" t="s">
        <v>21</v>
      </c>
      <c r="F8" s="4">
        <v>1231.8</v>
      </c>
    </row>
    <row r="9">
      <c r="A9" s="4" t="s">
        <v>3</v>
      </c>
      <c r="B9" s="4" t="s">
        <v>43</v>
      </c>
      <c r="C9" s="4">
        <v>5000.0</v>
      </c>
      <c r="D9" s="9">
        <v>0.0</v>
      </c>
      <c r="E9" s="4" t="s">
        <v>21</v>
      </c>
    </row>
    <row r="10">
      <c r="A10" s="4" t="s">
        <v>4</v>
      </c>
      <c r="B10" s="4" t="s">
        <v>18</v>
      </c>
      <c r="D10" s="4">
        <v>8666.3</v>
      </c>
      <c r="E10" s="4" t="s">
        <v>21</v>
      </c>
    </row>
    <row r="11">
      <c r="A11" s="4" t="s">
        <v>5</v>
      </c>
      <c r="B11" s="4" t="s">
        <v>33</v>
      </c>
      <c r="D11" s="9">
        <v>0.0</v>
      </c>
      <c r="E11" s="4" t="s">
        <v>19</v>
      </c>
      <c r="F11" s="11"/>
    </row>
    <row r="12">
      <c r="A12" s="4" t="s">
        <v>5</v>
      </c>
      <c r="B12" s="4" t="s">
        <v>5</v>
      </c>
      <c r="D12" s="9">
        <v>0.0</v>
      </c>
      <c r="E12" s="4" t="s">
        <v>21</v>
      </c>
    </row>
    <row r="13">
      <c r="A13" s="4" t="s">
        <v>3</v>
      </c>
      <c r="B13" s="4" t="s">
        <v>20</v>
      </c>
      <c r="D13" s="4">
        <v>13552.87</v>
      </c>
      <c r="E13" s="4" t="s">
        <v>21</v>
      </c>
      <c r="F13" s="4">
        <v>11791.47</v>
      </c>
    </row>
    <row r="14">
      <c r="A14" s="4" t="s">
        <v>3</v>
      </c>
      <c r="B14" s="4" t="s">
        <v>20</v>
      </c>
      <c r="D14" s="4">
        <v>2042.83</v>
      </c>
      <c r="E14" s="4" t="s">
        <v>44</v>
      </c>
      <c r="F14" s="4">
        <v>1447.7</v>
      </c>
    </row>
    <row r="15">
      <c r="A15" s="4" t="s">
        <v>6</v>
      </c>
      <c r="B15" s="4" t="s">
        <v>22</v>
      </c>
      <c r="D15" s="4">
        <v>2184.9</v>
      </c>
      <c r="E15" s="4" t="s">
        <v>6</v>
      </c>
    </row>
    <row r="16">
      <c r="A16" s="4" t="s">
        <v>6</v>
      </c>
      <c r="B16" s="4" t="s">
        <v>23</v>
      </c>
      <c r="D16" s="9">
        <v>0.0</v>
      </c>
      <c r="E16" s="4" t="s">
        <v>6</v>
      </c>
    </row>
    <row r="17">
      <c r="A17" s="4" t="s">
        <v>6</v>
      </c>
      <c r="B17" s="4" t="s">
        <v>24</v>
      </c>
      <c r="D17" s="4">
        <v>0.0</v>
      </c>
      <c r="E17" s="4" t="s">
        <v>6</v>
      </c>
    </row>
    <row r="18">
      <c r="A18" s="4" t="s">
        <v>6</v>
      </c>
      <c r="B18" s="4" t="s">
        <v>25</v>
      </c>
      <c r="D18" s="4">
        <v>0.0</v>
      </c>
      <c r="E18" s="4" t="s">
        <v>6</v>
      </c>
    </row>
    <row r="19">
      <c r="A19" s="4" t="s">
        <v>7</v>
      </c>
      <c r="B19" s="4" t="s">
        <v>30</v>
      </c>
      <c r="D19" s="4">
        <f>7628.41/2</f>
        <v>3814.205</v>
      </c>
      <c r="E19" s="4" t="s">
        <v>36</v>
      </c>
      <c r="F19" s="9">
        <f>D19+D20</f>
        <v>4796.69</v>
      </c>
      <c r="G19" s="9">
        <f>F19*2</f>
        <v>9593.38</v>
      </c>
    </row>
    <row r="20">
      <c r="A20" s="4" t="s">
        <v>7</v>
      </c>
      <c r="B20" s="4" t="s">
        <v>30</v>
      </c>
      <c r="D20" s="4">
        <f>1964.97/2</f>
        <v>982.485</v>
      </c>
      <c r="E20" s="4" t="s">
        <v>21</v>
      </c>
    </row>
    <row r="21">
      <c r="A21" s="4" t="s">
        <v>7</v>
      </c>
      <c r="B21" s="4" t="s">
        <v>31</v>
      </c>
      <c r="D21" s="4">
        <v>2790.89</v>
      </c>
      <c r="E21" s="4" t="s">
        <v>21</v>
      </c>
    </row>
    <row r="22">
      <c r="A22" s="4" t="s">
        <v>7</v>
      </c>
      <c r="B22" s="4" t="s">
        <v>7</v>
      </c>
      <c r="D22" s="4">
        <v>8190.94</v>
      </c>
      <c r="E22" s="4" t="s">
        <v>34</v>
      </c>
    </row>
    <row r="23">
      <c r="A23" s="4" t="s">
        <v>7</v>
      </c>
      <c r="B23" s="4" t="s">
        <v>7</v>
      </c>
      <c r="D23" s="4">
        <v>7165.29</v>
      </c>
      <c r="E23" s="4" t="s">
        <v>35</v>
      </c>
    </row>
    <row r="24">
      <c r="A24" s="4" t="s">
        <v>7</v>
      </c>
      <c r="B24" s="4" t="s">
        <v>7</v>
      </c>
      <c r="D24" s="4">
        <v>2928.53</v>
      </c>
      <c r="E24" s="4" t="s">
        <v>15</v>
      </c>
    </row>
    <row r="25">
      <c r="A25" s="4" t="s">
        <v>1</v>
      </c>
      <c r="B25" s="4" t="s">
        <v>32</v>
      </c>
      <c r="D25" s="4">
        <f>(110000-66909.86)*0.5</f>
        <v>21545.07</v>
      </c>
    </row>
    <row r="26">
      <c r="A26" s="4" t="s">
        <v>2</v>
      </c>
      <c r="D26" s="4">
        <f>(75000+52064.34-11918.48-41596.91-36989.01)/2</f>
        <v>18279.97</v>
      </c>
    </row>
    <row r="27">
      <c r="A27" s="4" t="s">
        <v>0</v>
      </c>
      <c r="B27" s="4" t="s">
        <v>28</v>
      </c>
      <c r="D27" s="4">
        <f>175000-138839.72</f>
        <v>36160.28</v>
      </c>
    </row>
    <row r="28">
      <c r="E28" s="11"/>
    </row>
    <row r="29">
      <c r="C29" s="6" t="s">
        <v>3</v>
      </c>
      <c r="D29" s="10">
        <f t="shared" ref="D29:D35" si="1">SUMIF($A$5:$A$27,C29,$D$5:$D$27)</f>
        <v>29087.09</v>
      </c>
      <c r="E29" s="11">
        <f t="shared" ref="E29:E35" si="2">D29/$D$36</f>
        <v>0.2753529182</v>
      </c>
    </row>
    <row r="30">
      <c r="C30" s="6" t="s">
        <v>4</v>
      </c>
      <c r="D30" s="10">
        <f t="shared" si="1"/>
        <v>8666.3</v>
      </c>
      <c r="E30" s="11">
        <f t="shared" si="2"/>
        <v>0.0820395232</v>
      </c>
    </row>
    <row r="31">
      <c r="C31" s="6" t="s">
        <v>5</v>
      </c>
      <c r="D31" s="10">
        <f t="shared" si="1"/>
        <v>0</v>
      </c>
      <c r="E31" s="11">
        <f t="shared" si="2"/>
        <v>0</v>
      </c>
    </row>
    <row r="32">
      <c r="C32" s="6" t="s">
        <v>6</v>
      </c>
      <c r="D32" s="10">
        <f t="shared" si="1"/>
        <v>2184.9</v>
      </c>
      <c r="E32" s="11">
        <f t="shared" si="2"/>
        <v>0.0206833544</v>
      </c>
    </row>
    <row r="33">
      <c r="C33" s="6" t="s">
        <v>7</v>
      </c>
      <c r="D33" s="10">
        <f t="shared" si="1"/>
        <v>25872.34</v>
      </c>
      <c r="E33" s="11">
        <f t="shared" si="2"/>
        <v>0.2449204895</v>
      </c>
      <c r="F33" s="10">
        <f>D33-F19</f>
        <v>21075.65</v>
      </c>
    </row>
    <row r="34">
      <c r="C34" s="4" t="s">
        <v>1</v>
      </c>
      <c r="D34" s="10">
        <f t="shared" si="1"/>
        <v>21545.07</v>
      </c>
      <c r="E34" s="11">
        <f t="shared" si="2"/>
        <v>0.2039563909</v>
      </c>
    </row>
    <row r="35">
      <c r="C35" s="4" t="s">
        <v>2</v>
      </c>
      <c r="D35" s="10">
        <f t="shared" si="1"/>
        <v>18279.97</v>
      </c>
      <c r="E35" s="11">
        <f t="shared" si="2"/>
        <v>0.1730473239</v>
      </c>
    </row>
    <row r="36">
      <c r="D36" s="5">
        <f>SUM($D$29:D35)</f>
        <v>105635.67</v>
      </c>
      <c r="E36" s="11"/>
    </row>
    <row r="37">
      <c r="D37" s="12"/>
    </row>
    <row r="40">
      <c r="C40" s="6" t="s">
        <v>3</v>
      </c>
      <c r="D40" s="10">
        <f t="shared" ref="D40:D47" si="3">SUMIF($A$5:$A$27,C40,$D$5:$D$27)</f>
        <v>29087.09</v>
      </c>
      <c r="E40" s="11">
        <f t="shared" ref="E40:E47" si="4">D40/$D$48</f>
        <v>0.2051334329</v>
      </c>
    </row>
    <row r="41">
      <c r="C41" s="6" t="s">
        <v>4</v>
      </c>
      <c r="D41" s="10">
        <f t="shared" si="3"/>
        <v>8666.3</v>
      </c>
      <c r="E41" s="11">
        <f t="shared" si="4"/>
        <v>0.06111810669</v>
      </c>
    </row>
    <row r="42">
      <c r="C42" s="6" t="s">
        <v>5</v>
      </c>
      <c r="D42" s="10">
        <f t="shared" si="3"/>
        <v>0</v>
      </c>
      <c r="E42" s="11">
        <f t="shared" si="4"/>
        <v>0</v>
      </c>
    </row>
    <row r="43">
      <c r="C43" s="6" t="s">
        <v>6</v>
      </c>
      <c r="D43" s="10">
        <f t="shared" si="3"/>
        <v>2184.9</v>
      </c>
      <c r="E43" s="11">
        <f t="shared" si="4"/>
        <v>0.01540876167</v>
      </c>
    </row>
    <row r="44">
      <c r="C44" s="6" t="s">
        <v>7</v>
      </c>
      <c r="D44" s="10">
        <f t="shared" si="3"/>
        <v>25872.34</v>
      </c>
      <c r="E44" s="11">
        <f t="shared" si="4"/>
        <v>0.1824617699</v>
      </c>
    </row>
    <row r="45">
      <c r="C45" s="4" t="s">
        <v>1</v>
      </c>
      <c r="D45" s="10">
        <f t="shared" si="3"/>
        <v>21545.07</v>
      </c>
      <c r="E45" s="11">
        <f t="shared" si="4"/>
        <v>0.1519441846</v>
      </c>
    </row>
    <row r="46">
      <c r="C46" s="4" t="s">
        <v>0</v>
      </c>
      <c r="D46" s="10">
        <f t="shared" si="3"/>
        <v>36160.28</v>
      </c>
      <c r="E46" s="11">
        <f t="shared" si="4"/>
        <v>0.2550163104</v>
      </c>
    </row>
    <row r="47">
      <c r="C47" s="4" t="s">
        <v>2</v>
      </c>
      <c r="D47" s="10">
        <f t="shared" si="3"/>
        <v>18279.97</v>
      </c>
      <c r="E47" s="11">
        <f t="shared" si="4"/>
        <v>0.1289174338</v>
      </c>
    </row>
    <row r="48">
      <c r="D48" s="5">
        <f>SUM(D40:D47)</f>
        <v>141795.95</v>
      </c>
    </row>
  </sheetData>
  <autoFilter ref="$A$4:$E$27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45</v>
      </c>
    </row>
    <row r="2">
      <c r="D2" s="4" t="s">
        <v>9</v>
      </c>
      <c r="E2" s="3">
        <v>45722.0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4">
        <v>11824.56</v>
      </c>
      <c r="E5" s="4" t="s">
        <v>15</v>
      </c>
      <c r="F5" s="4">
        <v>9836.0</v>
      </c>
    </row>
    <row r="6">
      <c r="A6" s="4" t="s">
        <v>3</v>
      </c>
      <c r="B6" s="4" t="s">
        <v>16</v>
      </c>
      <c r="C6" s="4">
        <v>0.0</v>
      </c>
      <c r="D6" s="4">
        <v>0.0</v>
      </c>
      <c r="E6" s="4" t="s">
        <v>15</v>
      </c>
      <c r="F6" s="4">
        <v>5129.85</v>
      </c>
    </row>
    <row r="7">
      <c r="A7" s="4" t="s">
        <v>3</v>
      </c>
      <c r="B7" s="4" t="s">
        <v>29</v>
      </c>
      <c r="C7" s="4">
        <v>180.0</v>
      </c>
      <c r="D7" s="4">
        <v>2336.4</v>
      </c>
      <c r="E7" s="4" t="s">
        <v>15</v>
      </c>
      <c r="F7" s="4">
        <v>1533.24</v>
      </c>
    </row>
    <row r="8">
      <c r="A8" s="4" t="s">
        <v>3</v>
      </c>
      <c r="B8" s="4" t="s">
        <v>21</v>
      </c>
      <c r="C8" s="4">
        <v>120.0</v>
      </c>
      <c r="D8" s="4">
        <v>1500.6</v>
      </c>
      <c r="E8" s="4" t="s">
        <v>21</v>
      </c>
      <c r="F8" s="4">
        <v>1231.8</v>
      </c>
    </row>
    <row r="9">
      <c r="A9" s="4" t="s">
        <v>3</v>
      </c>
      <c r="B9" s="4" t="s">
        <v>43</v>
      </c>
      <c r="C9" s="4">
        <v>5000.0</v>
      </c>
      <c r="D9" s="9">
        <v>0.0</v>
      </c>
      <c r="E9" s="4" t="s">
        <v>21</v>
      </c>
    </row>
    <row r="10">
      <c r="A10" s="4" t="s">
        <v>4</v>
      </c>
      <c r="B10" s="4" t="s">
        <v>18</v>
      </c>
      <c r="D10" s="4">
        <v>8673.43</v>
      </c>
      <c r="E10" s="4" t="s">
        <v>21</v>
      </c>
    </row>
    <row r="11">
      <c r="A11" s="4" t="s">
        <v>5</v>
      </c>
      <c r="B11" s="4" t="s">
        <v>33</v>
      </c>
      <c r="D11" s="9">
        <v>0.0</v>
      </c>
      <c r="E11" s="4" t="s">
        <v>19</v>
      </c>
      <c r="F11" s="11"/>
    </row>
    <row r="12">
      <c r="A12" s="4" t="s">
        <v>5</v>
      </c>
      <c r="B12" s="4" t="s">
        <v>5</v>
      </c>
      <c r="D12" s="9">
        <v>0.0</v>
      </c>
      <c r="E12" s="4" t="s">
        <v>21</v>
      </c>
    </row>
    <row r="13">
      <c r="A13" s="4" t="s">
        <v>3</v>
      </c>
      <c r="B13" s="4" t="s">
        <v>20</v>
      </c>
      <c r="D13" s="4">
        <v>13969.24</v>
      </c>
      <c r="E13" s="4" t="s">
        <v>21</v>
      </c>
      <c r="F13" s="4">
        <v>11791.47</v>
      </c>
    </row>
    <row r="14">
      <c r="A14" s="4" t="s">
        <v>3</v>
      </c>
      <c r="B14" s="4" t="s">
        <v>20</v>
      </c>
      <c r="D14" s="4">
        <v>2230.89</v>
      </c>
      <c r="E14" s="4" t="s">
        <v>44</v>
      </c>
      <c r="F14" s="4">
        <v>1447.7</v>
      </c>
    </row>
    <row r="15">
      <c r="A15" s="4" t="s">
        <v>6</v>
      </c>
      <c r="B15" s="4" t="s">
        <v>22</v>
      </c>
      <c r="D15" s="4">
        <v>2320.48</v>
      </c>
      <c r="E15" s="4" t="s">
        <v>6</v>
      </c>
    </row>
    <row r="16">
      <c r="A16" s="4" t="s">
        <v>6</v>
      </c>
      <c r="B16" s="4" t="s">
        <v>23</v>
      </c>
      <c r="D16" s="9">
        <v>0.0</v>
      </c>
      <c r="E16" s="4" t="s">
        <v>6</v>
      </c>
    </row>
    <row r="17">
      <c r="A17" s="4" t="s">
        <v>6</v>
      </c>
      <c r="B17" s="4" t="s">
        <v>24</v>
      </c>
      <c r="D17" s="4">
        <v>0.0</v>
      </c>
      <c r="E17" s="4" t="s">
        <v>6</v>
      </c>
    </row>
    <row r="18">
      <c r="A18" s="4" t="s">
        <v>6</v>
      </c>
      <c r="B18" s="4" t="s">
        <v>25</v>
      </c>
      <c r="D18" s="4">
        <v>0.0</v>
      </c>
      <c r="E18" s="4" t="s">
        <v>6</v>
      </c>
    </row>
    <row r="19">
      <c r="A19" s="4" t="s">
        <v>7</v>
      </c>
      <c r="B19" s="4" t="s">
        <v>30</v>
      </c>
      <c r="D19" s="4">
        <f>+8328.85/2</f>
        <v>4164.425</v>
      </c>
      <c r="E19" s="4" t="s">
        <v>36</v>
      </c>
      <c r="F19" s="9">
        <f>D19+D20</f>
        <v>5171.8</v>
      </c>
      <c r="G19" s="9">
        <f>F19*2</f>
        <v>10343.6</v>
      </c>
    </row>
    <row r="20">
      <c r="A20" s="4" t="s">
        <v>7</v>
      </c>
      <c r="B20" s="4" t="s">
        <v>30</v>
      </c>
      <c r="D20" s="4">
        <f>2014.75/2</f>
        <v>1007.375</v>
      </c>
      <c r="E20" s="4" t="s">
        <v>21</v>
      </c>
    </row>
    <row r="21">
      <c r="A21" s="4" t="s">
        <v>7</v>
      </c>
      <c r="B21" s="4" t="s">
        <v>31</v>
      </c>
      <c r="D21" s="4">
        <v>5116.95</v>
      </c>
      <c r="E21" s="4" t="s">
        <v>21</v>
      </c>
    </row>
    <row r="22">
      <c r="A22" s="4" t="s">
        <v>7</v>
      </c>
      <c r="B22" s="4" t="s">
        <v>7</v>
      </c>
      <c r="D22" s="4">
        <v>7116.35</v>
      </c>
      <c r="E22" s="4" t="s">
        <v>34</v>
      </c>
    </row>
    <row r="23">
      <c r="A23" s="4" t="s">
        <v>7</v>
      </c>
      <c r="B23" s="4" t="s">
        <v>7</v>
      </c>
      <c r="D23" s="4">
        <v>8960.58</v>
      </c>
      <c r="E23" s="4" t="s">
        <v>35</v>
      </c>
    </row>
    <row r="24">
      <c r="A24" s="4" t="s">
        <v>7</v>
      </c>
      <c r="B24" s="4" t="s">
        <v>7</v>
      </c>
      <c r="D24" s="4">
        <v>1823.23</v>
      </c>
      <c r="E24" s="4" t="s">
        <v>15</v>
      </c>
    </row>
    <row r="25">
      <c r="A25" s="4" t="s">
        <v>1</v>
      </c>
      <c r="B25" s="4" t="s">
        <v>32</v>
      </c>
      <c r="D25" s="4">
        <f>(110000-66668.2)*0.5</f>
        <v>21665.9</v>
      </c>
    </row>
    <row r="26">
      <c r="A26" s="4" t="s">
        <v>2</v>
      </c>
      <c r="D26" s="4">
        <f>(75000+52085.65-11421.28-40822.62-36989.01)/2</f>
        <v>18926.37</v>
      </c>
    </row>
    <row r="27">
      <c r="A27" s="4" t="s">
        <v>0</v>
      </c>
      <c r="B27" s="4" t="s">
        <v>28</v>
      </c>
      <c r="D27" s="4">
        <f>175000-138528.95</f>
        <v>36471.05</v>
      </c>
    </row>
    <row r="28">
      <c r="E28" s="11"/>
    </row>
    <row r="29">
      <c r="C29" s="6" t="s">
        <v>3</v>
      </c>
      <c r="D29" s="10">
        <f t="shared" ref="D29:D35" si="1">SUMIF($A$5:$A$27,C29,$D$5:$D$27)</f>
        <v>31861.69</v>
      </c>
      <c r="E29" s="11">
        <f t="shared" ref="E29:E35" si="2">D29/$D$36</f>
        <v>0.2854049535</v>
      </c>
    </row>
    <row r="30">
      <c r="C30" s="6" t="s">
        <v>4</v>
      </c>
      <c r="D30" s="10">
        <f t="shared" si="1"/>
        <v>8673.43</v>
      </c>
      <c r="E30" s="11">
        <f t="shared" si="2"/>
        <v>0.07769330144</v>
      </c>
    </row>
    <row r="31">
      <c r="C31" s="6" t="s">
        <v>5</v>
      </c>
      <c r="D31" s="10">
        <f t="shared" si="1"/>
        <v>0</v>
      </c>
      <c r="E31" s="11">
        <f t="shared" si="2"/>
        <v>0</v>
      </c>
    </row>
    <row r="32">
      <c r="C32" s="6" t="s">
        <v>6</v>
      </c>
      <c r="D32" s="10">
        <f t="shared" si="1"/>
        <v>2320.48</v>
      </c>
      <c r="E32" s="11">
        <f t="shared" si="2"/>
        <v>0.02078598111</v>
      </c>
    </row>
    <row r="33">
      <c r="C33" s="6" t="s">
        <v>7</v>
      </c>
      <c r="D33" s="10">
        <f t="shared" si="1"/>
        <v>28188.91</v>
      </c>
      <c r="E33" s="11">
        <f t="shared" si="2"/>
        <v>0.252505581</v>
      </c>
      <c r="F33" s="10">
        <f>D33-F19</f>
        <v>23017.11</v>
      </c>
    </row>
    <row r="34">
      <c r="C34" s="4" t="s">
        <v>1</v>
      </c>
      <c r="D34" s="10">
        <f t="shared" si="1"/>
        <v>21665.9</v>
      </c>
      <c r="E34" s="11">
        <f t="shared" si="2"/>
        <v>0.1940749276</v>
      </c>
    </row>
    <row r="35">
      <c r="C35" s="4" t="s">
        <v>2</v>
      </c>
      <c r="D35" s="10">
        <f t="shared" si="1"/>
        <v>18926.37</v>
      </c>
      <c r="E35" s="11">
        <f t="shared" si="2"/>
        <v>0.1695352553</v>
      </c>
    </row>
    <row r="36">
      <c r="D36" s="5">
        <f>SUM($D$29:D35)</f>
        <v>111636.78</v>
      </c>
      <c r="E36" s="11"/>
    </row>
    <row r="37">
      <c r="D37" s="12"/>
    </row>
    <row r="40">
      <c r="C40" s="6" t="s">
        <v>3</v>
      </c>
      <c r="D40" s="10">
        <f t="shared" ref="D40:D47" si="3">SUMIF($A$5:$A$27,C40,$D$5:$D$27)</f>
        <v>31861.69</v>
      </c>
      <c r="E40" s="11">
        <f t="shared" ref="E40:E47" si="4">D40/$D$48</f>
        <v>0.2151249532</v>
      </c>
    </row>
    <row r="41">
      <c r="C41" s="6" t="s">
        <v>4</v>
      </c>
      <c r="D41" s="10">
        <f t="shared" si="3"/>
        <v>8673.43</v>
      </c>
      <c r="E41" s="11">
        <f t="shared" si="4"/>
        <v>0.05856158989</v>
      </c>
    </row>
    <row r="42">
      <c r="C42" s="6" t="s">
        <v>5</v>
      </c>
      <c r="D42" s="10">
        <f t="shared" si="3"/>
        <v>0</v>
      </c>
      <c r="E42" s="11">
        <f t="shared" si="4"/>
        <v>0</v>
      </c>
    </row>
    <row r="43">
      <c r="C43" s="6" t="s">
        <v>6</v>
      </c>
      <c r="D43" s="10">
        <f t="shared" si="3"/>
        <v>2320.48</v>
      </c>
      <c r="E43" s="11">
        <f t="shared" si="4"/>
        <v>0.01566750387</v>
      </c>
    </row>
    <row r="44">
      <c r="C44" s="6" t="s">
        <v>7</v>
      </c>
      <c r="D44" s="10">
        <f t="shared" si="3"/>
        <v>28188.91</v>
      </c>
      <c r="E44" s="11">
        <f t="shared" si="4"/>
        <v>0.1903269395</v>
      </c>
    </row>
    <row r="45">
      <c r="C45" s="4" t="s">
        <v>1</v>
      </c>
      <c r="D45" s="10">
        <f t="shared" si="3"/>
        <v>21665.9</v>
      </c>
      <c r="E45" s="11">
        <f t="shared" si="4"/>
        <v>0.146284636</v>
      </c>
    </row>
    <row r="46">
      <c r="C46" s="4" t="s">
        <v>0</v>
      </c>
      <c r="D46" s="10">
        <f t="shared" si="3"/>
        <v>36471.05</v>
      </c>
      <c r="E46" s="11">
        <f t="shared" si="4"/>
        <v>0.2462466029</v>
      </c>
    </row>
    <row r="47">
      <c r="C47" s="4" t="s">
        <v>2</v>
      </c>
      <c r="D47" s="10">
        <f t="shared" si="3"/>
        <v>18926.37</v>
      </c>
      <c r="E47" s="11">
        <f t="shared" si="4"/>
        <v>0.1277877746</v>
      </c>
    </row>
    <row r="48">
      <c r="D48" s="5">
        <f>SUM(D40:D47)</f>
        <v>148107.83</v>
      </c>
    </row>
  </sheetData>
  <autoFilter ref="$A$4:$E$27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45</v>
      </c>
    </row>
    <row r="2">
      <c r="D2" s="4" t="s">
        <v>9</v>
      </c>
      <c r="E2" s="3">
        <v>45722.0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4">
        <v>12359.16</v>
      </c>
      <c r="E5" s="4" t="s">
        <v>15</v>
      </c>
      <c r="F5" s="4">
        <v>9836.0</v>
      </c>
    </row>
    <row r="6">
      <c r="A6" s="4" t="s">
        <v>3</v>
      </c>
      <c r="B6" s="4" t="s">
        <v>16</v>
      </c>
      <c r="C6" s="4">
        <v>0.0</v>
      </c>
      <c r="D6" s="4">
        <v>0.0</v>
      </c>
      <c r="E6" s="4" t="s">
        <v>15</v>
      </c>
      <c r="F6" s="4">
        <v>5129.85</v>
      </c>
    </row>
    <row r="7">
      <c r="A7" s="4" t="s">
        <v>3</v>
      </c>
      <c r="B7" s="4" t="s">
        <v>29</v>
      </c>
      <c r="C7" s="4">
        <v>180.0</v>
      </c>
      <c r="D7" s="4">
        <v>2214.0</v>
      </c>
      <c r="E7" s="4" t="s">
        <v>15</v>
      </c>
      <c r="F7" s="4">
        <v>1533.24</v>
      </c>
    </row>
    <row r="8">
      <c r="A8" s="4" t="s">
        <v>3</v>
      </c>
      <c r="B8" s="4" t="s">
        <v>21</v>
      </c>
      <c r="C8" s="4">
        <v>120.0</v>
      </c>
      <c r="D8" s="4">
        <v>1501.8</v>
      </c>
      <c r="E8" s="4" t="s">
        <v>21</v>
      </c>
      <c r="F8" s="4">
        <v>1231.8</v>
      </c>
    </row>
    <row r="9">
      <c r="A9" s="4" t="s">
        <v>3</v>
      </c>
      <c r="B9" s="4" t="s">
        <v>43</v>
      </c>
      <c r="C9" s="4">
        <v>5000.0</v>
      </c>
      <c r="D9" s="9">
        <v>0.0</v>
      </c>
      <c r="E9" s="4" t="s">
        <v>21</v>
      </c>
    </row>
    <row r="10">
      <c r="A10" s="4" t="s">
        <v>4</v>
      </c>
      <c r="B10" s="4" t="s">
        <v>18</v>
      </c>
      <c r="D10" s="4">
        <v>8928.38</v>
      </c>
      <c r="E10" s="4" t="s">
        <v>21</v>
      </c>
    </row>
    <row r="11">
      <c r="A11" s="4" t="s">
        <v>5</v>
      </c>
      <c r="B11" s="4" t="s">
        <v>33</v>
      </c>
      <c r="D11" s="9">
        <v>0.0</v>
      </c>
      <c r="E11" s="4" t="s">
        <v>19</v>
      </c>
      <c r="F11" s="11"/>
    </row>
    <row r="12">
      <c r="A12" s="4" t="s">
        <v>5</v>
      </c>
      <c r="B12" s="4" t="s">
        <v>5</v>
      </c>
      <c r="D12" s="9">
        <v>0.0</v>
      </c>
      <c r="E12" s="4" t="s">
        <v>21</v>
      </c>
    </row>
    <row r="13">
      <c r="A13" s="4" t="s">
        <v>3</v>
      </c>
      <c r="B13" s="4" t="s">
        <v>20</v>
      </c>
      <c r="D13" s="4">
        <v>14499.26</v>
      </c>
      <c r="E13" s="4" t="s">
        <v>21</v>
      </c>
      <c r="F13" s="4">
        <v>11791.47</v>
      </c>
    </row>
    <row r="14">
      <c r="A14" s="4" t="s">
        <v>3</v>
      </c>
      <c r="B14" s="4" t="s">
        <v>20</v>
      </c>
      <c r="D14" s="4">
        <v>2432.6</v>
      </c>
      <c r="E14" s="4" t="s">
        <v>44</v>
      </c>
      <c r="F14" s="4">
        <v>1447.7</v>
      </c>
    </row>
    <row r="15">
      <c r="A15" s="4" t="s">
        <v>6</v>
      </c>
      <c r="B15" s="4" t="s">
        <v>22</v>
      </c>
      <c r="D15" s="4">
        <v>2336.04</v>
      </c>
      <c r="E15" s="4" t="s">
        <v>6</v>
      </c>
      <c r="O15" s="4">
        <v>43.0</v>
      </c>
      <c r="P15" s="4">
        <v>50.0</v>
      </c>
    </row>
    <row r="16">
      <c r="A16" s="4" t="s">
        <v>6</v>
      </c>
      <c r="B16" s="4" t="s">
        <v>23</v>
      </c>
      <c r="D16" s="9">
        <v>0.0</v>
      </c>
      <c r="E16" s="4" t="s">
        <v>6</v>
      </c>
      <c r="O16" s="4">
        <v>38.0</v>
      </c>
      <c r="P16" s="4">
        <v>67.0</v>
      </c>
    </row>
    <row r="17">
      <c r="A17" s="4" t="s">
        <v>6</v>
      </c>
      <c r="B17" s="4" t="s">
        <v>24</v>
      </c>
      <c r="D17" s="4">
        <v>0.0</v>
      </c>
      <c r="E17" s="4" t="s">
        <v>6</v>
      </c>
      <c r="O17" s="4">
        <v>37.0</v>
      </c>
    </row>
    <row r="18">
      <c r="A18" s="4" t="s">
        <v>6</v>
      </c>
      <c r="B18" s="4" t="s">
        <v>25</v>
      </c>
      <c r="D18" s="4">
        <v>0.0</v>
      </c>
      <c r="E18" s="4" t="s">
        <v>6</v>
      </c>
    </row>
    <row r="19">
      <c r="A19" s="4" t="s">
        <v>7</v>
      </c>
      <c r="B19" s="4" t="s">
        <v>30</v>
      </c>
      <c r="D19" s="4">
        <f>+8824.3/2</f>
        <v>4412.15</v>
      </c>
      <c r="E19" s="4" t="s">
        <v>36</v>
      </c>
      <c r="F19" s="9">
        <f>D19+D20</f>
        <v>5336.45</v>
      </c>
      <c r="G19" s="9">
        <f>F19*2</f>
        <v>10672.9</v>
      </c>
    </row>
    <row r="20">
      <c r="A20" s="4" t="s">
        <v>7</v>
      </c>
      <c r="B20" s="4" t="s">
        <v>30</v>
      </c>
      <c r="D20" s="4">
        <f>1848.6/2</f>
        <v>924.3</v>
      </c>
      <c r="E20" s="4" t="s">
        <v>21</v>
      </c>
    </row>
    <row r="21">
      <c r="A21" s="4" t="s">
        <v>7</v>
      </c>
      <c r="B21" s="4" t="s">
        <v>31</v>
      </c>
      <c r="D21" s="4">
        <v>3456.86</v>
      </c>
      <c r="E21" s="4" t="s">
        <v>21</v>
      </c>
    </row>
    <row r="22">
      <c r="A22" s="4" t="s">
        <v>7</v>
      </c>
      <c r="B22" s="4" t="s">
        <v>7</v>
      </c>
      <c r="D22" s="4">
        <v>1564.51</v>
      </c>
      <c r="E22" s="4" t="s">
        <v>34</v>
      </c>
    </row>
    <row r="23">
      <c r="A23" s="4" t="s">
        <v>7</v>
      </c>
      <c r="B23" s="4" t="s">
        <v>7</v>
      </c>
      <c r="D23" s="4">
        <v>18586.65</v>
      </c>
      <c r="E23" s="4" t="s">
        <v>35</v>
      </c>
    </row>
    <row r="24">
      <c r="A24" s="4" t="s">
        <v>7</v>
      </c>
      <c r="B24" s="4" t="s">
        <v>7</v>
      </c>
      <c r="D24" s="4">
        <v>504.19</v>
      </c>
      <c r="E24" s="4" t="s">
        <v>15</v>
      </c>
    </row>
    <row r="25">
      <c r="A25" s="4" t="s">
        <v>1</v>
      </c>
      <c r="B25" s="4" t="s">
        <v>32</v>
      </c>
      <c r="D25" s="4">
        <f>(110000-66425.97)*0.5</f>
        <v>21787.015</v>
      </c>
    </row>
    <row r="26">
      <c r="A26" s="4" t="s">
        <v>2</v>
      </c>
      <c r="D26" s="4">
        <f>(75000+50634.46-10921.51-40544.74-36477.81)/2</f>
        <v>18845.2</v>
      </c>
    </row>
    <row r="27">
      <c r="A27" s="4" t="s">
        <v>0</v>
      </c>
      <c r="B27" s="4" t="s">
        <v>28</v>
      </c>
      <c r="D27" s="4">
        <f>175000-138217.32</f>
        <v>36782.68</v>
      </c>
    </row>
    <row r="28">
      <c r="E28" s="11"/>
    </row>
    <row r="29">
      <c r="C29" s="6" t="s">
        <v>3</v>
      </c>
      <c r="D29" s="10">
        <f t="shared" ref="D29:D35" si="1">SUMIF($A$5:$A$27,C29,$D$5:$D$27)</f>
        <v>33006.82</v>
      </c>
      <c r="E29" s="11">
        <f t="shared" ref="E29:E35" si="2">D29/$D$36</f>
        <v>0.2886419722</v>
      </c>
    </row>
    <row r="30">
      <c r="C30" s="6" t="s">
        <v>4</v>
      </c>
      <c r="D30" s="10">
        <f t="shared" si="1"/>
        <v>8928.38</v>
      </c>
      <c r="E30" s="11">
        <f t="shared" si="2"/>
        <v>0.07807796122</v>
      </c>
    </row>
    <row r="31">
      <c r="C31" s="6" t="s">
        <v>5</v>
      </c>
      <c r="D31" s="10">
        <f t="shared" si="1"/>
        <v>0</v>
      </c>
      <c r="E31" s="11">
        <f t="shared" si="2"/>
        <v>0</v>
      </c>
    </row>
    <row r="32">
      <c r="C32" s="6" t="s">
        <v>6</v>
      </c>
      <c r="D32" s="10">
        <f t="shared" si="1"/>
        <v>2336.04</v>
      </c>
      <c r="E32" s="11">
        <f t="shared" si="2"/>
        <v>0.02042848092</v>
      </c>
    </row>
    <row r="33">
      <c r="C33" s="6" t="s">
        <v>7</v>
      </c>
      <c r="D33" s="10">
        <f t="shared" si="1"/>
        <v>29448.66</v>
      </c>
      <c r="E33" s="11">
        <f t="shared" si="2"/>
        <v>0.2575261507</v>
      </c>
      <c r="F33" s="10">
        <f>D33-F19</f>
        <v>24112.21</v>
      </c>
    </row>
    <row r="34">
      <c r="C34" s="4" t="s">
        <v>1</v>
      </c>
      <c r="D34" s="10">
        <f t="shared" si="1"/>
        <v>21787.015</v>
      </c>
      <c r="E34" s="11">
        <f t="shared" si="2"/>
        <v>0.1905256846</v>
      </c>
    </row>
    <row r="35">
      <c r="C35" s="4" t="s">
        <v>2</v>
      </c>
      <c r="D35" s="10">
        <f t="shared" si="1"/>
        <v>18845.2</v>
      </c>
      <c r="E35" s="11">
        <f t="shared" si="2"/>
        <v>0.1647997503</v>
      </c>
    </row>
    <row r="36">
      <c r="D36" s="5">
        <f>SUM($D$29:D35)</f>
        <v>114352.115</v>
      </c>
      <c r="E36" s="11"/>
    </row>
    <row r="37">
      <c r="D37" s="12"/>
    </row>
    <row r="40">
      <c r="C40" s="6" t="s">
        <v>3</v>
      </c>
      <c r="D40" s="10">
        <f t="shared" ref="D40:D47" si="3">SUMIF($A$5:$A$27,C40,$D$5:$D$27)</f>
        <v>33006.82</v>
      </c>
      <c r="E40" s="11">
        <f t="shared" ref="E40:E47" si="4">D40/$D$48</f>
        <v>0.2183932562</v>
      </c>
    </row>
    <row r="41">
      <c r="C41" s="6" t="s">
        <v>4</v>
      </c>
      <c r="D41" s="10">
        <f t="shared" si="3"/>
        <v>8928.38</v>
      </c>
      <c r="E41" s="11">
        <f t="shared" si="4"/>
        <v>0.05907560863</v>
      </c>
    </row>
    <row r="42">
      <c r="C42" s="6" t="s">
        <v>5</v>
      </c>
      <c r="D42" s="10">
        <f t="shared" si="3"/>
        <v>0</v>
      </c>
      <c r="E42" s="11">
        <f t="shared" si="4"/>
        <v>0</v>
      </c>
    </row>
    <row r="43">
      <c r="C43" s="6" t="s">
        <v>6</v>
      </c>
      <c r="D43" s="10">
        <f t="shared" si="3"/>
        <v>2336.04</v>
      </c>
      <c r="E43" s="11">
        <f t="shared" si="4"/>
        <v>0.01545666569</v>
      </c>
    </row>
    <row r="44">
      <c r="C44" s="6" t="s">
        <v>7</v>
      </c>
      <c r="D44" s="10">
        <f t="shared" si="3"/>
        <v>29448.66</v>
      </c>
      <c r="E44" s="11">
        <f t="shared" si="4"/>
        <v>0.194850299</v>
      </c>
    </row>
    <row r="45">
      <c r="C45" s="4" t="s">
        <v>1</v>
      </c>
      <c r="D45" s="10">
        <f t="shared" si="3"/>
        <v>21787.015</v>
      </c>
      <c r="E45" s="11">
        <f t="shared" si="4"/>
        <v>0.1441561819</v>
      </c>
    </row>
    <row r="46">
      <c r="C46" s="4" t="s">
        <v>0</v>
      </c>
      <c r="D46" s="10">
        <f t="shared" si="3"/>
        <v>36782.68</v>
      </c>
      <c r="E46" s="11">
        <f t="shared" si="4"/>
        <v>0.2433766493</v>
      </c>
    </row>
    <row r="47">
      <c r="C47" s="4" t="s">
        <v>2</v>
      </c>
      <c r="D47" s="10">
        <f t="shared" si="3"/>
        <v>18845.2</v>
      </c>
      <c r="E47" s="11">
        <f t="shared" si="4"/>
        <v>0.1246913393</v>
      </c>
    </row>
    <row r="48">
      <c r="D48" s="5">
        <f>SUM(D40:D47)</f>
        <v>151134.795</v>
      </c>
    </row>
  </sheetData>
  <autoFilter ref="$A$4:$E$27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45</v>
      </c>
    </row>
    <row r="2">
      <c r="D2" s="4" t="s">
        <v>9</v>
      </c>
      <c r="E2" s="3">
        <v>45722.0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4">
        <v>6189.68</v>
      </c>
      <c r="E5" s="4" t="s">
        <v>15</v>
      </c>
      <c r="F5" s="4">
        <v>9836.0</v>
      </c>
    </row>
    <row r="6">
      <c r="A6" s="4" t="s">
        <v>3</v>
      </c>
      <c r="B6" s="4" t="s">
        <v>16</v>
      </c>
      <c r="C6" s="4">
        <v>0.0</v>
      </c>
      <c r="D6" s="4">
        <v>0.0</v>
      </c>
      <c r="E6" s="4" t="s">
        <v>15</v>
      </c>
      <c r="F6" s="4">
        <v>5129.85</v>
      </c>
    </row>
    <row r="7">
      <c r="A7" s="4" t="s">
        <v>3</v>
      </c>
      <c r="B7" s="4" t="s">
        <v>29</v>
      </c>
      <c r="C7" s="4">
        <v>180.0</v>
      </c>
      <c r="D7" s="4">
        <v>2134.8</v>
      </c>
      <c r="E7" s="4" t="s">
        <v>15</v>
      </c>
      <c r="F7" s="4">
        <v>1533.24</v>
      </c>
    </row>
    <row r="8">
      <c r="A8" s="4" t="s">
        <v>3</v>
      </c>
      <c r="B8" s="4" t="s">
        <v>21</v>
      </c>
      <c r="C8" s="4">
        <v>120.0</v>
      </c>
      <c r="D8" s="4">
        <v>1604.4</v>
      </c>
      <c r="E8" s="4" t="s">
        <v>21</v>
      </c>
      <c r="F8" s="4">
        <v>1231.8</v>
      </c>
    </row>
    <row r="9">
      <c r="A9" s="4" t="s">
        <v>3</v>
      </c>
      <c r="B9" s="4" t="s">
        <v>43</v>
      </c>
      <c r="C9" s="4">
        <v>5000.0</v>
      </c>
      <c r="D9" s="9">
        <v>0.0</v>
      </c>
      <c r="E9" s="4" t="s">
        <v>21</v>
      </c>
    </row>
    <row r="10">
      <c r="A10" s="4" t="s">
        <v>4</v>
      </c>
      <c r="B10" s="4" t="s">
        <v>18</v>
      </c>
      <c r="D10" s="4">
        <v>8969.58</v>
      </c>
      <c r="E10" s="4" t="s">
        <v>21</v>
      </c>
    </row>
    <row r="11">
      <c r="A11" s="4" t="s">
        <v>5</v>
      </c>
      <c r="B11" s="4" t="s">
        <v>33</v>
      </c>
      <c r="D11" s="9">
        <v>0.0</v>
      </c>
      <c r="E11" s="4" t="s">
        <v>19</v>
      </c>
      <c r="F11" s="11"/>
    </row>
    <row r="12">
      <c r="A12" s="4" t="s">
        <v>5</v>
      </c>
      <c r="B12" s="4" t="s">
        <v>5</v>
      </c>
      <c r="D12" s="9">
        <v>0.0</v>
      </c>
      <c r="E12" s="4" t="s">
        <v>21</v>
      </c>
    </row>
    <row r="13">
      <c r="A13" s="4" t="s">
        <v>3</v>
      </c>
      <c r="B13" s="4" t="s">
        <v>20</v>
      </c>
      <c r="D13" s="4">
        <v>15250.85</v>
      </c>
      <c r="E13" s="4" t="s">
        <v>21</v>
      </c>
      <c r="F13" s="4">
        <v>11791.47</v>
      </c>
    </row>
    <row r="14">
      <c r="A14" s="4" t="s">
        <v>3</v>
      </c>
      <c r="B14" s="4" t="s">
        <v>20</v>
      </c>
      <c r="D14" s="4">
        <v>2432.6</v>
      </c>
      <c r="E14" s="4" t="s">
        <v>44</v>
      </c>
      <c r="F14" s="4">
        <v>1447.7</v>
      </c>
    </row>
    <row r="15">
      <c r="A15" s="4" t="s">
        <v>6</v>
      </c>
      <c r="B15" s="4" t="s">
        <v>22</v>
      </c>
      <c r="D15" s="4">
        <v>2336.04</v>
      </c>
      <c r="E15" s="4" t="s">
        <v>6</v>
      </c>
      <c r="O15" s="4">
        <v>43.0</v>
      </c>
      <c r="P15" s="4">
        <v>50.0</v>
      </c>
    </row>
    <row r="16">
      <c r="A16" s="4" t="s">
        <v>6</v>
      </c>
      <c r="B16" s="4" t="s">
        <v>23</v>
      </c>
      <c r="D16" s="9">
        <v>0.0</v>
      </c>
      <c r="E16" s="4" t="s">
        <v>6</v>
      </c>
      <c r="O16" s="4">
        <v>38.0</v>
      </c>
      <c r="P16" s="4">
        <v>67.0</v>
      </c>
    </row>
    <row r="17">
      <c r="A17" s="4" t="s">
        <v>6</v>
      </c>
      <c r="B17" s="4" t="s">
        <v>24</v>
      </c>
      <c r="D17" s="4">
        <v>0.0</v>
      </c>
      <c r="E17" s="4" t="s">
        <v>6</v>
      </c>
      <c r="O17" s="4">
        <v>37.0</v>
      </c>
    </row>
    <row r="18">
      <c r="A18" s="4" t="s">
        <v>6</v>
      </c>
      <c r="B18" s="4" t="s">
        <v>25</v>
      </c>
      <c r="D18" s="4">
        <v>0.0</v>
      </c>
      <c r="E18" s="4" t="s">
        <v>6</v>
      </c>
    </row>
    <row r="19">
      <c r="A19" s="4" t="s">
        <v>7</v>
      </c>
      <c r="B19" s="4" t="s">
        <v>30</v>
      </c>
      <c r="D19" s="4">
        <f>+9154.66/2</f>
        <v>4577.33</v>
      </c>
      <c r="E19" s="4" t="s">
        <v>36</v>
      </c>
      <c r="F19" s="9">
        <f>D19+D20</f>
        <v>5293.93</v>
      </c>
      <c r="G19" s="9">
        <f>F19*2</f>
        <v>10587.86</v>
      </c>
    </row>
    <row r="20">
      <c r="A20" s="4" t="s">
        <v>7</v>
      </c>
      <c r="B20" s="4" t="s">
        <v>30</v>
      </c>
      <c r="D20" s="4">
        <f>1433.2/2</f>
        <v>716.6</v>
      </c>
      <c r="E20" s="4" t="s">
        <v>21</v>
      </c>
    </row>
    <row r="21">
      <c r="A21" s="4" t="s">
        <v>7</v>
      </c>
      <c r="B21" s="4" t="s">
        <v>31</v>
      </c>
      <c r="D21" s="4">
        <v>2134.21</v>
      </c>
      <c r="E21" s="4" t="s">
        <v>21</v>
      </c>
    </row>
    <row r="22">
      <c r="A22" s="4" t="s">
        <v>7</v>
      </c>
      <c r="B22" s="4" t="s">
        <v>7</v>
      </c>
      <c r="D22" s="4">
        <v>4681.25</v>
      </c>
      <c r="E22" s="4" t="s">
        <v>34</v>
      </c>
    </row>
    <row r="23">
      <c r="A23" s="4" t="s">
        <v>7</v>
      </c>
      <c r="B23" s="4" t="s">
        <v>7</v>
      </c>
      <c r="D23" s="4">
        <f>14748.36+828.58</f>
        <v>15576.94</v>
      </c>
      <c r="E23" s="4" t="s">
        <v>35</v>
      </c>
    </row>
    <row r="24">
      <c r="A24" s="4" t="s">
        <v>7</v>
      </c>
      <c r="B24" s="4" t="s">
        <v>7</v>
      </c>
      <c r="D24" s="4">
        <f>5529.82</f>
        <v>5529.82</v>
      </c>
      <c r="E24" s="4" t="s">
        <v>15</v>
      </c>
    </row>
    <row r="25">
      <c r="A25" s="4" t="s">
        <v>1</v>
      </c>
      <c r="B25" s="4" t="s">
        <v>32</v>
      </c>
      <c r="D25" s="4">
        <f>(110000-66183.18)*0.5</f>
        <v>21908.41</v>
      </c>
    </row>
    <row r="26">
      <c r="A26" s="4" t="s">
        <v>2</v>
      </c>
      <c r="D26" s="4">
        <f>(75000+49919.05-10419.16-40264.75-35962.77)/2</f>
        <v>19136.185</v>
      </c>
    </row>
    <row r="27">
      <c r="A27" s="4" t="s">
        <v>0</v>
      </c>
      <c r="B27" s="4" t="s">
        <v>28</v>
      </c>
      <c r="D27" s="4">
        <f>175000-137904.83</f>
        <v>37095.17</v>
      </c>
    </row>
    <row r="28">
      <c r="E28" s="11"/>
    </row>
    <row r="29">
      <c r="C29" s="6" t="s">
        <v>3</v>
      </c>
      <c r="D29" s="10">
        <f t="shared" ref="D29:D35" si="1">SUMIF($A$5:$A$27,C29,$D$5:$D$27)</f>
        <v>27612.33</v>
      </c>
      <c r="E29" s="11">
        <f t="shared" ref="E29:E35" si="2">D29/$D$36</f>
        <v>0.2439710937</v>
      </c>
    </row>
    <row r="30">
      <c r="C30" s="6" t="s">
        <v>4</v>
      </c>
      <c r="D30" s="10">
        <f t="shared" si="1"/>
        <v>8969.58</v>
      </c>
      <c r="E30" s="11">
        <f t="shared" si="2"/>
        <v>0.0792514881</v>
      </c>
    </row>
    <row r="31">
      <c r="C31" s="6" t="s">
        <v>5</v>
      </c>
      <c r="D31" s="10">
        <f t="shared" si="1"/>
        <v>0</v>
      </c>
      <c r="E31" s="11">
        <f t="shared" si="2"/>
        <v>0</v>
      </c>
    </row>
    <row r="32">
      <c r="C32" s="6" t="s">
        <v>6</v>
      </c>
      <c r="D32" s="10">
        <f t="shared" si="1"/>
        <v>2336.04</v>
      </c>
      <c r="E32" s="11">
        <f t="shared" si="2"/>
        <v>0.0206402804</v>
      </c>
    </row>
    <row r="33">
      <c r="C33" s="6" t="s">
        <v>7</v>
      </c>
      <c r="D33" s="10">
        <f t="shared" si="1"/>
        <v>33216.15</v>
      </c>
      <c r="E33" s="11">
        <f t="shared" si="2"/>
        <v>0.2934841226</v>
      </c>
      <c r="F33" s="10">
        <f>D33-F19</f>
        <v>27922.22</v>
      </c>
    </row>
    <row r="34">
      <c r="C34" s="4" t="s">
        <v>1</v>
      </c>
      <c r="D34" s="10">
        <f t="shared" si="1"/>
        <v>21908.41</v>
      </c>
      <c r="E34" s="11">
        <f t="shared" si="2"/>
        <v>0.1935736227</v>
      </c>
    </row>
    <row r="35">
      <c r="C35" s="4" t="s">
        <v>2</v>
      </c>
      <c r="D35" s="10">
        <f t="shared" si="1"/>
        <v>19136.185</v>
      </c>
      <c r="E35" s="11">
        <f t="shared" si="2"/>
        <v>0.1690793925</v>
      </c>
    </row>
    <row r="36">
      <c r="D36" s="5">
        <f>SUM($D$29:D35)</f>
        <v>113178.695</v>
      </c>
      <c r="E36" s="11"/>
    </row>
    <row r="37">
      <c r="D37" s="12"/>
    </row>
    <row r="40">
      <c r="C40" s="6" t="s">
        <v>3</v>
      </c>
      <c r="D40" s="10">
        <f t="shared" ref="D40:D47" si="3">SUMIF($A$5:$A$27,C40,$D$5:$D$27)</f>
        <v>27612.33</v>
      </c>
      <c r="E40" s="11">
        <f t="shared" ref="E40:E47" si="4">D40/$D$48</f>
        <v>0.1837467214</v>
      </c>
    </row>
    <row r="41">
      <c r="C41" s="6" t="s">
        <v>4</v>
      </c>
      <c r="D41" s="10">
        <f t="shared" si="3"/>
        <v>8969.58</v>
      </c>
      <c r="E41" s="11">
        <f t="shared" si="4"/>
        <v>0.05968822323</v>
      </c>
    </row>
    <row r="42">
      <c r="C42" s="6" t="s">
        <v>5</v>
      </c>
      <c r="D42" s="10">
        <f t="shared" si="3"/>
        <v>0</v>
      </c>
      <c r="E42" s="11">
        <f t="shared" si="4"/>
        <v>0</v>
      </c>
    </row>
    <row r="43">
      <c r="C43" s="6" t="s">
        <v>6</v>
      </c>
      <c r="D43" s="10">
        <f t="shared" si="3"/>
        <v>2336.04</v>
      </c>
      <c r="E43" s="11">
        <f t="shared" si="4"/>
        <v>0.01554521806</v>
      </c>
    </row>
    <row r="44">
      <c r="C44" s="6" t="s">
        <v>7</v>
      </c>
      <c r="D44" s="10">
        <f t="shared" si="3"/>
        <v>33216.15</v>
      </c>
      <c r="E44" s="11">
        <f t="shared" si="4"/>
        <v>0.2210374372</v>
      </c>
    </row>
    <row r="45">
      <c r="C45" s="4" t="s">
        <v>1</v>
      </c>
      <c r="D45" s="10">
        <f t="shared" si="3"/>
        <v>21908.41</v>
      </c>
      <c r="E45" s="11">
        <f t="shared" si="4"/>
        <v>0.1457898883</v>
      </c>
    </row>
    <row r="46">
      <c r="C46" s="4" t="s">
        <v>0</v>
      </c>
      <c r="D46" s="10">
        <f t="shared" si="3"/>
        <v>37095.17</v>
      </c>
      <c r="E46" s="11">
        <f t="shared" si="4"/>
        <v>0.246850442</v>
      </c>
    </row>
    <row r="47">
      <c r="C47" s="4" t="s">
        <v>2</v>
      </c>
      <c r="D47" s="10">
        <f t="shared" si="3"/>
        <v>19136.185</v>
      </c>
      <c r="E47" s="11">
        <f t="shared" si="4"/>
        <v>0.1273420698</v>
      </c>
    </row>
    <row r="48">
      <c r="D48" s="5">
        <f>SUM(D40:D47)</f>
        <v>150273.865</v>
      </c>
    </row>
  </sheetData>
  <autoFilter ref="$A$4:$E$27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45</v>
      </c>
    </row>
    <row r="2">
      <c r="D2" s="4" t="s">
        <v>9</v>
      </c>
      <c r="E2" s="3">
        <v>45722.0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21">
        <v>6955.06</v>
      </c>
      <c r="E5" s="4" t="s">
        <v>15</v>
      </c>
      <c r="F5" s="4">
        <v>9836.0</v>
      </c>
    </row>
    <row r="6">
      <c r="A6" s="4" t="s">
        <v>3</v>
      </c>
      <c r="B6" s="4" t="s">
        <v>16</v>
      </c>
      <c r="C6" s="4">
        <v>0.0</v>
      </c>
      <c r="D6" s="21">
        <v>0.0</v>
      </c>
      <c r="E6" s="4" t="s">
        <v>15</v>
      </c>
      <c r="F6" s="4">
        <v>5129.85</v>
      </c>
    </row>
    <row r="7">
      <c r="A7" s="4" t="s">
        <v>3</v>
      </c>
      <c r="B7" s="4" t="s">
        <v>29</v>
      </c>
      <c r="C7" s="4">
        <v>180.0</v>
      </c>
      <c r="D7" s="21">
        <v>1872.0</v>
      </c>
      <c r="E7" s="4" t="s">
        <v>15</v>
      </c>
      <c r="F7" s="4">
        <v>1533.24</v>
      </c>
    </row>
    <row r="8">
      <c r="A8" s="4" t="s">
        <v>3</v>
      </c>
      <c r="B8" s="4" t="s">
        <v>21</v>
      </c>
      <c r="C8" s="4">
        <v>120.0</v>
      </c>
      <c r="D8" s="21">
        <v>1623.0</v>
      </c>
      <c r="E8" s="4" t="s">
        <v>21</v>
      </c>
      <c r="F8" s="4">
        <v>1231.8</v>
      </c>
    </row>
    <row r="9">
      <c r="A9" s="4" t="s">
        <v>3</v>
      </c>
      <c r="B9" s="4" t="s">
        <v>43</v>
      </c>
      <c r="C9" s="4">
        <v>5000.0</v>
      </c>
      <c r="D9" s="10">
        <v>0.0</v>
      </c>
      <c r="E9" s="4" t="s">
        <v>21</v>
      </c>
    </row>
    <row r="10">
      <c r="A10" s="4" t="s">
        <v>4</v>
      </c>
      <c r="B10" s="4" t="s">
        <v>18</v>
      </c>
      <c r="D10" s="21">
        <v>9179.7</v>
      </c>
      <c r="E10" s="4" t="s">
        <v>21</v>
      </c>
    </row>
    <row r="11">
      <c r="A11" s="4" t="s">
        <v>5</v>
      </c>
      <c r="B11" s="4" t="s">
        <v>33</v>
      </c>
      <c r="D11" s="10">
        <v>0.0</v>
      </c>
      <c r="E11" s="4" t="s">
        <v>19</v>
      </c>
      <c r="F11" s="11"/>
    </row>
    <row r="12">
      <c r="A12" s="4" t="s">
        <v>5</v>
      </c>
      <c r="B12" s="4" t="s">
        <v>5</v>
      </c>
      <c r="D12" s="10">
        <v>0.0</v>
      </c>
      <c r="E12" s="4" t="s">
        <v>21</v>
      </c>
    </row>
    <row r="13">
      <c r="A13" s="4" t="s">
        <v>3</v>
      </c>
      <c r="B13" s="4" t="s">
        <v>20</v>
      </c>
      <c r="D13" s="21">
        <v>15425.52</v>
      </c>
      <c r="E13" s="4" t="s">
        <v>21</v>
      </c>
      <c r="F13" s="4">
        <v>11791.47</v>
      </c>
    </row>
    <row r="14">
      <c r="A14" s="4" t="s">
        <v>3</v>
      </c>
      <c r="B14" s="4" t="s">
        <v>20</v>
      </c>
      <c r="D14" s="21">
        <v>2923.12</v>
      </c>
      <c r="E14" s="4" t="s">
        <v>44</v>
      </c>
      <c r="F14" s="4">
        <v>1447.7</v>
      </c>
    </row>
    <row r="15">
      <c r="A15" s="4" t="s">
        <v>6</v>
      </c>
      <c r="B15" s="4" t="s">
        <v>22</v>
      </c>
      <c r="D15" s="21">
        <v>2152.21</v>
      </c>
      <c r="E15" s="4" t="s">
        <v>6</v>
      </c>
      <c r="O15" s="4">
        <v>43.0</v>
      </c>
      <c r="P15" s="4">
        <v>50.0</v>
      </c>
    </row>
    <row r="16">
      <c r="A16" s="4" t="s">
        <v>6</v>
      </c>
      <c r="B16" s="4" t="s">
        <v>23</v>
      </c>
      <c r="D16" s="10">
        <v>0.0</v>
      </c>
      <c r="E16" s="4" t="s">
        <v>6</v>
      </c>
      <c r="O16" s="4">
        <v>38.0</v>
      </c>
      <c r="P16" s="4">
        <v>67.0</v>
      </c>
    </row>
    <row r="17">
      <c r="A17" s="4" t="s">
        <v>6</v>
      </c>
      <c r="B17" s="4" t="s">
        <v>24</v>
      </c>
      <c r="D17" s="21">
        <v>0.0</v>
      </c>
      <c r="E17" s="4" t="s">
        <v>6</v>
      </c>
      <c r="O17" s="4">
        <v>37.0</v>
      </c>
    </row>
    <row r="18">
      <c r="A18" s="4" t="s">
        <v>6</v>
      </c>
      <c r="B18" s="4" t="s">
        <v>25</v>
      </c>
      <c r="D18" s="21">
        <v>0.0</v>
      </c>
      <c r="E18" s="4" t="s">
        <v>6</v>
      </c>
    </row>
    <row r="19">
      <c r="A19" s="4" t="s">
        <v>7</v>
      </c>
      <c r="B19" s="4" t="s">
        <v>30</v>
      </c>
      <c r="D19" s="21">
        <f>+10180.13/2</f>
        <v>5090.065</v>
      </c>
      <c r="E19" s="4" t="s">
        <v>36</v>
      </c>
      <c r="F19" s="10">
        <f>D19+D20</f>
        <v>5615.985</v>
      </c>
      <c r="G19" s="9">
        <f>F19*2</f>
        <v>11231.97</v>
      </c>
    </row>
    <row r="20">
      <c r="A20" s="4" t="s">
        <v>7</v>
      </c>
      <c r="B20" s="4" t="s">
        <v>30</v>
      </c>
      <c r="D20" s="21">
        <f>1051.84/2</f>
        <v>525.92</v>
      </c>
      <c r="E20" s="4" t="s">
        <v>21</v>
      </c>
    </row>
    <row r="21">
      <c r="A21" s="4" t="s">
        <v>7</v>
      </c>
      <c r="B21" s="4" t="s">
        <v>31</v>
      </c>
      <c r="D21" s="21">
        <v>4253.08</v>
      </c>
      <c r="E21" s="4" t="s">
        <v>21</v>
      </c>
    </row>
    <row r="22">
      <c r="A22" s="4" t="s">
        <v>7</v>
      </c>
      <c r="B22" s="4" t="s">
        <v>7</v>
      </c>
      <c r="D22" s="21">
        <v>3512.0</v>
      </c>
      <c r="E22" s="4" t="s">
        <v>34</v>
      </c>
    </row>
    <row r="23">
      <c r="A23" s="4" t="s">
        <v>7</v>
      </c>
      <c r="B23" s="4" t="s">
        <v>7</v>
      </c>
      <c r="D23" s="21">
        <v>16378.09</v>
      </c>
      <c r="E23" s="4" t="s">
        <v>35</v>
      </c>
    </row>
    <row r="24">
      <c r="A24" s="4" t="s">
        <v>7</v>
      </c>
      <c r="B24" s="4" t="s">
        <v>7</v>
      </c>
      <c r="D24" s="21">
        <v>4341.29</v>
      </c>
      <c r="E24" s="4" t="s">
        <v>15</v>
      </c>
    </row>
    <row r="25">
      <c r="A25" s="4" t="s">
        <v>1</v>
      </c>
      <c r="B25" s="4" t="s">
        <v>32</v>
      </c>
      <c r="D25" s="21">
        <f>(110000-65939.83)*0.5</f>
        <v>22030.085</v>
      </c>
    </row>
    <row r="26">
      <c r="A26" s="4" t="s">
        <v>2</v>
      </c>
      <c r="D26" s="21">
        <f>(75000+50374.19-9914.21-39983.24-35962.77)/2</f>
        <v>19756.985</v>
      </c>
    </row>
    <row r="27">
      <c r="A27" s="4" t="s">
        <v>0</v>
      </c>
      <c r="B27" s="4" t="s">
        <v>28</v>
      </c>
      <c r="D27" s="21">
        <f>175000-137591.48</f>
        <v>37408.52</v>
      </c>
    </row>
    <row r="28">
      <c r="E28" s="11"/>
    </row>
    <row r="29">
      <c r="C29" s="6" t="s">
        <v>3</v>
      </c>
      <c r="D29" s="10">
        <f t="shared" ref="D29:D35" si="1">SUMIF($A$5:$A$27,C29,$D$5:$D$27)</f>
        <v>28798.7</v>
      </c>
      <c r="E29" s="11">
        <f t="shared" ref="E29:E35" si="2">D29/$D$36</f>
        <v>0.2482258699</v>
      </c>
    </row>
    <row r="30">
      <c r="C30" s="6" t="s">
        <v>4</v>
      </c>
      <c r="D30" s="10">
        <f t="shared" si="1"/>
        <v>9179.7</v>
      </c>
      <c r="E30" s="11">
        <f t="shared" si="2"/>
        <v>0.07912298186</v>
      </c>
    </row>
    <row r="31">
      <c r="C31" s="6" t="s">
        <v>5</v>
      </c>
      <c r="D31" s="10">
        <f t="shared" si="1"/>
        <v>0</v>
      </c>
      <c r="E31" s="11">
        <f t="shared" si="2"/>
        <v>0</v>
      </c>
    </row>
    <row r="32">
      <c r="C32" s="6" t="s">
        <v>6</v>
      </c>
      <c r="D32" s="10">
        <f t="shared" si="1"/>
        <v>2152.21</v>
      </c>
      <c r="E32" s="11">
        <f t="shared" si="2"/>
        <v>0.01855063595</v>
      </c>
    </row>
    <row r="33">
      <c r="C33" s="6" t="s">
        <v>7</v>
      </c>
      <c r="D33" s="10">
        <f t="shared" si="1"/>
        <v>34100.445</v>
      </c>
      <c r="E33" s="11">
        <f t="shared" si="2"/>
        <v>0.2939234279</v>
      </c>
      <c r="F33" s="10">
        <f>D33-F19</f>
        <v>28484.46</v>
      </c>
    </row>
    <row r="34">
      <c r="C34" s="4" t="s">
        <v>1</v>
      </c>
      <c r="D34" s="10">
        <f t="shared" si="1"/>
        <v>22030.085</v>
      </c>
      <c r="E34" s="11">
        <f t="shared" si="2"/>
        <v>0.1898848564</v>
      </c>
    </row>
    <row r="35">
      <c r="C35" s="4" t="s">
        <v>2</v>
      </c>
      <c r="D35" s="10">
        <f t="shared" si="1"/>
        <v>19756.985</v>
      </c>
      <c r="E35" s="11">
        <f t="shared" si="2"/>
        <v>0.170292228</v>
      </c>
    </row>
    <row r="36">
      <c r="D36" s="5">
        <f>SUM($D$29:D35)</f>
        <v>116018.125</v>
      </c>
      <c r="E36" s="11"/>
    </row>
    <row r="37">
      <c r="D37" s="12"/>
    </row>
    <row r="40">
      <c r="C40" s="6" t="s">
        <v>3</v>
      </c>
      <c r="D40" s="10">
        <f t="shared" ref="D40:D47" si="3">SUMIF($A$5:$A$27,C40,$D$5:$D$27)</f>
        <v>28798.7</v>
      </c>
      <c r="E40" s="11">
        <f t="shared" ref="E40:E47" si="4">D40/$D$48</f>
        <v>0.187703381</v>
      </c>
    </row>
    <row r="41">
      <c r="C41" s="6" t="s">
        <v>4</v>
      </c>
      <c r="D41" s="10">
        <f t="shared" si="3"/>
        <v>9179.7</v>
      </c>
      <c r="E41" s="11">
        <f t="shared" si="4"/>
        <v>0.05983119816</v>
      </c>
    </row>
    <row r="42">
      <c r="C42" s="6" t="s">
        <v>5</v>
      </c>
      <c r="D42" s="10">
        <f t="shared" si="3"/>
        <v>0</v>
      </c>
      <c r="E42" s="11">
        <f t="shared" si="4"/>
        <v>0</v>
      </c>
    </row>
    <row r="43">
      <c r="C43" s="6" t="s">
        <v>6</v>
      </c>
      <c r="D43" s="10">
        <f t="shared" si="3"/>
        <v>2152.21</v>
      </c>
      <c r="E43" s="11">
        <f t="shared" si="4"/>
        <v>0.01402761561</v>
      </c>
    </row>
    <row r="44">
      <c r="C44" s="6" t="s">
        <v>7</v>
      </c>
      <c r="D44" s="10">
        <f t="shared" si="3"/>
        <v>34100.445</v>
      </c>
      <c r="E44" s="11">
        <f t="shared" si="4"/>
        <v>0.2222589499</v>
      </c>
    </row>
    <row r="45">
      <c r="C45" s="4" t="s">
        <v>1</v>
      </c>
      <c r="D45" s="10">
        <f t="shared" si="3"/>
        <v>22030.085</v>
      </c>
      <c r="E45" s="11">
        <f t="shared" si="4"/>
        <v>0.1435870868</v>
      </c>
    </row>
    <row r="46">
      <c r="C46" s="4" t="s">
        <v>0</v>
      </c>
      <c r="D46" s="10">
        <f t="shared" si="3"/>
        <v>37408.52</v>
      </c>
      <c r="E46" s="11">
        <f t="shared" si="4"/>
        <v>0.2438202308</v>
      </c>
    </row>
    <row r="47">
      <c r="C47" s="4" t="s">
        <v>2</v>
      </c>
      <c r="D47" s="10">
        <f t="shared" si="3"/>
        <v>19756.985</v>
      </c>
      <c r="E47" s="11">
        <f t="shared" si="4"/>
        <v>0.1287715377</v>
      </c>
    </row>
    <row r="48">
      <c r="D48" s="5">
        <f>SUM(D40:D47)</f>
        <v>153426.645</v>
      </c>
    </row>
  </sheetData>
  <autoFilter ref="$A$4:$E$27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45</v>
      </c>
    </row>
    <row r="2">
      <c r="D2" s="4" t="s">
        <v>9</v>
      </c>
      <c r="E2" s="3">
        <v>45722.0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21">
        <v>7399.0</v>
      </c>
      <c r="E5" s="4" t="s">
        <v>15</v>
      </c>
      <c r="F5" s="4">
        <v>9836.0</v>
      </c>
    </row>
    <row r="6">
      <c r="A6" s="4" t="s">
        <v>3</v>
      </c>
      <c r="B6" s="4" t="s">
        <v>16</v>
      </c>
      <c r="C6" s="4">
        <v>0.0</v>
      </c>
      <c r="D6" s="21">
        <v>0.0</v>
      </c>
      <c r="E6" s="4" t="s">
        <v>15</v>
      </c>
      <c r="F6" s="4">
        <v>5129.85</v>
      </c>
    </row>
    <row r="7">
      <c r="A7" s="4" t="s">
        <v>3</v>
      </c>
      <c r="B7" s="4" t="s">
        <v>29</v>
      </c>
      <c r="C7" s="4">
        <v>180.0</v>
      </c>
      <c r="D7" s="21">
        <v>1938.6</v>
      </c>
      <c r="E7" s="4" t="s">
        <v>15</v>
      </c>
      <c r="F7" s="4">
        <v>1533.24</v>
      </c>
    </row>
    <row r="8">
      <c r="A8" s="4" t="s">
        <v>3</v>
      </c>
      <c r="B8" s="4" t="s">
        <v>21</v>
      </c>
      <c r="C8" s="4">
        <v>120.0</v>
      </c>
      <c r="D8" s="21">
        <v>1638.6</v>
      </c>
      <c r="E8" s="4" t="s">
        <v>21</v>
      </c>
      <c r="F8" s="4">
        <v>1231.8</v>
      </c>
    </row>
    <row r="9">
      <c r="A9" s="4" t="s">
        <v>3</v>
      </c>
      <c r="B9" s="4" t="s">
        <v>43</v>
      </c>
      <c r="C9" s="4">
        <v>5000.0</v>
      </c>
      <c r="D9" s="21">
        <v>0.0</v>
      </c>
      <c r="E9" s="4" t="s">
        <v>21</v>
      </c>
    </row>
    <row r="10">
      <c r="A10" s="4" t="s">
        <v>4</v>
      </c>
      <c r="B10" s="4" t="s">
        <v>18</v>
      </c>
      <c r="D10" s="21">
        <v>9355.62</v>
      </c>
      <c r="E10" s="4" t="s">
        <v>21</v>
      </c>
    </row>
    <row r="11">
      <c r="A11" s="4" t="s">
        <v>5</v>
      </c>
      <c r="B11" s="4" t="s">
        <v>33</v>
      </c>
      <c r="D11" s="21">
        <v>0.0</v>
      </c>
      <c r="E11" s="4" t="s">
        <v>19</v>
      </c>
      <c r="F11" s="11"/>
    </row>
    <row r="12">
      <c r="A12" s="4" t="s">
        <v>5</v>
      </c>
      <c r="B12" s="4" t="s">
        <v>5</v>
      </c>
      <c r="D12" s="21">
        <v>0.0</v>
      </c>
      <c r="E12" s="4" t="s">
        <v>21</v>
      </c>
    </row>
    <row r="13">
      <c r="A13" s="4" t="s">
        <v>3</v>
      </c>
      <c r="B13" s="4" t="s">
        <v>20</v>
      </c>
      <c r="D13" s="21">
        <v>16721.75</v>
      </c>
      <c r="E13" s="4" t="s">
        <v>21</v>
      </c>
      <c r="F13" s="4">
        <v>11791.47</v>
      </c>
    </row>
    <row r="14">
      <c r="A14" s="4" t="s">
        <v>3</v>
      </c>
      <c r="B14" s="4" t="s">
        <v>20</v>
      </c>
      <c r="D14" s="21">
        <v>3060.78</v>
      </c>
      <c r="E14" s="4" t="s">
        <v>44</v>
      </c>
      <c r="F14" s="4">
        <v>1447.7</v>
      </c>
    </row>
    <row r="15">
      <c r="A15" s="4" t="s">
        <v>6</v>
      </c>
      <c r="B15" s="4" t="s">
        <v>22</v>
      </c>
      <c r="D15" s="21">
        <v>1636.42</v>
      </c>
      <c r="E15" s="4" t="s">
        <v>6</v>
      </c>
      <c r="O15" s="4">
        <v>43.0</v>
      </c>
      <c r="P15" s="4">
        <v>50.0</v>
      </c>
    </row>
    <row r="16">
      <c r="A16" s="4" t="s">
        <v>6</v>
      </c>
      <c r="B16" s="4" t="s">
        <v>23</v>
      </c>
      <c r="D16" s="21">
        <v>0.0</v>
      </c>
      <c r="E16" s="4" t="s">
        <v>6</v>
      </c>
      <c r="O16" s="4">
        <v>38.0</v>
      </c>
      <c r="P16" s="4">
        <v>67.0</v>
      </c>
    </row>
    <row r="17">
      <c r="A17" s="4" t="s">
        <v>6</v>
      </c>
      <c r="B17" s="4" t="s">
        <v>24</v>
      </c>
      <c r="D17" s="21">
        <v>0.0</v>
      </c>
      <c r="E17" s="4" t="s">
        <v>6</v>
      </c>
      <c r="O17" s="4">
        <v>37.0</v>
      </c>
    </row>
    <row r="18">
      <c r="A18" s="4" t="s">
        <v>6</v>
      </c>
      <c r="B18" s="4" t="s">
        <v>25</v>
      </c>
      <c r="D18" s="21">
        <v>0.0</v>
      </c>
      <c r="E18" s="4" t="s">
        <v>6</v>
      </c>
    </row>
    <row r="19">
      <c r="A19" s="4" t="s">
        <v>7</v>
      </c>
      <c r="B19" s="4" t="s">
        <v>30</v>
      </c>
      <c r="D19" s="21">
        <f>+10866.97/2</f>
        <v>5433.485</v>
      </c>
      <c r="E19" s="4" t="s">
        <v>36</v>
      </c>
      <c r="F19" s="10">
        <f>D19+D20</f>
        <v>5680.49</v>
      </c>
      <c r="G19" s="9">
        <f>F19*2</f>
        <v>11360.98</v>
      </c>
    </row>
    <row r="20">
      <c r="A20" s="4" t="s">
        <v>7</v>
      </c>
      <c r="B20" s="4" t="s">
        <v>30</v>
      </c>
      <c r="D20" s="21">
        <f>494.01/2</f>
        <v>247.005</v>
      </c>
      <c r="E20" s="4" t="s">
        <v>21</v>
      </c>
    </row>
    <row r="21">
      <c r="A21" s="4" t="s">
        <v>7</v>
      </c>
      <c r="B21" s="4" t="s">
        <v>31</v>
      </c>
      <c r="D21" s="21">
        <v>3258.95</v>
      </c>
      <c r="E21" s="4" t="s">
        <v>21</v>
      </c>
    </row>
    <row r="22">
      <c r="A22" s="4" t="s">
        <v>7</v>
      </c>
      <c r="B22" s="4" t="s">
        <v>7</v>
      </c>
      <c r="D22" s="21">
        <v>2679.58</v>
      </c>
      <c r="E22" s="4" t="s">
        <v>34</v>
      </c>
    </row>
    <row r="23">
      <c r="A23" s="4" t="s">
        <v>7</v>
      </c>
      <c r="B23" s="4" t="s">
        <v>7</v>
      </c>
      <c r="D23" s="21">
        <v>18018.07</v>
      </c>
      <c r="E23" s="4" t="s">
        <v>35</v>
      </c>
    </row>
    <row r="24">
      <c r="A24" s="4" t="s">
        <v>7</v>
      </c>
      <c r="B24" s="4" t="s">
        <v>7</v>
      </c>
      <c r="D24" s="21">
        <v>3008.7</v>
      </c>
      <c r="E24" s="4" t="s">
        <v>15</v>
      </c>
    </row>
    <row r="25">
      <c r="A25" s="4" t="s">
        <v>1</v>
      </c>
      <c r="B25" s="4" t="s">
        <v>32</v>
      </c>
      <c r="D25" s="21">
        <f>(110000-65695.91)*0.5</f>
        <v>22152.045</v>
      </c>
    </row>
    <row r="26">
      <c r="A26" s="4" t="s">
        <v>2</v>
      </c>
      <c r="D26" s="21">
        <f>(75000+50435.5-9406.65-39700.21-35703.8)/2</f>
        <v>20312.42</v>
      </c>
    </row>
    <row r="27">
      <c r="A27" s="4" t="s">
        <v>0</v>
      </c>
      <c r="B27" s="4" t="s">
        <v>28</v>
      </c>
      <c r="D27" s="21">
        <f>175000-137231.39</f>
        <v>37768.61</v>
      </c>
    </row>
    <row r="28">
      <c r="E28" s="11"/>
    </row>
    <row r="29">
      <c r="C29" s="6" t="s">
        <v>3</v>
      </c>
      <c r="D29" s="10">
        <f t="shared" ref="D29:D35" si="1">SUMIF($A$5:$A$27,C29,$D$5:$D$27)</f>
        <v>30758.73</v>
      </c>
      <c r="E29" s="11">
        <f t="shared" ref="E29:E35" si="2">D29/$D$36</f>
        <v>0.2632077718</v>
      </c>
    </row>
    <row r="30">
      <c r="C30" s="6" t="s">
        <v>4</v>
      </c>
      <c r="D30" s="10">
        <f t="shared" si="1"/>
        <v>9355.62</v>
      </c>
      <c r="E30" s="11">
        <f t="shared" si="2"/>
        <v>0.08005765823</v>
      </c>
    </row>
    <row r="31">
      <c r="C31" s="6" t="s">
        <v>5</v>
      </c>
      <c r="D31" s="10">
        <f t="shared" si="1"/>
        <v>0</v>
      </c>
      <c r="E31" s="11">
        <f t="shared" si="2"/>
        <v>0</v>
      </c>
    </row>
    <row r="32">
      <c r="C32" s="6" t="s">
        <v>6</v>
      </c>
      <c r="D32" s="10">
        <f t="shared" si="1"/>
        <v>1636.42</v>
      </c>
      <c r="E32" s="11">
        <f t="shared" si="2"/>
        <v>0.01400312893</v>
      </c>
    </row>
    <row r="33">
      <c r="C33" s="6" t="s">
        <v>7</v>
      </c>
      <c r="D33" s="10">
        <f t="shared" si="1"/>
        <v>32645.79</v>
      </c>
      <c r="E33" s="11">
        <f t="shared" si="2"/>
        <v>0.2793556705</v>
      </c>
      <c r="F33" s="10">
        <f>D33-F19</f>
        <v>26965.3</v>
      </c>
    </row>
    <row r="34">
      <c r="C34" s="4" t="s">
        <v>1</v>
      </c>
      <c r="D34" s="10">
        <f t="shared" si="1"/>
        <v>22152.045</v>
      </c>
      <c r="E34" s="11">
        <f t="shared" si="2"/>
        <v>0.1895588799</v>
      </c>
    </row>
    <row r="35">
      <c r="C35" s="4" t="s">
        <v>2</v>
      </c>
      <c r="D35" s="10">
        <f t="shared" si="1"/>
        <v>20312.42</v>
      </c>
      <c r="E35" s="11">
        <f t="shared" si="2"/>
        <v>0.1738168906</v>
      </c>
    </row>
    <row r="36">
      <c r="D36" s="5">
        <f>SUM($D$29:D35)</f>
        <v>116861.025</v>
      </c>
      <c r="E36" s="11"/>
    </row>
    <row r="37">
      <c r="D37" s="12"/>
    </row>
    <row r="40">
      <c r="C40" s="6" t="s">
        <v>3</v>
      </c>
      <c r="D40" s="10">
        <f t="shared" ref="D40:D47" si="3">SUMIF($A$5:$A$27,C40,$D$5:$D$27)</f>
        <v>30758.73</v>
      </c>
      <c r="E40" s="11">
        <f t="shared" ref="E40:E47" si="4">D40/$D$48</f>
        <v>0.198918726</v>
      </c>
    </row>
    <row r="41">
      <c r="C41" s="6" t="s">
        <v>4</v>
      </c>
      <c r="D41" s="10">
        <f t="shared" si="3"/>
        <v>9355.62</v>
      </c>
      <c r="E41" s="11">
        <f t="shared" si="4"/>
        <v>0.06050340868</v>
      </c>
    </row>
    <row r="42">
      <c r="C42" s="6" t="s">
        <v>5</v>
      </c>
      <c r="D42" s="10">
        <f t="shared" si="3"/>
        <v>0</v>
      </c>
      <c r="E42" s="11">
        <f t="shared" si="4"/>
        <v>0</v>
      </c>
    </row>
    <row r="43">
      <c r="C43" s="6" t="s">
        <v>6</v>
      </c>
      <c r="D43" s="10">
        <f t="shared" si="3"/>
        <v>1636.42</v>
      </c>
      <c r="E43" s="11">
        <f t="shared" si="4"/>
        <v>0.01058283556</v>
      </c>
    </row>
    <row r="44">
      <c r="C44" s="6" t="s">
        <v>7</v>
      </c>
      <c r="D44" s="10">
        <f t="shared" si="3"/>
        <v>32645.79</v>
      </c>
      <c r="E44" s="11">
        <f t="shared" si="4"/>
        <v>0.2111224669</v>
      </c>
    </row>
    <row r="45">
      <c r="C45" s="4" t="s">
        <v>1</v>
      </c>
      <c r="D45" s="10">
        <f t="shared" si="3"/>
        <v>22152.045</v>
      </c>
      <c r="E45" s="11">
        <f t="shared" si="4"/>
        <v>0.1432587292</v>
      </c>
    </row>
    <row r="46">
      <c r="C46" s="4" t="s">
        <v>0</v>
      </c>
      <c r="D46" s="10">
        <f t="shared" si="3"/>
        <v>37768.61</v>
      </c>
      <c r="E46" s="11">
        <f t="shared" si="4"/>
        <v>0.2442520801</v>
      </c>
    </row>
    <row r="47">
      <c r="C47" s="4" t="s">
        <v>2</v>
      </c>
      <c r="D47" s="10">
        <f t="shared" si="3"/>
        <v>20312.42</v>
      </c>
      <c r="E47" s="11">
        <f t="shared" si="4"/>
        <v>0.1313617535</v>
      </c>
    </row>
    <row r="48">
      <c r="D48" s="5">
        <f>SUM(D40:D47)</f>
        <v>154629.635</v>
      </c>
    </row>
  </sheetData>
  <autoFilter ref="$A$4:$E$27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45</v>
      </c>
    </row>
    <row r="2">
      <c r="D2" s="4" t="s">
        <v>9</v>
      </c>
      <c r="E2" s="3">
        <v>45722.0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21">
        <v>8118.32</v>
      </c>
      <c r="E5" s="4" t="s">
        <v>15</v>
      </c>
      <c r="F5" s="4">
        <v>9836.0</v>
      </c>
    </row>
    <row r="6">
      <c r="A6" s="4" t="s">
        <v>3</v>
      </c>
      <c r="B6" s="4" t="s">
        <v>16</v>
      </c>
      <c r="C6" s="4">
        <v>0.0</v>
      </c>
      <c r="D6" s="21">
        <v>0.0</v>
      </c>
      <c r="E6" s="4" t="s">
        <v>15</v>
      </c>
      <c r="F6" s="4">
        <v>5129.85</v>
      </c>
    </row>
    <row r="7">
      <c r="A7" s="4" t="s">
        <v>3</v>
      </c>
      <c r="B7" s="4" t="s">
        <v>29</v>
      </c>
      <c r="C7" s="4">
        <v>180.0</v>
      </c>
      <c r="D7" s="21">
        <v>1995.3</v>
      </c>
      <c r="E7" s="4" t="s">
        <v>15</v>
      </c>
      <c r="F7" s="4">
        <v>1533.24</v>
      </c>
    </row>
    <row r="8">
      <c r="A8" s="4" t="s">
        <v>3</v>
      </c>
      <c r="B8" s="4" t="s">
        <v>21</v>
      </c>
      <c r="C8" s="4">
        <v>120.0</v>
      </c>
      <c r="D8" s="21">
        <v>1686.0</v>
      </c>
      <c r="E8" s="4" t="s">
        <v>21</v>
      </c>
      <c r="F8" s="4">
        <v>1231.8</v>
      </c>
    </row>
    <row r="9">
      <c r="A9" s="4" t="s">
        <v>3</v>
      </c>
      <c r="B9" s="4" t="s">
        <v>43</v>
      </c>
      <c r="C9" s="4">
        <v>5000.0</v>
      </c>
      <c r="D9" s="21">
        <v>0.0</v>
      </c>
      <c r="E9" s="4" t="s">
        <v>21</v>
      </c>
    </row>
    <row r="10">
      <c r="A10" s="4" t="s">
        <v>4</v>
      </c>
      <c r="B10" s="4" t="s">
        <v>18</v>
      </c>
      <c r="D10" s="21">
        <v>10969.93</v>
      </c>
      <c r="E10" s="4" t="s">
        <v>35</v>
      </c>
    </row>
    <row r="11">
      <c r="A11" s="4" t="s">
        <v>5</v>
      </c>
      <c r="B11" s="4" t="s">
        <v>33</v>
      </c>
      <c r="D11" s="21">
        <v>0.0</v>
      </c>
      <c r="E11" s="4" t="s">
        <v>19</v>
      </c>
      <c r="F11" s="11"/>
    </row>
    <row r="12">
      <c r="A12" s="4" t="s">
        <v>5</v>
      </c>
      <c r="B12" s="4" t="s">
        <v>5</v>
      </c>
      <c r="D12" s="21">
        <v>0.0</v>
      </c>
      <c r="E12" s="4" t="s">
        <v>21</v>
      </c>
    </row>
    <row r="13">
      <c r="A13" s="4" t="s">
        <v>3</v>
      </c>
      <c r="B13" s="4" t="s">
        <v>20</v>
      </c>
      <c r="D13" s="21">
        <v>16181.41</v>
      </c>
      <c r="E13" s="4" t="s">
        <v>21</v>
      </c>
      <c r="F13" s="4">
        <v>11791.47</v>
      </c>
    </row>
    <row r="14">
      <c r="A14" s="4" t="s">
        <v>3</v>
      </c>
      <c r="B14" s="4" t="s">
        <v>20</v>
      </c>
      <c r="D14" s="21">
        <v>3280.53</v>
      </c>
      <c r="E14" s="4" t="s">
        <v>44</v>
      </c>
      <c r="F14" s="4">
        <v>1447.7</v>
      </c>
    </row>
    <row r="15">
      <c r="A15" s="4" t="s">
        <v>6</v>
      </c>
      <c r="B15" s="4" t="s">
        <v>22</v>
      </c>
      <c r="D15" s="21">
        <v>1636.42</v>
      </c>
      <c r="E15" s="4" t="s">
        <v>6</v>
      </c>
      <c r="O15" s="4">
        <v>43.0</v>
      </c>
      <c r="P15" s="4">
        <v>50.0</v>
      </c>
    </row>
    <row r="16">
      <c r="A16" s="4" t="s">
        <v>6</v>
      </c>
      <c r="B16" s="4" t="s">
        <v>23</v>
      </c>
      <c r="D16" s="21">
        <v>0.0</v>
      </c>
      <c r="E16" s="4" t="s">
        <v>6</v>
      </c>
      <c r="O16" s="4">
        <v>38.0</v>
      </c>
      <c r="P16" s="4">
        <v>67.0</v>
      </c>
    </row>
    <row r="17">
      <c r="A17" s="4" t="s">
        <v>6</v>
      </c>
      <c r="B17" s="4" t="s">
        <v>24</v>
      </c>
      <c r="D17" s="21">
        <v>0.0</v>
      </c>
      <c r="E17" s="4" t="s">
        <v>6</v>
      </c>
      <c r="O17" s="4">
        <v>37.0</v>
      </c>
    </row>
    <row r="18">
      <c r="A18" s="4" t="s">
        <v>6</v>
      </c>
      <c r="B18" s="4" t="s">
        <v>25</v>
      </c>
      <c r="D18" s="21">
        <v>0.0</v>
      </c>
      <c r="E18" s="4" t="s">
        <v>6</v>
      </c>
    </row>
    <row r="19">
      <c r="A19" s="4" t="s">
        <v>7</v>
      </c>
      <c r="B19" s="4" t="s">
        <v>30</v>
      </c>
      <c r="D19" s="21">
        <f>+10546.21/2</f>
        <v>5273.105</v>
      </c>
      <c r="E19" s="4" t="s">
        <v>36</v>
      </c>
      <c r="F19" s="10">
        <f>D19+D20</f>
        <v>5520.11</v>
      </c>
      <c r="G19" s="9">
        <f>F19*2</f>
        <v>11040.22</v>
      </c>
    </row>
    <row r="20">
      <c r="A20" s="4" t="s">
        <v>7</v>
      </c>
      <c r="B20" s="4" t="s">
        <v>30</v>
      </c>
      <c r="D20" s="21">
        <f>494.01/2</f>
        <v>247.005</v>
      </c>
      <c r="E20" s="4" t="s">
        <v>21</v>
      </c>
    </row>
    <row r="21">
      <c r="A21" s="4" t="s">
        <v>7</v>
      </c>
      <c r="B21" s="4" t="s">
        <v>31</v>
      </c>
      <c r="D21" s="21">
        <v>5542.68</v>
      </c>
      <c r="E21" s="4" t="s">
        <v>21</v>
      </c>
    </row>
    <row r="22">
      <c r="A22" s="4" t="s">
        <v>7</v>
      </c>
      <c r="B22" s="4" t="s">
        <v>7</v>
      </c>
      <c r="D22" s="21">
        <v>662.12</v>
      </c>
      <c r="E22" s="4" t="s">
        <v>34</v>
      </c>
    </row>
    <row r="23">
      <c r="A23" s="4" t="s">
        <v>7</v>
      </c>
      <c r="B23" s="4" t="s">
        <v>7</v>
      </c>
      <c r="D23" s="21">
        <v>15104.78</v>
      </c>
      <c r="E23" s="4" t="s">
        <v>35</v>
      </c>
    </row>
    <row r="24">
      <c r="A24" s="4" t="s">
        <v>7</v>
      </c>
      <c r="B24" s="4" t="s">
        <v>7</v>
      </c>
      <c r="D24" s="21">
        <v>544.26</v>
      </c>
      <c r="E24" s="4" t="s">
        <v>15</v>
      </c>
    </row>
    <row r="25">
      <c r="A25" s="4" t="s">
        <v>1</v>
      </c>
      <c r="B25" s="4" t="s">
        <v>32</v>
      </c>
      <c r="D25" s="21">
        <f>(110000-65451.42)*0.5</f>
        <v>22274.29</v>
      </c>
    </row>
    <row r="26">
      <c r="A26" s="4" t="s">
        <v>2</v>
      </c>
      <c r="D26" s="21">
        <f>(75000+50271.81-8896.47-39415.64-35443.86)/2</f>
        <v>20757.92</v>
      </c>
    </row>
    <row r="27">
      <c r="A27" s="4" t="s">
        <v>0</v>
      </c>
      <c r="B27" s="4" t="s">
        <v>28</v>
      </c>
      <c r="D27" s="21">
        <f>175000-136870.62</f>
        <v>38129.38</v>
      </c>
    </row>
    <row r="28">
      <c r="E28" s="11"/>
    </row>
    <row r="29">
      <c r="C29" s="6" t="s">
        <v>3</v>
      </c>
      <c r="D29" s="10">
        <f t="shared" ref="D29:D35" si="1">SUMIF($A$5:$A$27,C29,$D$5:$D$27)</f>
        <v>31261.56</v>
      </c>
      <c r="E29" s="11">
        <f t="shared" ref="E29:E35" si="2">D29/$D$36</f>
        <v>0.273566523</v>
      </c>
    </row>
    <row r="30">
      <c r="C30" s="6" t="s">
        <v>4</v>
      </c>
      <c r="D30" s="10">
        <f t="shared" si="1"/>
        <v>10969.93</v>
      </c>
      <c r="E30" s="11">
        <f t="shared" si="2"/>
        <v>0.09599666836</v>
      </c>
    </row>
    <row r="31">
      <c r="C31" s="6" t="s">
        <v>5</v>
      </c>
      <c r="D31" s="10">
        <f t="shared" si="1"/>
        <v>0</v>
      </c>
      <c r="E31" s="11">
        <f t="shared" si="2"/>
        <v>0</v>
      </c>
    </row>
    <row r="32">
      <c r="C32" s="6" t="s">
        <v>6</v>
      </c>
      <c r="D32" s="10">
        <f t="shared" si="1"/>
        <v>1636.42</v>
      </c>
      <c r="E32" s="11">
        <f t="shared" si="2"/>
        <v>0.01432013404</v>
      </c>
    </row>
    <row r="33">
      <c r="C33" s="6" t="s">
        <v>7</v>
      </c>
      <c r="D33" s="10">
        <f t="shared" si="1"/>
        <v>27373.95</v>
      </c>
      <c r="E33" s="11">
        <f t="shared" si="2"/>
        <v>0.2395464693</v>
      </c>
      <c r="F33" s="10">
        <f>D33-F19</f>
        <v>21853.84</v>
      </c>
    </row>
    <row r="34">
      <c r="C34" s="4" t="s">
        <v>1</v>
      </c>
      <c r="D34" s="10">
        <f t="shared" si="1"/>
        <v>22274.29</v>
      </c>
      <c r="E34" s="11">
        <f t="shared" si="2"/>
        <v>0.1949198974</v>
      </c>
    </row>
    <row r="35">
      <c r="C35" s="4" t="s">
        <v>2</v>
      </c>
      <c r="D35" s="10">
        <f t="shared" si="1"/>
        <v>20757.92</v>
      </c>
      <c r="E35" s="11">
        <f t="shared" si="2"/>
        <v>0.1816503079</v>
      </c>
    </row>
    <row r="36">
      <c r="D36" s="5">
        <f>SUM($D$29:D35)</f>
        <v>114274.07</v>
      </c>
      <c r="E36" s="11"/>
    </row>
    <row r="37">
      <c r="D37" s="12"/>
    </row>
    <row r="40">
      <c r="C40" s="6" t="s">
        <v>3</v>
      </c>
      <c r="D40" s="10">
        <f t="shared" ref="D40:D47" si="3">SUMIF($A$5:$A$27,C40,$D$5:$D$27)</f>
        <v>31261.56</v>
      </c>
      <c r="E40" s="11">
        <f t="shared" ref="E40:E47" si="4">D40/$D$48</f>
        <v>0.2051237029</v>
      </c>
    </row>
    <row r="41">
      <c r="C41" s="6" t="s">
        <v>4</v>
      </c>
      <c r="D41" s="10">
        <f t="shared" si="3"/>
        <v>10969.93</v>
      </c>
      <c r="E41" s="11">
        <f t="shared" si="4"/>
        <v>0.07197953852</v>
      </c>
    </row>
    <row r="42">
      <c r="C42" s="6" t="s">
        <v>5</v>
      </c>
      <c r="D42" s="10">
        <f t="shared" si="3"/>
        <v>0</v>
      </c>
      <c r="E42" s="11">
        <f t="shared" si="4"/>
        <v>0</v>
      </c>
    </row>
    <row r="43">
      <c r="C43" s="6" t="s">
        <v>6</v>
      </c>
      <c r="D43" s="10">
        <f t="shared" si="3"/>
        <v>1636.42</v>
      </c>
      <c r="E43" s="11">
        <f t="shared" si="4"/>
        <v>0.01073742097</v>
      </c>
    </row>
    <row r="44">
      <c r="C44" s="6" t="s">
        <v>7</v>
      </c>
      <c r="D44" s="10">
        <f t="shared" si="3"/>
        <v>27373.95</v>
      </c>
      <c r="E44" s="11">
        <f t="shared" si="4"/>
        <v>0.1796150284</v>
      </c>
    </row>
    <row r="45">
      <c r="C45" s="4" t="s">
        <v>1</v>
      </c>
      <c r="D45" s="10">
        <f t="shared" si="3"/>
        <v>22274.29</v>
      </c>
      <c r="E45" s="11">
        <f t="shared" si="4"/>
        <v>0.1461534499</v>
      </c>
    </row>
    <row r="46">
      <c r="C46" s="4" t="s">
        <v>0</v>
      </c>
      <c r="D46" s="10">
        <f t="shared" si="3"/>
        <v>38129.38</v>
      </c>
      <c r="E46" s="11">
        <f t="shared" si="4"/>
        <v>0.2501871185</v>
      </c>
    </row>
    <row r="47">
      <c r="C47" s="4" t="s">
        <v>2</v>
      </c>
      <c r="D47" s="10">
        <f t="shared" si="3"/>
        <v>20757.92</v>
      </c>
      <c r="E47" s="11">
        <f t="shared" si="4"/>
        <v>0.1362037408</v>
      </c>
    </row>
    <row r="48">
      <c r="D48" s="5">
        <f>SUM(D40:D47)</f>
        <v>152403.45</v>
      </c>
    </row>
  </sheetData>
  <autoFilter ref="$A$4:$E$27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45</v>
      </c>
    </row>
    <row r="2">
      <c r="D2" s="4" t="s">
        <v>9</v>
      </c>
      <c r="E2" s="3">
        <v>45722.0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21">
        <v>7981.12</v>
      </c>
      <c r="E5" s="4" t="s">
        <v>15</v>
      </c>
      <c r="F5" s="4">
        <v>9836.0</v>
      </c>
    </row>
    <row r="6">
      <c r="A6" s="4" t="s">
        <v>3</v>
      </c>
      <c r="B6" s="4" t="s">
        <v>16</v>
      </c>
      <c r="C6" s="4">
        <v>0.0</v>
      </c>
      <c r="D6" s="21">
        <v>0.0</v>
      </c>
      <c r="E6" s="4" t="s">
        <v>15</v>
      </c>
      <c r="F6" s="4">
        <v>5129.85</v>
      </c>
    </row>
    <row r="7">
      <c r="A7" s="4" t="s">
        <v>3</v>
      </c>
      <c r="B7" s="4" t="s">
        <v>29</v>
      </c>
      <c r="C7" s="4">
        <v>180.0</v>
      </c>
      <c r="D7" s="21">
        <v>1995.3</v>
      </c>
      <c r="E7" s="4" t="s">
        <v>15</v>
      </c>
      <c r="F7" s="4">
        <v>1533.24</v>
      </c>
    </row>
    <row r="8">
      <c r="A8" s="4" t="s">
        <v>3</v>
      </c>
      <c r="B8" s="4" t="s">
        <v>21</v>
      </c>
      <c r="C8" s="4">
        <v>120.0</v>
      </c>
      <c r="D8" s="21">
        <v>1701.0</v>
      </c>
      <c r="E8" s="4" t="s">
        <v>21</v>
      </c>
      <c r="F8" s="4">
        <v>1231.8</v>
      </c>
    </row>
    <row r="9">
      <c r="A9" s="4" t="s">
        <v>3</v>
      </c>
      <c r="B9" s="4" t="s">
        <v>43</v>
      </c>
      <c r="C9" s="4">
        <v>5000.0</v>
      </c>
      <c r="D9" s="21">
        <v>0.0</v>
      </c>
      <c r="E9" s="4" t="s">
        <v>21</v>
      </c>
    </row>
    <row r="10">
      <c r="A10" s="4" t="s">
        <v>4</v>
      </c>
      <c r="B10" s="4" t="s">
        <v>18</v>
      </c>
      <c r="D10" s="21">
        <v>10737.67</v>
      </c>
      <c r="E10" s="4" t="s">
        <v>35</v>
      </c>
    </row>
    <row r="11">
      <c r="A11" s="4" t="s">
        <v>5</v>
      </c>
      <c r="B11" s="4" t="s">
        <v>33</v>
      </c>
      <c r="D11" s="21">
        <v>0.0</v>
      </c>
      <c r="E11" s="4" t="s">
        <v>19</v>
      </c>
      <c r="F11" s="11"/>
    </row>
    <row r="12">
      <c r="A12" s="4" t="s">
        <v>5</v>
      </c>
      <c r="B12" s="4" t="s">
        <v>5</v>
      </c>
      <c r="D12" s="21">
        <v>0.0</v>
      </c>
      <c r="E12" s="4" t="s">
        <v>21</v>
      </c>
    </row>
    <row r="13">
      <c r="A13" s="4" t="s">
        <v>3</v>
      </c>
      <c r="B13" s="4" t="s">
        <v>20</v>
      </c>
      <c r="D13" s="21">
        <v>15911.07</v>
      </c>
      <c r="E13" s="4" t="s">
        <v>21</v>
      </c>
      <c r="F13" s="4">
        <v>11791.47</v>
      </c>
    </row>
    <row r="14">
      <c r="A14" s="4" t="s">
        <v>3</v>
      </c>
      <c r="B14" s="4" t="s">
        <v>20</v>
      </c>
      <c r="D14" s="21">
        <v>3472.9</v>
      </c>
      <c r="E14" s="4" t="s">
        <v>44</v>
      </c>
      <c r="F14" s="4">
        <v>1447.7</v>
      </c>
    </row>
    <row r="15">
      <c r="A15" s="4" t="s">
        <v>6</v>
      </c>
      <c r="B15" s="4" t="s">
        <v>22</v>
      </c>
      <c r="D15" s="21">
        <v>1156.47</v>
      </c>
      <c r="E15" s="4" t="s">
        <v>6</v>
      </c>
      <c r="O15" s="4">
        <v>43.0</v>
      </c>
      <c r="P15" s="4">
        <v>50.0</v>
      </c>
    </row>
    <row r="16">
      <c r="A16" s="4" t="s">
        <v>6</v>
      </c>
      <c r="B16" s="4" t="s">
        <v>23</v>
      </c>
      <c r="D16" s="21">
        <v>0.0</v>
      </c>
      <c r="E16" s="4" t="s">
        <v>6</v>
      </c>
      <c r="O16" s="4">
        <v>38.0</v>
      </c>
      <c r="P16" s="4">
        <v>67.0</v>
      </c>
    </row>
    <row r="17">
      <c r="A17" s="4" t="s">
        <v>6</v>
      </c>
      <c r="B17" s="4" t="s">
        <v>24</v>
      </c>
      <c r="D17" s="21">
        <v>0.0</v>
      </c>
      <c r="E17" s="4" t="s">
        <v>6</v>
      </c>
      <c r="O17" s="4">
        <v>37.0</v>
      </c>
    </row>
    <row r="18">
      <c r="A18" s="4" t="s">
        <v>6</v>
      </c>
      <c r="B18" s="4" t="s">
        <v>25</v>
      </c>
      <c r="D18" s="21">
        <v>0.0</v>
      </c>
      <c r="E18" s="4" t="s">
        <v>6</v>
      </c>
    </row>
    <row r="19">
      <c r="A19" s="4" t="s">
        <v>7</v>
      </c>
      <c r="B19" s="4" t="s">
        <v>30</v>
      </c>
      <c r="D19" s="21">
        <f>+10808.69/2</f>
        <v>5404.345</v>
      </c>
      <c r="E19" s="4" t="s">
        <v>36</v>
      </c>
      <c r="F19" s="10">
        <f>D19+D20</f>
        <v>6603.215</v>
      </c>
      <c r="G19" s="9">
        <f>F19*2</f>
        <v>13206.43</v>
      </c>
    </row>
    <row r="20">
      <c r="A20" s="4" t="s">
        <v>7</v>
      </c>
      <c r="B20" s="4" t="s">
        <v>30</v>
      </c>
      <c r="D20" s="21">
        <f>1198.87</f>
        <v>1198.87</v>
      </c>
      <c r="E20" s="4" t="s">
        <v>21</v>
      </c>
    </row>
    <row r="21">
      <c r="A21" s="4" t="s">
        <v>7</v>
      </c>
      <c r="B21" s="4" t="s">
        <v>31</v>
      </c>
      <c r="D21" s="21">
        <v>1435.52</v>
      </c>
      <c r="E21" s="4" t="s">
        <v>21</v>
      </c>
    </row>
    <row r="22">
      <c r="A22" s="4" t="s">
        <v>7</v>
      </c>
      <c r="B22" s="4" t="s">
        <v>7</v>
      </c>
      <c r="D22" s="21">
        <v>247.57</v>
      </c>
      <c r="E22" s="4" t="s">
        <v>34</v>
      </c>
    </row>
    <row r="23">
      <c r="A23" s="4" t="s">
        <v>7</v>
      </c>
      <c r="B23" s="4" t="s">
        <v>7</v>
      </c>
      <c r="D23" s="21">
        <v>16813.43</v>
      </c>
      <c r="E23" s="4" t="s">
        <v>35</v>
      </c>
    </row>
    <row r="24">
      <c r="A24" s="4" t="s">
        <v>7</v>
      </c>
      <c r="B24" s="4" t="s">
        <v>7</v>
      </c>
      <c r="D24" s="21">
        <v>646.04</v>
      </c>
      <c r="E24" s="4" t="s">
        <v>15</v>
      </c>
    </row>
    <row r="25">
      <c r="A25" s="4" t="s">
        <v>1</v>
      </c>
      <c r="B25" s="4" t="s">
        <v>32</v>
      </c>
      <c r="D25" s="21">
        <f>(110000-65206.36)*0.5</f>
        <v>22396.82</v>
      </c>
    </row>
    <row r="26">
      <c r="A26" s="4" t="s">
        <v>2</v>
      </c>
      <c r="D26" s="21">
        <f>(75000+50333.12-6383.66-39129-35182.94)/2</f>
        <v>22318.76</v>
      </c>
    </row>
    <row r="27">
      <c r="A27" s="4" t="s">
        <v>0</v>
      </c>
      <c r="B27" s="4" t="s">
        <v>28</v>
      </c>
      <c r="D27" s="21">
        <f>175000-136509.17</f>
        <v>38490.83</v>
      </c>
    </row>
    <row r="28">
      <c r="E28" s="11"/>
    </row>
    <row r="29">
      <c r="C29" s="6" t="s">
        <v>3</v>
      </c>
      <c r="D29" s="10">
        <f t="shared" ref="D29:D35" si="1">SUMIF($A$5:$A$27,C29,$D$5:$D$27)</f>
        <v>31061.39</v>
      </c>
      <c r="E29" s="11">
        <f t="shared" ref="E29:E35" si="2">D29/$D$36</f>
        <v>0.2738691862</v>
      </c>
    </row>
    <row r="30">
      <c r="C30" s="6" t="s">
        <v>4</v>
      </c>
      <c r="D30" s="10">
        <f t="shared" si="1"/>
        <v>10737.67</v>
      </c>
      <c r="E30" s="11">
        <f t="shared" si="2"/>
        <v>0.09467435118</v>
      </c>
    </row>
    <row r="31">
      <c r="C31" s="6" t="s">
        <v>5</v>
      </c>
      <c r="D31" s="10">
        <f t="shared" si="1"/>
        <v>0</v>
      </c>
      <c r="E31" s="11">
        <f t="shared" si="2"/>
        <v>0</v>
      </c>
    </row>
    <row r="32">
      <c r="C32" s="6" t="s">
        <v>6</v>
      </c>
      <c r="D32" s="10">
        <f t="shared" si="1"/>
        <v>1156.47</v>
      </c>
      <c r="E32" s="11">
        <f t="shared" si="2"/>
        <v>0.01019662989</v>
      </c>
    </row>
    <row r="33">
      <c r="C33" s="6" t="s">
        <v>7</v>
      </c>
      <c r="D33" s="10">
        <f t="shared" si="1"/>
        <v>25745.775</v>
      </c>
      <c r="E33" s="11">
        <f t="shared" si="2"/>
        <v>0.2270012529</v>
      </c>
      <c r="F33" s="10">
        <f>D33-F19</f>
        <v>19142.56</v>
      </c>
    </row>
    <row r="34">
      <c r="C34" s="4" t="s">
        <v>1</v>
      </c>
      <c r="D34" s="10">
        <f t="shared" si="1"/>
        <v>22396.82</v>
      </c>
      <c r="E34" s="11">
        <f t="shared" si="2"/>
        <v>0.1974734185</v>
      </c>
    </row>
    <row r="35">
      <c r="C35" s="4" t="s">
        <v>2</v>
      </c>
      <c r="D35" s="10">
        <f t="shared" si="1"/>
        <v>22318.76</v>
      </c>
      <c r="E35" s="11">
        <f t="shared" si="2"/>
        <v>0.1967851612</v>
      </c>
    </row>
    <row r="36">
      <c r="D36" s="5">
        <f>SUM($D$29:D35)</f>
        <v>113416.885</v>
      </c>
      <c r="E36" s="11"/>
    </row>
    <row r="37">
      <c r="D37" s="12"/>
    </row>
    <row r="40">
      <c r="C40" s="6" t="s">
        <v>3</v>
      </c>
      <c r="D40" s="10">
        <f t="shared" ref="D40:D47" si="3">SUMIF($A$5:$A$27,C40,$D$5:$D$27)</f>
        <v>31061.39</v>
      </c>
      <c r="E40" s="11">
        <f t="shared" ref="E40:E47" si="4">D40/$D$48</f>
        <v>0.2044753948</v>
      </c>
    </row>
    <row r="41">
      <c r="C41" s="6" t="s">
        <v>4</v>
      </c>
      <c r="D41" s="10">
        <f t="shared" si="3"/>
        <v>10737.67</v>
      </c>
      <c r="E41" s="11">
        <f t="shared" si="4"/>
        <v>0.07068548164</v>
      </c>
    </row>
    <row r="42">
      <c r="C42" s="6" t="s">
        <v>5</v>
      </c>
      <c r="D42" s="10">
        <f t="shared" si="3"/>
        <v>0</v>
      </c>
      <c r="E42" s="11">
        <f t="shared" si="4"/>
        <v>0</v>
      </c>
    </row>
    <row r="43">
      <c r="C43" s="6" t="s">
        <v>6</v>
      </c>
      <c r="D43" s="10">
        <f t="shared" si="3"/>
        <v>1156.47</v>
      </c>
      <c r="E43" s="11">
        <f t="shared" si="4"/>
        <v>0.007612977392</v>
      </c>
    </row>
    <row r="44">
      <c r="C44" s="6" t="s">
        <v>7</v>
      </c>
      <c r="D44" s="10">
        <f t="shared" si="3"/>
        <v>25745.775</v>
      </c>
      <c r="E44" s="11">
        <f t="shared" si="4"/>
        <v>0.1694829983</v>
      </c>
    </row>
    <row r="45">
      <c r="C45" s="4" t="s">
        <v>1</v>
      </c>
      <c r="D45" s="10">
        <f t="shared" si="3"/>
        <v>22396.82</v>
      </c>
      <c r="E45" s="11">
        <f t="shared" si="4"/>
        <v>0.1474370146</v>
      </c>
    </row>
    <row r="46">
      <c r="C46" s="4" t="s">
        <v>0</v>
      </c>
      <c r="D46" s="10">
        <f t="shared" si="3"/>
        <v>38490.83</v>
      </c>
      <c r="E46" s="11">
        <f t="shared" si="4"/>
        <v>0.2533829832</v>
      </c>
    </row>
    <row r="47">
      <c r="C47" s="4" t="s">
        <v>2</v>
      </c>
      <c r="D47" s="10">
        <f t="shared" si="3"/>
        <v>22318.76</v>
      </c>
      <c r="E47" s="11">
        <f t="shared" si="4"/>
        <v>0.14692315</v>
      </c>
    </row>
    <row r="48">
      <c r="D48" s="5">
        <f>SUM(D40:D47)</f>
        <v>151907.715</v>
      </c>
    </row>
  </sheetData>
  <autoFilter ref="$A$4:$E$27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45</v>
      </c>
    </row>
    <row r="2">
      <c r="D2" s="4" t="s">
        <v>9</v>
      </c>
      <c r="E2" s="3">
        <v>45722.0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21">
        <v>7344.12</v>
      </c>
      <c r="E5" s="4" t="s">
        <v>15</v>
      </c>
      <c r="F5" s="4">
        <v>9836.0</v>
      </c>
    </row>
    <row r="6">
      <c r="A6" s="4" t="s">
        <v>3</v>
      </c>
      <c r="B6" s="4" t="s">
        <v>16</v>
      </c>
      <c r="C6" s="4">
        <v>0.0</v>
      </c>
      <c r="D6" s="21">
        <v>0.0</v>
      </c>
      <c r="E6" s="4" t="s">
        <v>15</v>
      </c>
      <c r="F6" s="4">
        <v>5129.85</v>
      </c>
    </row>
    <row r="7">
      <c r="A7" s="4" t="s">
        <v>3</v>
      </c>
      <c r="B7" s="4" t="s">
        <v>29</v>
      </c>
      <c r="C7" s="4">
        <v>180.0</v>
      </c>
      <c r="D7" s="21">
        <v>1683.9</v>
      </c>
      <c r="E7" s="4" t="s">
        <v>15</v>
      </c>
      <c r="F7" s="4">
        <v>1533.24</v>
      </c>
    </row>
    <row r="8">
      <c r="A8" s="4" t="s">
        <v>3</v>
      </c>
      <c r="B8" s="4" t="s">
        <v>21</v>
      </c>
      <c r="C8" s="4">
        <v>120.0</v>
      </c>
      <c r="D8" s="21">
        <v>1644.6</v>
      </c>
      <c r="E8" s="4" t="s">
        <v>21</v>
      </c>
      <c r="F8" s="4">
        <v>1231.8</v>
      </c>
    </row>
    <row r="9">
      <c r="A9" s="4" t="s">
        <v>3</v>
      </c>
      <c r="B9" s="4" t="s">
        <v>43</v>
      </c>
      <c r="C9" s="4">
        <v>5000.0</v>
      </c>
      <c r="D9" s="21">
        <v>0.0</v>
      </c>
      <c r="E9" s="4" t="s">
        <v>21</v>
      </c>
    </row>
    <row r="10">
      <c r="A10" s="4" t="s">
        <v>4</v>
      </c>
      <c r="B10" s="4" t="s">
        <v>18</v>
      </c>
      <c r="D10" s="21">
        <v>10684.41</v>
      </c>
      <c r="E10" s="4" t="s">
        <v>35</v>
      </c>
    </row>
    <row r="11">
      <c r="A11" s="4" t="s">
        <v>5</v>
      </c>
      <c r="B11" s="4" t="s">
        <v>33</v>
      </c>
      <c r="D11" s="21">
        <v>0.0</v>
      </c>
      <c r="E11" s="4" t="s">
        <v>19</v>
      </c>
      <c r="F11" s="11"/>
    </row>
    <row r="12">
      <c r="A12" s="4" t="s">
        <v>5</v>
      </c>
      <c r="B12" s="4" t="s">
        <v>5</v>
      </c>
      <c r="D12" s="21">
        <v>0.0</v>
      </c>
      <c r="E12" s="4" t="s">
        <v>21</v>
      </c>
    </row>
    <row r="13">
      <c r="A13" s="4" t="s">
        <v>3</v>
      </c>
      <c r="B13" s="4" t="s">
        <v>20</v>
      </c>
      <c r="D13" s="21">
        <v>16161.36</v>
      </c>
      <c r="E13" s="4" t="s">
        <v>21</v>
      </c>
      <c r="F13" s="4">
        <v>11791.47</v>
      </c>
    </row>
    <row r="14">
      <c r="A14" s="4" t="s">
        <v>3</v>
      </c>
      <c r="B14" s="4" t="s">
        <v>20</v>
      </c>
      <c r="D14" s="21">
        <v>3582.34</v>
      </c>
      <c r="E14" s="4" t="s">
        <v>44</v>
      </c>
      <c r="F14" s="4">
        <v>1447.7</v>
      </c>
    </row>
    <row r="15">
      <c r="A15" s="4" t="s">
        <v>6</v>
      </c>
      <c r="B15" s="4" t="s">
        <v>22</v>
      </c>
      <c r="D15" s="21">
        <v>1256.13</v>
      </c>
      <c r="E15" s="4" t="s">
        <v>6</v>
      </c>
      <c r="O15" s="4">
        <v>43.0</v>
      </c>
      <c r="P15" s="4">
        <v>50.0</v>
      </c>
    </row>
    <row r="16">
      <c r="A16" s="4" t="s">
        <v>6</v>
      </c>
      <c r="B16" s="4" t="s">
        <v>23</v>
      </c>
      <c r="D16" s="21">
        <v>0.0</v>
      </c>
      <c r="E16" s="4" t="s">
        <v>6</v>
      </c>
      <c r="O16" s="4">
        <v>38.0</v>
      </c>
      <c r="P16" s="4">
        <v>67.0</v>
      </c>
    </row>
    <row r="17">
      <c r="A17" s="4" t="s">
        <v>6</v>
      </c>
      <c r="B17" s="4" t="s">
        <v>24</v>
      </c>
      <c r="D17" s="21">
        <v>0.0</v>
      </c>
      <c r="E17" s="4" t="s">
        <v>6</v>
      </c>
      <c r="O17" s="4">
        <v>37.0</v>
      </c>
    </row>
    <row r="18">
      <c r="A18" s="4" t="s">
        <v>6</v>
      </c>
      <c r="B18" s="4" t="s">
        <v>25</v>
      </c>
      <c r="D18" s="21">
        <v>0.0</v>
      </c>
      <c r="E18" s="4" t="s">
        <v>6</v>
      </c>
    </row>
    <row r="19">
      <c r="A19" s="4" t="s">
        <v>7</v>
      </c>
      <c r="B19" s="4" t="s">
        <v>30</v>
      </c>
      <c r="D19" s="21">
        <f>+12023.44/2</f>
        <v>6011.72</v>
      </c>
      <c r="E19" s="4" t="s">
        <v>36</v>
      </c>
      <c r="F19" s="10">
        <f>D19+D20</f>
        <v>6416.87</v>
      </c>
      <c r="G19" s="9">
        <f>F19*2</f>
        <v>12833.74</v>
      </c>
    </row>
    <row r="20">
      <c r="A20" s="4" t="s">
        <v>7</v>
      </c>
      <c r="B20" s="4" t="s">
        <v>30</v>
      </c>
      <c r="D20" s="21">
        <f>810.3/2</f>
        <v>405.15</v>
      </c>
      <c r="E20" s="4" t="s">
        <v>21</v>
      </c>
    </row>
    <row r="21">
      <c r="A21" s="4" t="s">
        <v>7</v>
      </c>
      <c r="B21" s="4" t="s">
        <v>31</v>
      </c>
      <c r="D21" s="21">
        <v>4155.52</v>
      </c>
      <c r="E21" s="4" t="s">
        <v>21</v>
      </c>
    </row>
    <row r="22">
      <c r="A22" s="4" t="s">
        <v>7</v>
      </c>
      <c r="B22" s="4" t="s">
        <v>7</v>
      </c>
      <c r="D22" s="21">
        <v>665.16</v>
      </c>
      <c r="E22" s="4" t="s">
        <v>34</v>
      </c>
    </row>
    <row r="23">
      <c r="A23" s="4" t="s">
        <v>7</v>
      </c>
      <c r="B23" s="4" t="s">
        <v>7</v>
      </c>
      <c r="D23" s="21">
        <v>2986.17</v>
      </c>
      <c r="E23" s="4" t="s">
        <v>35</v>
      </c>
    </row>
    <row r="24">
      <c r="A24" s="4" t="s">
        <v>7</v>
      </c>
      <c r="B24" s="4" t="s">
        <v>7</v>
      </c>
      <c r="D24" s="21">
        <v>353.99</v>
      </c>
      <c r="E24" s="4" t="s">
        <v>15</v>
      </c>
    </row>
    <row r="25">
      <c r="A25" s="4" t="s">
        <v>1</v>
      </c>
      <c r="B25" s="4" t="s">
        <v>32</v>
      </c>
      <c r="D25" s="21">
        <f>(110000-64960.73)*0.5</f>
        <v>22519.635</v>
      </c>
    </row>
    <row r="26">
      <c r="A26" s="4" t="s">
        <v>2</v>
      </c>
      <c r="D26" s="21">
        <f>(75000+50799.04-5858.55-38541.3-34921.05)/2</f>
        <v>23239.07</v>
      </c>
    </row>
    <row r="27">
      <c r="A27" s="4" t="s">
        <v>0</v>
      </c>
      <c r="B27" s="4" t="s">
        <v>46</v>
      </c>
      <c r="D27" s="21">
        <f>175000+10000-136147.04</f>
        <v>48852.96</v>
      </c>
    </row>
    <row r="28">
      <c r="E28" s="11"/>
    </row>
    <row r="29">
      <c r="C29" s="6" t="s">
        <v>3</v>
      </c>
      <c r="D29" s="10">
        <f t="shared" ref="D29:D35" si="1">SUMIF($A$5:$A$27,C29,$D$5:$D$27)</f>
        <v>30416.32</v>
      </c>
      <c r="E29" s="11">
        <f t="shared" ref="E29:E35" si="2">D29/$D$36</f>
        <v>0.296186094</v>
      </c>
    </row>
    <row r="30">
      <c r="C30" s="6" t="s">
        <v>4</v>
      </c>
      <c r="D30" s="10">
        <f t="shared" si="1"/>
        <v>10684.41</v>
      </c>
      <c r="E30" s="11">
        <f t="shared" si="2"/>
        <v>0.1040419638</v>
      </c>
    </row>
    <row r="31">
      <c r="C31" s="6" t="s">
        <v>5</v>
      </c>
      <c r="D31" s="10">
        <f t="shared" si="1"/>
        <v>0</v>
      </c>
      <c r="E31" s="11">
        <f t="shared" si="2"/>
        <v>0</v>
      </c>
    </row>
    <row r="32">
      <c r="C32" s="6" t="s">
        <v>6</v>
      </c>
      <c r="D32" s="10">
        <f t="shared" si="1"/>
        <v>1256.13</v>
      </c>
      <c r="E32" s="11">
        <f t="shared" si="2"/>
        <v>0.01223186231</v>
      </c>
    </row>
    <row r="33">
      <c r="C33" s="6" t="s">
        <v>7</v>
      </c>
      <c r="D33" s="10">
        <f t="shared" si="1"/>
        <v>14577.71</v>
      </c>
      <c r="E33" s="11">
        <f t="shared" si="2"/>
        <v>0.1419538913</v>
      </c>
      <c r="F33" s="10">
        <f>D33-F19</f>
        <v>8160.84</v>
      </c>
    </row>
    <row r="34">
      <c r="C34" s="4" t="s">
        <v>1</v>
      </c>
      <c r="D34" s="10">
        <f t="shared" si="1"/>
        <v>22519.635</v>
      </c>
      <c r="E34" s="11">
        <f t="shared" si="2"/>
        <v>0.2192902602</v>
      </c>
    </row>
    <row r="35">
      <c r="C35" s="4" t="s">
        <v>2</v>
      </c>
      <c r="D35" s="10">
        <f t="shared" si="1"/>
        <v>23239.07</v>
      </c>
      <c r="E35" s="11">
        <f t="shared" si="2"/>
        <v>0.2262959283</v>
      </c>
    </row>
    <row r="36">
      <c r="D36" s="5">
        <f>SUM($D$29:D35)</f>
        <v>102693.275</v>
      </c>
      <c r="E36" s="11"/>
    </row>
    <row r="37">
      <c r="D37" s="12"/>
    </row>
    <row r="40">
      <c r="C40" s="6" t="s">
        <v>3</v>
      </c>
      <c r="D40" s="10">
        <f t="shared" ref="D40:D47" si="3">SUMIF($A$5:$A$27,C40,$D$5:$D$27)</f>
        <v>30416.32</v>
      </c>
      <c r="E40" s="11">
        <f t="shared" ref="E40:E47" si="4">D40/$D$48</f>
        <v>0.2007065369</v>
      </c>
    </row>
    <row r="41">
      <c r="C41" s="6" t="s">
        <v>4</v>
      </c>
      <c r="D41" s="10">
        <f t="shared" si="3"/>
        <v>10684.41</v>
      </c>
      <c r="E41" s="11">
        <f t="shared" si="4"/>
        <v>0.07050264231</v>
      </c>
    </row>
    <row r="42">
      <c r="C42" s="6" t="s">
        <v>5</v>
      </c>
      <c r="D42" s="10">
        <f t="shared" si="3"/>
        <v>0</v>
      </c>
      <c r="E42" s="11">
        <f t="shared" si="4"/>
        <v>0</v>
      </c>
    </row>
    <row r="43">
      <c r="C43" s="6" t="s">
        <v>6</v>
      </c>
      <c r="D43" s="10">
        <f t="shared" si="3"/>
        <v>1256.13</v>
      </c>
      <c r="E43" s="11">
        <f t="shared" si="4"/>
        <v>0.008288757553</v>
      </c>
    </row>
    <row r="44">
      <c r="C44" s="6" t="s">
        <v>7</v>
      </c>
      <c r="D44" s="10">
        <f t="shared" si="3"/>
        <v>14577.71</v>
      </c>
      <c r="E44" s="11">
        <f t="shared" si="4"/>
        <v>0.09619315188</v>
      </c>
    </row>
    <row r="45">
      <c r="C45" s="4" t="s">
        <v>1</v>
      </c>
      <c r="D45" s="10">
        <f t="shared" si="3"/>
        <v>22519.635</v>
      </c>
      <c r="E45" s="11">
        <f t="shared" si="4"/>
        <v>0.1485991057</v>
      </c>
    </row>
    <row r="46">
      <c r="C46" s="4" t="s">
        <v>0</v>
      </c>
      <c r="D46" s="10">
        <f t="shared" si="3"/>
        <v>48852.96</v>
      </c>
      <c r="E46" s="11">
        <f t="shared" si="4"/>
        <v>0.3223634028</v>
      </c>
    </row>
    <row r="47">
      <c r="C47" s="4" t="s">
        <v>2</v>
      </c>
      <c r="D47" s="10">
        <f t="shared" si="3"/>
        <v>23239.07</v>
      </c>
      <c r="E47" s="11">
        <f t="shared" si="4"/>
        <v>0.1533464028</v>
      </c>
    </row>
    <row r="48">
      <c r="D48" s="5">
        <f>SUM(D40:D47)</f>
        <v>151546.235</v>
      </c>
    </row>
  </sheetData>
  <autoFilter ref="$A$4:$E$27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45</v>
      </c>
    </row>
    <row r="2">
      <c r="D2" s="4" t="s">
        <v>9</v>
      </c>
      <c r="E2" s="3">
        <v>45722.0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21">
        <v>7357.84</v>
      </c>
      <c r="E5" s="4" t="s">
        <v>15</v>
      </c>
      <c r="F5" s="4">
        <v>9836.0</v>
      </c>
    </row>
    <row r="6">
      <c r="A6" s="4" t="s">
        <v>3</v>
      </c>
      <c r="B6" s="4" t="s">
        <v>16</v>
      </c>
      <c r="C6" s="4">
        <v>0.0</v>
      </c>
      <c r="D6" s="21">
        <v>0.0</v>
      </c>
      <c r="E6" s="4" t="s">
        <v>15</v>
      </c>
      <c r="F6" s="4">
        <v>5129.85</v>
      </c>
    </row>
    <row r="7">
      <c r="A7" s="4" t="s">
        <v>3</v>
      </c>
      <c r="B7" s="4" t="s">
        <v>29</v>
      </c>
      <c r="C7" s="4">
        <v>180.0</v>
      </c>
      <c r="D7" s="21">
        <v>1656.72</v>
      </c>
      <c r="E7" s="4" t="s">
        <v>15</v>
      </c>
      <c r="F7" s="4">
        <v>1533.24</v>
      </c>
    </row>
    <row r="8">
      <c r="A8" s="4" t="s">
        <v>3</v>
      </c>
      <c r="B8" s="4" t="s">
        <v>21</v>
      </c>
      <c r="C8" s="4">
        <v>120.0</v>
      </c>
      <c r="D8" s="21">
        <v>1637.4</v>
      </c>
      <c r="E8" s="4" t="s">
        <v>21</v>
      </c>
      <c r="F8" s="4">
        <v>1231.8</v>
      </c>
    </row>
    <row r="9">
      <c r="A9" s="4" t="s">
        <v>3</v>
      </c>
      <c r="B9" s="4" t="s">
        <v>43</v>
      </c>
      <c r="C9" s="4">
        <v>5000.0</v>
      </c>
      <c r="D9" s="21">
        <v>0.0</v>
      </c>
      <c r="E9" s="4" t="s">
        <v>21</v>
      </c>
    </row>
    <row r="10">
      <c r="A10" s="4" t="s">
        <v>4</v>
      </c>
      <c r="B10" s="4" t="s">
        <v>18</v>
      </c>
      <c r="D10" s="21">
        <v>10364.64</v>
      </c>
      <c r="E10" s="4" t="s">
        <v>35</v>
      </c>
    </row>
    <row r="11">
      <c r="A11" s="4" t="s">
        <v>5</v>
      </c>
      <c r="B11" s="4" t="s">
        <v>33</v>
      </c>
      <c r="D11" s="21">
        <v>0.0</v>
      </c>
      <c r="E11" s="4" t="s">
        <v>19</v>
      </c>
      <c r="F11" s="11"/>
    </row>
    <row r="12">
      <c r="A12" s="4" t="s">
        <v>5</v>
      </c>
      <c r="B12" s="4" t="s">
        <v>5</v>
      </c>
      <c r="D12" s="21">
        <v>0.0</v>
      </c>
      <c r="E12" s="4" t="s">
        <v>21</v>
      </c>
    </row>
    <row r="13">
      <c r="A13" s="4" t="s">
        <v>3</v>
      </c>
      <c r="B13" s="4" t="s">
        <v>20</v>
      </c>
      <c r="D13" s="21">
        <v>15879.3</v>
      </c>
      <c r="E13" s="4" t="s">
        <v>21</v>
      </c>
      <c r="F13" s="4">
        <v>11791.47</v>
      </c>
    </row>
    <row r="14">
      <c r="A14" s="4" t="s">
        <v>3</v>
      </c>
      <c r="B14" s="4" t="s">
        <v>20</v>
      </c>
      <c r="D14" s="21">
        <v>3647.25</v>
      </c>
      <c r="E14" s="4" t="s">
        <v>44</v>
      </c>
      <c r="F14" s="4">
        <v>1447.7</v>
      </c>
    </row>
    <row r="15">
      <c r="A15" s="4" t="s">
        <v>6</v>
      </c>
      <c r="B15" s="4" t="s">
        <v>22</v>
      </c>
      <c r="D15" s="21">
        <v>1256.13</v>
      </c>
      <c r="E15" s="4" t="s">
        <v>6</v>
      </c>
      <c r="O15" s="4">
        <v>43.0</v>
      </c>
      <c r="P15" s="4">
        <v>50.0</v>
      </c>
    </row>
    <row r="16">
      <c r="A16" s="4" t="s">
        <v>6</v>
      </c>
      <c r="B16" s="4" t="s">
        <v>23</v>
      </c>
      <c r="D16" s="21">
        <v>0.0</v>
      </c>
      <c r="E16" s="4" t="s">
        <v>6</v>
      </c>
      <c r="O16" s="4">
        <v>38.0</v>
      </c>
      <c r="P16" s="4">
        <v>67.0</v>
      </c>
    </row>
    <row r="17">
      <c r="A17" s="4" t="s">
        <v>6</v>
      </c>
      <c r="B17" s="4" t="s">
        <v>24</v>
      </c>
      <c r="D17" s="21">
        <v>0.0</v>
      </c>
      <c r="E17" s="4" t="s">
        <v>6</v>
      </c>
      <c r="O17" s="4">
        <v>37.0</v>
      </c>
    </row>
    <row r="18">
      <c r="A18" s="4" t="s">
        <v>6</v>
      </c>
      <c r="B18" s="4" t="s">
        <v>25</v>
      </c>
      <c r="D18" s="21">
        <v>0.0</v>
      </c>
      <c r="E18" s="4" t="s">
        <v>6</v>
      </c>
    </row>
    <row r="19">
      <c r="A19" s="4" t="s">
        <v>7</v>
      </c>
      <c r="B19" s="4" t="s">
        <v>30</v>
      </c>
      <c r="D19" s="21">
        <f>+12023.44/2</f>
        <v>6011.72</v>
      </c>
      <c r="E19" s="4" t="s">
        <v>36</v>
      </c>
      <c r="F19" s="10">
        <f>D19+D20</f>
        <v>6412.09</v>
      </c>
      <c r="G19" s="9">
        <f>F19*2</f>
        <v>12824.18</v>
      </c>
    </row>
    <row r="20">
      <c r="A20" s="4" t="s">
        <v>7</v>
      </c>
      <c r="B20" s="4" t="s">
        <v>30</v>
      </c>
      <c r="D20" s="21">
        <f>800.74/2</f>
        <v>400.37</v>
      </c>
      <c r="E20" s="4" t="s">
        <v>21</v>
      </c>
    </row>
    <row r="21">
      <c r="A21" s="4" t="s">
        <v>7</v>
      </c>
      <c r="B21" s="4" t="s">
        <v>31</v>
      </c>
      <c r="D21" s="21">
        <v>170.69</v>
      </c>
      <c r="E21" s="4" t="s">
        <v>21</v>
      </c>
    </row>
    <row r="22">
      <c r="A22" s="4" t="s">
        <v>7</v>
      </c>
      <c r="B22" s="4" t="s">
        <v>7</v>
      </c>
      <c r="D22" s="21">
        <v>608.41</v>
      </c>
      <c r="E22" s="4" t="s">
        <v>34</v>
      </c>
    </row>
    <row r="23">
      <c r="A23" s="4" t="s">
        <v>7</v>
      </c>
      <c r="B23" s="4" t="s">
        <v>7</v>
      </c>
      <c r="D23" s="21">
        <v>8100.23</v>
      </c>
      <c r="E23" s="4" t="s">
        <v>35</v>
      </c>
    </row>
    <row r="24">
      <c r="A24" s="4" t="s">
        <v>7</v>
      </c>
      <c r="B24" s="4" t="s">
        <v>7</v>
      </c>
      <c r="D24" s="21">
        <v>66.01</v>
      </c>
      <c r="E24" s="4" t="s">
        <v>15</v>
      </c>
    </row>
    <row r="25">
      <c r="A25" s="4" t="s">
        <v>1</v>
      </c>
      <c r="B25" s="4" t="s">
        <v>32</v>
      </c>
      <c r="D25" s="21">
        <f>(110000-64714.53)*0.5</f>
        <v>22642.735</v>
      </c>
    </row>
    <row r="26">
      <c r="A26" s="4" t="s">
        <v>2</v>
      </c>
      <c r="D26" s="21">
        <f>(75000+50860.35-5330.04-32000-34658.17)/2</f>
        <v>26936.07</v>
      </c>
    </row>
    <row r="27">
      <c r="A27" s="4" t="s">
        <v>0</v>
      </c>
      <c r="B27" s="4" t="s">
        <v>46</v>
      </c>
      <c r="D27" s="21">
        <f>175000+10000-135784.22</f>
        <v>49215.78</v>
      </c>
    </row>
    <row r="28">
      <c r="E28" s="11"/>
    </row>
    <row r="29">
      <c r="C29" s="6" t="s">
        <v>3</v>
      </c>
      <c r="D29" s="10">
        <f t="shared" ref="D29:D35" si="1">SUMIF($A$5:$A$27,C29,$D$5:$D$27)</f>
        <v>30178.51</v>
      </c>
      <c r="E29" s="11">
        <f t="shared" ref="E29:E35" si="2">D29/$D$36</f>
        <v>0.2827410352</v>
      </c>
    </row>
    <row r="30">
      <c r="C30" s="6" t="s">
        <v>4</v>
      </c>
      <c r="D30" s="10">
        <f t="shared" si="1"/>
        <v>10364.64</v>
      </c>
      <c r="E30" s="11">
        <f t="shared" si="2"/>
        <v>0.09710582274</v>
      </c>
    </row>
    <row r="31">
      <c r="C31" s="6" t="s">
        <v>5</v>
      </c>
      <c r="D31" s="10">
        <f t="shared" si="1"/>
        <v>0</v>
      </c>
      <c r="E31" s="11">
        <f t="shared" si="2"/>
        <v>0</v>
      </c>
    </row>
    <row r="32">
      <c r="C32" s="6" t="s">
        <v>6</v>
      </c>
      <c r="D32" s="10">
        <f t="shared" si="1"/>
        <v>1256.13</v>
      </c>
      <c r="E32" s="11">
        <f t="shared" si="2"/>
        <v>0.01176862266</v>
      </c>
    </row>
    <row r="33">
      <c r="C33" s="6" t="s">
        <v>7</v>
      </c>
      <c r="D33" s="10">
        <f t="shared" si="1"/>
        <v>15357.43</v>
      </c>
      <c r="E33" s="11">
        <f t="shared" si="2"/>
        <v>0.1438830365</v>
      </c>
      <c r="F33" s="10">
        <f>D33-F19</f>
        <v>8945.34</v>
      </c>
    </row>
    <row r="34">
      <c r="C34" s="4" t="s">
        <v>1</v>
      </c>
      <c r="D34" s="10">
        <f t="shared" si="1"/>
        <v>22642.735</v>
      </c>
      <c r="E34" s="11">
        <f t="shared" si="2"/>
        <v>0.212138715</v>
      </c>
    </row>
    <row r="35">
      <c r="C35" s="4" t="s">
        <v>2</v>
      </c>
      <c r="D35" s="10">
        <f t="shared" si="1"/>
        <v>26936.07</v>
      </c>
      <c r="E35" s="11">
        <f t="shared" si="2"/>
        <v>0.2523627679</v>
      </c>
    </row>
    <row r="36">
      <c r="D36" s="5">
        <f>SUM($D$29:D35)</f>
        <v>106735.515</v>
      </c>
      <c r="E36" s="11"/>
    </row>
    <row r="37">
      <c r="D37" s="12"/>
    </row>
    <row r="40">
      <c r="C40" s="6" t="s">
        <v>3</v>
      </c>
      <c r="D40" s="10">
        <f t="shared" ref="D40:D47" si="3">SUMIF($A$5:$A$27,C40,$D$5:$D$27)</f>
        <v>30178.51</v>
      </c>
      <c r="E40" s="11">
        <f t="shared" ref="E40:E47" si="4">D40/$D$48</f>
        <v>0.193512404</v>
      </c>
    </row>
    <row r="41">
      <c r="C41" s="6" t="s">
        <v>4</v>
      </c>
      <c r="D41" s="10">
        <f t="shared" si="3"/>
        <v>10364.64</v>
      </c>
      <c r="E41" s="11">
        <f t="shared" si="4"/>
        <v>0.06646074981</v>
      </c>
    </row>
    <row r="42">
      <c r="C42" s="6" t="s">
        <v>5</v>
      </c>
      <c r="D42" s="10">
        <f t="shared" si="3"/>
        <v>0</v>
      </c>
      <c r="E42" s="11">
        <f t="shared" si="4"/>
        <v>0</v>
      </c>
    </row>
    <row r="43">
      <c r="C43" s="6" t="s">
        <v>6</v>
      </c>
      <c r="D43" s="10">
        <f t="shared" si="3"/>
        <v>1256.13</v>
      </c>
      <c r="E43" s="11">
        <f t="shared" si="4"/>
        <v>0.008054630133</v>
      </c>
    </row>
    <row r="44">
      <c r="C44" s="6" t="s">
        <v>7</v>
      </c>
      <c r="D44" s="10">
        <f t="shared" si="3"/>
        <v>15357.43</v>
      </c>
      <c r="E44" s="11">
        <f t="shared" si="4"/>
        <v>0.09847580939</v>
      </c>
    </row>
    <row r="45">
      <c r="C45" s="4" t="s">
        <v>1</v>
      </c>
      <c r="D45" s="10">
        <f t="shared" si="3"/>
        <v>22642.735</v>
      </c>
      <c r="E45" s="11">
        <f t="shared" si="4"/>
        <v>0.1451910675</v>
      </c>
    </row>
    <row r="46">
      <c r="C46" s="4" t="s">
        <v>0</v>
      </c>
      <c r="D46" s="10">
        <f t="shared" si="3"/>
        <v>49215.78</v>
      </c>
      <c r="E46" s="11">
        <f t="shared" si="4"/>
        <v>0.3155842983</v>
      </c>
    </row>
    <row r="47">
      <c r="C47" s="4" t="s">
        <v>2</v>
      </c>
      <c r="D47" s="10">
        <f t="shared" si="3"/>
        <v>26936.07</v>
      </c>
      <c r="E47" s="11">
        <f t="shared" si="4"/>
        <v>0.1727210409</v>
      </c>
    </row>
    <row r="48">
      <c r="D48" s="5">
        <f>SUM(D40:D47)</f>
        <v>155951.295</v>
      </c>
    </row>
  </sheetData>
  <autoFilter ref="$A$4:$E$27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45</v>
      </c>
    </row>
    <row r="2">
      <c r="D2" s="4" t="s">
        <v>9</v>
      </c>
      <c r="E2" s="3">
        <v>45722.0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21">
        <v>7353.92</v>
      </c>
      <c r="E5" s="4" t="s">
        <v>15</v>
      </c>
      <c r="F5" s="4">
        <v>9836.0</v>
      </c>
    </row>
    <row r="6">
      <c r="A6" s="4" t="s">
        <v>3</v>
      </c>
      <c r="B6" s="4" t="s">
        <v>16</v>
      </c>
      <c r="C6" s="4">
        <v>0.0</v>
      </c>
      <c r="D6" s="21">
        <v>0.0</v>
      </c>
      <c r="E6" s="4" t="s">
        <v>15</v>
      </c>
      <c r="F6" s="4">
        <v>5129.85</v>
      </c>
    </row>
    <row r="7">
      <c r="A7" s="4" t="s">
        <v>3</v>
      </c>
      <c r="B7" s="4" t="s">
        <v>29</v>
      </c>
      <c r="C7" s="4">
        <v>180.0</v>
      </c>
      <c r="D7" s="21">
        <v>0.0</v>
      </c>
      <c r="E7" s="4" t="s">
        <v>15</v>
      </c>
      <c r="F7" s="4">
        <v>1533.24</v>
      </c>
    </row>
    <row r="8">
      <c r="A8" s="4" t="s">
        <v>3</v>
      </c>
      <c r="B8" s="4" t="s">
        <v>21</v>
      </c>
      <c r="C8" s="4">
        <v>120.0</v>
      </c>
      <c r="D8" s="21">
        <v>1668.0</v>
      </c>
      <c r="E8" s="4" t="s">
        <v>21</v>
      </c>
      <c r="F8" s="4">
        <v>1231.8</v>
      </c>
    </row>
    <row r="9">
      <c r="A9" s="4" t="s">
        <v>3</v>
      </c>
      <c r="B9" s="4" t="s">
        <v>43</v>
      </c>
      <c r="C9" s="4">
        <v>5000.0</v>
      </c>
      <c r="D9" s="21">
        <v>0.0</v>
      </c>
      <c r="E9" s="4" t="s">
        <v>21</v>
      </c>
    </row>
    <row r="10">
      <c r="A10" s="4" t="s">
        <v>4</v>
      </c>
      <c r="B10" s="4" t="s">
        <v>18</v>
      </c>
      <c r="D10" s="21">
        <v>11494.69</v>
      </c>
      <c r="E10" s="4" t="s">
        <v>35</v>
      </c>
    </row>
    <row r="11">
      <c r="A11" s="4" t="s">
        <v>5</v>
      </c>
      <c r="B11" s="4" t="s">
        <v>33</v>
      </c>
      <c r="D11" s="21">
        <v>0.0</v>
      </c>
      <c r="E11" s="4" t="s">
        <v>19</v>
      </c>
      <c r="F11" s="11"/>
    </row>
    <row r="12">
      <c r="A12" s="4" t="s">
        <v>5</v>
      </c>
      <c r="B12" s="4" t="s">
        <v>5</v>
      </c>
      <c r="D12" s="21">
        <v>0.0</v>
      </c>
      <c r="E12" s="4" t="s">
        <v>21</v>
      </c>
    </row>
    <row r="13">
      <c r="A13" s="4" t="s">
        <v>3</v>
      </c>
      <c r="B13" s="4" t="s">
        <v>20</v>
      </c>
      <c r="D13" s="21">
        <v>17669.82</v>
      </c>
      <c r="E13" s="4" t="s">
        <v>21</v>
      </c>
      <c r="F13" s="4">
        <v>11791.47</v>
      </c>
    </row>
    <row r="14">
      <c r="A14" s="4" t="s">
        <v>3</v>
      </c>
      <c r="B14" s="4" t="s">
        <v>20</v>
      </c>
      <c r="D14" s="21">
        <v>4163.76</v>
      </c>
      <c r="E14" s="4" t="s">
        <v>44</v>
      </c>
      <c r="F14" s="4">
        <v>1447.7</v>
      </c>
    </row>
    <row r="15">
      <c r="A15" s="4" t="s">
        <v>6</v>
      </c>
      <c r="B15" s="4" t="s">
        <v>22</v>
      </c>
      <c r="D15" s="21">
        <v>1256.13</v>
      </c>
      <c r="E15" s="4" t="s">
        <v>6</v>
      </c>
      <c r="O15" s="4">
        <v>43.0</v>
      </c>
      <c r="P15" s="4">
        <v>50.0</v>
      </c>
    </row>
    <row r="16">
      <c r="A16" s="4" t="s">
        <v>6</v>
      </c>
      <c r="B16" s="4" t="s">
        <v>23</v>
      </c>
      <c r="D16" s="21">
        <v>0.0</v>
      </c>
      <c r="E16" s="4" t="s">
        <v>6</v>
      </c>
      <c r="O16" s="4">
        <v>38.0</v>
      </c>
      <c r="P16" s="4">
        <v>67.0</v>
      </c>
    </row>
    <row r="17">
      <c r="A17" s="4" t="s">
        <v>6</v>
      </c>
      <c r="B17" s="4" t="s">
        <v>24</v>
      </c>
      <c r="D17" s="21">
        <v>0.0</v>
      </c>
      <c r="E17" s="4" t="s">
        <v>6</v>
      </c>
      <c r="O17" s="4">
        <v>37.0</v>
      </c>
    </row>
    <row r="18">
      <c r="A18" s="4" t="s">
        <v>6</v>
      </c>
      <c r="B18" s="4" t="s">
        <v>25</v>
      </c>
      <c r="D18" s="21">
        <v>0.0</v>
      </c>
      <c r="E18" s="4" t="s">
        <v>6</v>
      </c>
    </row>
    <row r="19">
      <c r="A19" s="4" t="s">
        <v>7</v>
      </c>
      <c r="B19" s="4" t="s">
        <v>30</v>
      </c>
      <c r="D19" s="21">
        <f>+12487.19/2</f>
        <v>6243.595</v>
      </c>
      <c r="E19" s="4" t="s">
        <v>36</v>
      </c>
      <c r="F19" s="10">
        <f>D19+D20</f>
        <v>6673.34</v>
      </c>
      <c r="G19" s="9">
        <f>F19*2</f>
        <v>13346.68</v>
      </c>
    </row>
    <row r="20">
      <c r="A20" s="4" t="s">
        <v>7</v>
      </c>
      <c r="B20" s="4" t="s">
        <v>30</v>
      </c>
      <c r="D20" s="21">
        <f>859.49/2</f>
        <v>429.745</v>
      </c>
      <c r="E20" s="4" t="s">
        <v>21</v>
      </c>
    </row>
    <row r="21">
      <c r="A21" s="4" t="s">
        <v>7</v>
      </c>
      <c r="B21" s="4" t="s">
        <v>31</v>
      </c>
      <c r="D21" s="21">
        <v>3101.47</v>
      </c>
      <c r="E21" s="4" t="s">
        <v>21</v>
      </c>
    </row>
    <row r="22">
      <c r="A22" s="4" t="s">
        <v>7</v>
      </c>
      <c r="B22" s="4" t="s">
        <v>7</v>
      </c>
      <c r="D22" s="21">
        <v>51.23</v>
      </c>
      <c r="E22" s="4" t="s">
        <v>34</v>
      </c>
    </row>
    <row r="23">
      <c r="A23" s="4" t="s">
        <v>7</v>
      </c>
      <c r="B23" s="4" t="s">
        <v>7</v>
      </c>
      <c r="D23" s="21">
        <v>9897.92</v>
      </c>
      <c r="E23" s="4" t="s">
        <v>35</v>
      </c>
    </row>
    <row r="24">
      <c r="A24" s="4" t="s">
        <v>7</v>
      </c>
      <c r="B24" s="4" t="s">
        <v>7</v>
      </c>
      <c r="D24" s="21">
        <v>1697.85</v>
      </c>
      <c r="E24" s="4" t="s">
        <v>15</v>
      </c>
    </row>
    <row r="25">
      <c r="A25" s="4" t="s">
        <v>1</v>
      </c>
      <c r="B25" s="4" t="s">
        <v>32</v>
      </c>
      <c r="D25" s="21">
        <f>(110000-64467.76)*0.5</f>
        <v>22766.12</v>
      </c>
    </row>
    <row r="26">
      <c r="A26" s="4" t="s">
        <v>2</v>
      </c>
      <c r="D26" s="21">
        <f>(75000+50921.66-4789.8-31728.1-34394.31)/2</f>
        <v>27504.725</v>
      </c>
    </row>
    <row r="27">
      <c r="A27" s="4" t="s">
        <v>0</v>
      </c>
      <c r="B27" s="4" t="s">
        <v>46</v>
      </c>
      <c r="D27" s="21">
        <f>175000+10000-135420.72</f>
        <v>49579.28</v>
      </c>
    </row>
    <row r="28">
      <c r="E28" s="11"/>
    </row>
    <row r="29">
      <c r="C29" s="6" t="s">
        <v>3</v>
      </c>
      <c r="D29" s="10">
        <f t="shared" ref="D29:D35" si="1">SUMIF($A$5:$A$27,C29,$D$5:$D$27)</f>
        <v>30855.5</v>
      </c>
      <c r="E29" s="11">
        <f t="shared" ref="E29:E35" si="2">D29/$D$36</f>
        <v>0.2676129601</v>
      </c>
    </row>
    <row r="30">
      <c r="C30" s="6" t="s">
        <v>4</v>
      </c>
      <c r="D30" s="10">
        <f t="shared" si="1"/>
        <v>11494.69</v>
      </c>
      <c r="E30" s="11">
        <f t="shared" si="2"/>
        <v>0.09969464169</v>
      </c>
    </row>
    <row r="31">
      <c r="C31" s="6" t="s">
        <v>5</v>
      </c>
      <c r="D31" s="10">
        <f t="shared" si="1"/>
        <v>0</v>
      </c>
      <c r="E31" s="11">
        <f t="shared" si="2"/>
        <v>0</v>
      </c>
    </row>
    <row r="32">
      <c r="C32" s="6" t="s">
        <v>6</v>
      </c>
      <c r="D32" s="10">
        <f t="shared" si="1"/>
        <v>1256.13</v>
      </c>
      <c r="E32" s="11">
        <f t="shared" si="2"/>
        <v>0.01089454611</v>
      </c>
    </row>
    <row r="33">
      <c r="C33" s="6" t="s">
        <v>7</v>
      </c>
      <c r="D33" s="10">
        <f t="shared" si="1"/>
        <v>21421.81</v>
      </c>
      <c r="E33" s="11">
        <f t="shared" si="2"/>
        <v>0.1857935858</v>
      </c>
      <c r="F33" s="10">
        <f>D33-F19</f>
        <v>14748.47</v>
      </c>
    </row>
    <row r="34">
      <c r="C34" s="4" t="s">
        <v>1</v>
      </c>
      <c r="D34" s="10">
        <f t="shared" si="1"/>
        <v>22766.12</v>
      </c>
      <c r="E34" s="11">
        <f t="shared" si="2"/>
        <v>0.1974529262</v>
      </c>
    </row>
    <row r="35">
      <c r="C35" s="4" t="s">
        <v>2</v>
      </c>
      <c r="D35" s="10">
        <f t="shared" si="1"/>
        <v>27504.725</v>
      </c>
      <c r="E35" s="11">
        <f t="shared" si="2"/>
        <v>0.2385513401</v>
      </c>
    </row>
    <row r="36">
      <c r="D36" s="5">
        <f>SUM($D$29:D35)</f>
        <v>115298.975</v>
      </c>
      <c r="E36" s="11"/>
    </row>
    <row r="37">
      <c r="D37" s="12"/>
    </row>
    <row r="40">
      <c r="C40" s="6" t="s">
        <v>3</v>
      </c>
      <c r="D40" s="10">
        <f t="shared" ref="D40:D47" si="3">SUMIF($A$5:$A$27,C40,$D$5:$D$27)</f>
        <v>30855.5</v>
      </c>
      <c r="E40" s="11">
        <f t="shared" ref="E40:E47" si="4">D40/$D$48</f>
        <v>0.1871411121</v>
      </c>
    </row>
    <row r="41">
      <c r="C41" s="6" t="s">
        <v>4</v>
      </c>
      <c r="D41" s="10">
        <f t="shared" si="3"/>
        <v>11494.69</v>
      </c>
      <c r="E41" s="11">
        <f t="shared" si="4"/>
        <v>0.06971622789</v>
      </c>
    </row>
    <row r="42">
      <c r="C42" s="6" t="s">
        <v>5</v>
      </c>
      <c r="D42" s="10">
        <f t="shared" si="3"/>
        <v>0</v>
      </c>
      <c r="E42" s="11">
        <f t="shared" si="4"/>
        <v>0</v>
      </c>
    </row>
    <row r="43">
      <c r="C43" s="6" t="s">
        <v>6</v>
      </c>
      <c r="D43" s="10">
        <f t="shared" si="3"/>
        <v>1256.13</v>
      </c>
      <c r="E43" s="11">
        <f t="shared" si="4"/>
        <v>0.007618530412</v>
      </c>
    </row>
    <row r="44">
      <c r="C44" s="6" t="s">
        <v>7</v>
      </c>
      <c r="D44" s="10">
        <f t="shared" si="3"/>
        <v>21421.81</v>
      </c>
      <c r="E44" s="11">
        <f t="shared" si="4"/>
        <v>0.1299250165</v>
      </c>
    </row>
    <row r="45">
      <c r="C45" s="4" t="s">
        <v>1</v>
      </c>
      <c r="D45" s="10">
        <f t="shared" si="3"/>
        <v>22766.12</v>
      </c>
      <c r="E45" s="11">
        <f t="shared" si="4"/>
        <v>0.1380783658</v>
      </c>
    </row>
    <row r="46">
      <c r="C46" s="4" t="s">
        <v>0</v>
      </c>
      <c r="D46" s="10">
        <f t="shared" si="3"/>
        <v>49579.28</v>
      </c>
      <c r="E46" s="11">
        <f t="shared" si="4"/>
        <v>0.3007023576</v>
      </c>
    </row>
    <row r="47">
      <c r="C47" s="4" t="s">
        <v>2</v>
      </c>
      <c r="D47" s="10">
        <f t="shared" si="3"/>
        <v>27504.725</v>
      </c>
      <c r="E47" s="11">
        <f t="shared" si="4"/>
        <v>0.1668183897</v>
      </c>
    </row>
    <row r="48">
      <c r="D48" s="5">
        <f>SUM(D40:D47)</f>
        <v>164878.255</v>
      </c>
    </row>
  </sheetData>
  <autoFilter ref="$A$4:$E$27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45</v>
      </c>
    </row>
    <row r="2">
      <c r="D2" s="4" t="s">
        <v>9</v>
      </c>
      <c r="E2" s="3">
        <v>45722.0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21">
        <v>7608.72</v>
      </c>
      <c r="E5" s="4" t="s">
        <v>15</v>
      </c>
      <c r="F5" s="4">
        <v>9836.0</v>
      </c>
    </row>
    <row r="6">
      <c r="A6" s="4" t="s">
        <v>3</v>
      </c>
      <c r="B6" s="4" t="s">
        <v>16</v>
      </c>
      <c r="C6" s="4">
        <v>0.0</v>
      </c>
      <c r="D6" s="21">
        <v>0.0</v>
      </c>
      <c r="E6" s="4" t="s">
        <v>15</v>
      </c>
      <c r="F6" s="4">
        <v>5129.85</v>
      </c>
    </row>
    <row r="7">
      <c r="A7" s="4" t="s">
        <v>3</v>
      </c>
      <c r="B7" s="4" t="s">
        <v>29</v>
      </c>
      <c r="C7" s="4">
        <v>180.0</v>
      </c>
      <c r="D7" s="21">
        <v>0.0</v>
      </c>
      <c r="E7" s="4" t="s">
        <v>15</v>
      </c>
      <c r="F7" s="4">
        <v>1533.24</v>
      </c>
    </row>
    <row r="8">
      <c r="A8" s="4" t="s">
        <v>3</v>
      </c>
      <c r="B8" s="4" t="s">
        <v>21</v>
      </c>
      <c r="C8" s="4">
        <v>120.0</v>
      </c>
      <c r="D8" s="21">
        <v>1648.8</v>
      </c>
      <c r="E8" s="4" t="s">
        <v>21</v>
      </c>
      <c r="F8" s="4">
        <v>1231.8</v>
      </c>
    </row>
    <row r="9">
      <c r="A9" s="4" t="s">
        <v>3</v>
      </c>
      <c r="B9" s="4" t="s">
        <v>43</v>
      </c>
      <c r="C9" s="4">
        <v>5000.0</v>
      </c>
      <c r="D9" s="21">
        <v>0.0</v>
      </c>
      <c r="E9" s="4" t="s">
        <v>21</v>
      </c>
    </row>
    <row r="10">
      <c r="A10" s="4" t="s">
        <v>4</v>
      </c>
      <c r="B10" s="4" t="s">
        <v>18</v>
      </c>
      <c r="D10" s="21">
        <v>11938.75</v>
      </c>
      <c r="E10" s="4" t="s">
        <v>35</v>
      </c>
    </row>
    <row r="11">
      <c r="A11" s="4" t="s">
        <v>5</v>
      </c>
      <c r="B11" s="4" t="s">
        <v>33</v>
      </c>
      <c r="D11" s="21">
        <v>0.0</v>
      </c>
      <c r="E11" s="4" t="s">
        <v>19</v>
      </c>
      <c r="F11" s="11"/>
    </row>
    <row r="12">
      <c r="A12" s="4" t="s">
        <v>5</v>
      </c>
      <c r="B12" s="4" t="s">
        <v>5</v>
      </c>
      <c r="D12" s="21">
        <v>0.0</v>
      </c>
      <c r="E12" s="4" t="s">
        <v>21</v>
      </c>
    </row>
    <row r="13">
      <c r="A13" s="4" t="s">
        <v>3</v>
      </c>
      <c r="B13" s="4" t="s">
        <v>20</v>
      </c>
      <c r="D13" s="21">
        <v>18500.54</v>
      </c>
      <c r="E13" s="4" t="s">
        <v>21</v>
      </c>
      <c r="F13" s="4">
        <v>11791.47</v>
      </c>
    </row>
    <row r="14">
      <c r="A14" s="4" t="s">
        <v>3</v>
      </c>
      <c r="B14" s="4" t="s">
        <v>20</v>
      </c>
      <c r="D14" s="21">
        <v>4461.03</v>
      </c>
      <c r="E14" s="4" t="s">
        <v>44</v>
      </c>
      <c r="F14" s="4">
        <v>1447.7</v>
      </c>
    </row>
    <row r="15">
      <c r="A15" s="4" t="s">
        <v>6</v>
      </c>
      <c r="B15" s="4" t="s">
        <v>22</v>
      </c>
      <c r="D15" s="21">
        <v>1405.99</v>
      </c>
      <c r="E15" s="4" t="s">
        <v>6</v>
      </c>
      <c r="O15" s="4">
        <v>43.0</v>
      </c>
      <c r="P15" s="4">
        <v>50.0</v>
      </c>
    </row>
    <row r="16">
      <c r="A16" s="4" t="s">
        <v>6</v>
      </c>
      <c r="B16" s="4" t="s">
        <v>23</v>
      </c>
      <c r="D16" s="21">
        <v>0.0</v>
      </c>
      <c r="E16" s="4" t="s">
        <v>6</v>
      </c>
      <c r="O16" s="4">
        <v>38.0</v>
      </c>
      <c r="P16" s="4">
        <v>67.0</v>
      </c>
    </row>
    <row r="17">
      <c r="A17" s="4" t="s">
        <v>6</v>
      </c>
      <c r="B17" s="4" t="s">
        <v>24</v>
      </c>
      <c r="D17" s="21">
        <v>0.0</v>
      </c>
      <c r="E17" s="4" t="s">
        <v>6</v>
      </c>
      <c r="O17" s="4">
        <v>37.0</v>
      </c>
    </row>
    <row r="18">
      <c r="A18" s="4" t="s">
        <v>6</v>
      </c>
      <c r="B18" s="4" t="s">
        <v>25</v>
      </c>
      <c r="D18" s="21">
        <v>0.0</v>
      </c>
      <c r="E18" s="4" t="s">
        <v>6</v>
      </c>
    </row>
    <row r="19">
      <c r="A19" s="4" t="s">
        <v>7</v>
      </c>
      <c r="B19" s="4" t="s">
        <v>30</v>
      </c>
      <c r="D19" s="21">
        <f>+12059.37/2</f>
        <v>6029.685</v>
      </c>
      <c r="E19" s="4" t="s">
        <v>36</v>
      </c>
    </row>
    <row r="20">
      <c r="A20" s="4" t="s">
        <v>7</v>
      </c>
      <c r="B20" s="4" t="s">
        <v>30</v>
      </c>
      <c r="D20" s="21">
        <f>761/2</f>
        <v>380.5</v>
      </c>
      <c r="E20" s="4" t="s">
        <v>21</v>
      </c>
    </row>
    <row r="21">
      <c r="A21" s="4" t="s">
        <v>7</v>
      </c>
      <c r="B21" s="4" t="s">
        <v>31</v>
      </c>
      <c r="D21" s="21">
        <v>4915.48</v>
      </c>
      <c r="E21" s="4" t="s">
        <v>21</v>
      </c>
    </row>
    <row r="22">
      <c r="A22" s="4" t="s">
        <v>7</v>
      </c>
      <c r="B22" s="4" t="s">
        <v>7</v>
      </c>
      <c r="D22" s="21">
        <v>831.2</v>
      </c>
      <c r="E22" s="4" t="s">
        <v>34</v>
      </c>
    </row>
    <row r="23">
      <c r="A23" s="4" t="s">
        <v>7</v>
      </c>
      <c r="B23" s="4" t="s">
        <v>7</v>
      </c>
      <c r="D23" s="21">
        <v>16771.53</v>
      </c>
      <c r="E23" s="4" t="s">
        <v>35</v>
      </c>
    </row>
    <row r="24">
      <c r="A24" s="4" t="s">
        <v>7</v>
      </c>
      <c r="B24" s="4" t="s">
        <v>7</v>
      </c>
      <c r="D24" s="21">
        <v>2673.55</v>
      </c>
      <c r="E24" s="4" t="s">
        <v>15</v>
      </c>
    </row>
    <row r="25">
      <c r="A25" s="4" t="s">
        <v>1</v>
      </c>
      <c r="B25" s="4" t="s">
        <v>32</v>
      </c>
      <c r="D25" s="21">
        <f>(110000-64232.91)*0.5</f>
        <v>22883.545</v>
      </c>
    </row>
    <row r="26">
      <c r="A26" s="4" t="s">
        <v>2</v>
      </c>
      <c r="D26" s="21">
        <f>(75000+47352.97-31455.07-34129.46)/2</f>
        <v>28384.22</v>
      </c>
    </row>
    <row r="27">
      <c r="A27" s="4" t="s">
        <v>0</v>
      </c>
      <c r="B27" s="4" t="s">
        <v>28</v>
      </c>
      <c r="D27" s="21">
        <f>175000-135056.53</f>
        <v>39943.47</v>
      </c>
    </row>
    <row r="28">
      <c r="E28" s="11"/>
    </row>
    <row r="29">
      <c r="C29" s="6" t="s">
        <v>3</v>
      </c>
      <c r="D29" s="10">
        <f t="shared" ref="D29:D35" si="1">SUMIF($A$5:$A$27,C29,$D$5:$D$27)</f>
        <v>32219.09</v>
      </c>
      <c r="E29" s="11">
        <f t="shared" ref="E29:E35" si="2">D29/$D$36</f>
        <v>0.2508619633</v>
      </c>
    </row>
    <row r="30">
      <c r="C30" s="6" t="s">
        <v>4</v>
      </c>
      <c r="D30" s="10">
        <f t="shared" si="1"/>
        <v>11938.75</v>
      </c>
      <c r="E30" s="11">
        <f t="shared" si="2"/>
        <v>0.09295663734</v>
      </c>
    </row>
    <row r="31">
      <c r="C31" s="6" t="s">
        <v>5</v>
      </c>
      <c r="D31" s="10">
        <f t="shared" si="1"/>
        <v>0</v>
      </c>
      <c r="E31" s="11">
        <f t="shared" si="2"/>
        <v>0</v>
      </c>
    </row>
    <row r="32">
      <c r="C32" s="6" t="s">
        <v>6</v>
      </c>
      <c r="D32" s="10">
        <f t="shared" si="1"/>
        <v>1405.99</v>
      </c>
      <c r="E32" s="11">
        <f t="shared" si="2"/>
        <v>0.0109472183</v>
      </c>
    </row>
    <row r="33">
      <c r="C33" s="6" t="s">
        <v>7</v>
      </c>
      <c r="D33" s="10">
        <f t="shared" si="1"/>
        <v>31601.945</v>
      </c>
      <c r="E33" s="11">
        <f t="shared" si="2"/>
        <v>0.2460567933</v>
      </c>
      <c r="F33" s="10">
        <f>D33-F19</f>
        <v>31601.945</v>
      </c>
    </row>
    <row r="34">
      <c r="C34" s="4" t="s">
        <v>1</v>
      </c>
      <c r="D34" s="10">
        <f t="shared" si="1"/>
        <v>22883.545</v>
      </c>
      <c r="E34" s="11">
        <f t="shared" si="2"/>
        <v>0.1781742137</v>
      </c>
    </row>
    <row r="35">
      <c r="C35" s="4" t="s">
        <v>2</v>
      </c>
      <c r="D35" s="10">
        <f t="shared" si="1"/>
        <v>28384.22</v>
      </c>
      <c r="E35" s="11">
        <f t="shared" si="2"/>
        <v>0.2210031741</v>
      </c>
    </row>
    <row r="36">
      <c r="D36" s="5">
        <f>SUM($D$29:D35)</f>
        <v>128433.54</v>
      </c>
      <c r="E36" s="11"/>
    </row>
    <row r="37">
      <c r="D37" s="12"/>
    </row>
    <row r="40">
      <c r="C40" s="6" t="s">
        <v>3</v>
      </c>
      <c r="D40" s="10">
        <f t="shared" ref="D40:D47" si="3">SUMIF($A$5:$A$27,C40,$D$5:$D$27)</f>
        <v>32219.09</v>
      </c>
      <c r="E40" s="11">
        <f t="shared" ref="E40:E47" si="4">D40/$D$48</f>
        <v>0.1913508857</v>
      </c>
    </row>
    <row r="41">
      <c r="C41" s="6" t="s">
        <v>4</v>
      </c>
      <c r="D41" s="10">
        <f t="shared" si="3"/>
        <v>11938.75</v>
      </c>
      <c r="E41" s="11">
        <f t="shared" si="4"/>
        <v>0.07090486997</v>
      </c>
    </row>
    <row r="42">
      <c r="C42" s="6" t="s">
        <v>5</v>
      </c>
      <c r="D42" s="10">
        <f t="shared" si="3"/>
        <v>0</v>
      </c>
      <c r="E42" s="11">
        <f t="shared" si="4"/>
        <v>0</v>
      </c>
    </row>
    <row r="43">
      <c r="C43" s="6" t="s">
        <v>6</v>
      </c>
      <c r="D43" s="10">
        <f t="shared" si="3"/>
        <v>1405.99</v>
      </c>
      <c r="E43" s="11">
        <f t="shared" si="4"/>
        <v>0.008350249241</v>
      </c>
    </row>
    <row r="44">
      <c r="C44" s="6" t="s">
        <v>7</v>
      </c>
      <c r="D44" s="10">
        <f t="shared" si="3"/>
        <v>31601.945</v>
      </c>
      <c r="E44" s="11">
        <f t="shared" si="4"/>
        <v>0.1876856288</v>
      </c>
    </row>
    <row r="45">
      <c r="C45" s="4" t="s">
        <v>1</v>
      </c>
      <c r="D45" s="10">
        <f t="shared" si="3"/>
        <v>22883.545</v>
      </c>
      <c r="E45" s="11">
        <f t="shared" si="4"/>
        <v>0.1359065884</v>
      </c>
    </row>
    <row r="46">
      <c r="C46" s="4" t="s">
        <v>0</v>
      </c>
      <c r="D46" s="10">
        <f t="shared" si="3"/>
        <v>39943.47</v>
      </c>
      <c r="E46" s="11">
        <f t="shared" si="4"/>
        <v>0.2372263886</v>
      </c>
    </row>
    <row r="47">
      <c r="C47" s="4" t="s">
        <v>2</v>
      </c>
      <c r="D47" s="10">
        <f t="shared" si="3"/>
        <v>28384.22</v>
      </c>
      <c r="E47" s="11">
        <f t="shared" si="4"/>
        <v>0.1685753892</v>
      </c>
    </row>
    <row r="48">
      <c r="D48" s="5">
        <f>SUM(D40:D47)</f>
        <v>168377.01</v>
      </c>
    </row>
  </sheetData>
  <autoFilter ref="$A$4:$E$27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45</v>
      </c>
    </row>
    <row r="2">
      <c r="D2" s="4" t="s">
        <v>9</v>
      </c>
      <c r="E2" s="3">
        <v>45722.0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>
      <c r="A5" s="4" t="s">
        <v>3</v>
      </c>
      <c r="B5" s="4" t="s">
        <v>15</v>
      </c>
      <c r="C5" s="4">
        <v>792.0</v>
      </c>
      <c r="D5" s="21">
        <v>8914.08</v>
      </c>
      <c r="E5" s="4" t="s">
        <v>15</v>
      </c>
    </row>
    <row r="6">
      <c r="A6" s="4" t="s">
        <v>3</v>
      </c>
      <c r="B6" s="4" t="s">
        <v>47</v>
      </c>
      <c r="C6" s="4">
        <v>20.0</v>
      </c>
      <c r="D6" s="21">
        <f>1553/1.14</f>
        <v>1362.280702</v>
      </c>
      <c r="E6" s="4" t="s">
        <v>21</v>
      </c>
    </row>
    <row r="7">
      <c r="A7" s="4" t="s">
        <v>3</v>
      </c>
      <c r="B7" s="4" t="s">
        <v>48</v>
      </c>
      <c r="C7" s="4">
        <v>10.0</v>
      </c>
      <c r="D7" s="21">
        <f>1402.7/1.14</f>
        <v>1230.438596</v>
      </c>
      <c r="E7" s="4" t="s">
        <v>21</v>
      </c>
    </row>
    <row r="8">
      <c r="A8" s="4" t="s">
        <v>3</v>
      </c>
      <c r="B8" s="4" t="s">
        <v>21</v>
      </c>
      <c r="C8" s="4">
        <v>120.0</v>
      </c>
      <c r="D8" s="21">
        <v>1809.6</v>
      </c>
      <c r="E8" s="4" t="s">
        <v>21</v>
      </c>
    </row>
    <row r="9">
      <c r="A9" s="4" t="s">
        <v>3</v>
      </c>
      <c r="B9" s="4" t="s">
        <v>43</v>
      </c>
      <c r="C9" s="4">
        <v>5000.0</v>
      </c>
      <c r="D9" s="21">
        <v>0.0</v>
      </c>
      <c r="E9" s="4" t="s">
        <v>21</v>
      </c>
    </row>
    <row r="10">
      <c r="A10" s="4" t="s">
        <v>4</v>
      </c>
      <c r="B10" s="4" t="s">
        <v>18</v>
      </c>
      <c r="D10" s="21">
        <v>11975.7</v>
      </c>
      <c r="E10" s="4" t="s">
        <v>35</v>
      </c>
    </row>
    <row r="11">
      <c r="A11" s="4" t="s">
        <v>5</v>
      </c>
      <c r="B11" s="4" t="s">
        <v>33</v>
      </c>
      <c r="D11" s="21">
        <v>0.0</v>
      </c>
      <c r="E11" s="4" t="s">
        <v>19</v>
      </c>
      <c r="F11" s="11"/>
    </row>
    <row r="12">
      <c r="A12" s="4" t="s">
        <v>5</v>
      </c>
      <c r="B12" s="4" t="s">
        <v>5</v>
      </c>
      <c r="D12" s="21">
        <v>0.0</v>
      </c>
      <c r="E12" s="4" t="s">
        <v>21</v>
      </c>
    </row>
    <row r="13">
      <c r="A13" s="4" t="s">
        <v>3</v>
      </c>
      <c r="B13" s="4" t="s">
        <v>20</v>
      </c>
      <c r="D13" s="21">
        <v>18713.36</v>
      </c>
      <c r="E13" s="4" t="s">
        <v>21</v>
      </c>
    </row>
    <row r="14">
      <c r="A14" s="4" t="s">
        <v>3</v>
      </c>
      <c r="B14" s="4" t="s">
        <v>20</v>
      </c>
      <c r="D14" s="21">
        <v>4631.98</v>
      </c>
      <c r="E14" s="4" t="s">
        <v>44</v>
      </c>
    </row>
    <row r="15">
      <c r="A15" s="4" t="s">
        <v>6</v>
      </c>
      <c r="B15" s="4" t="s">
        <v>22</v>
      </c>
      <c r="D15" s="21">
        <v>1180.94</v>
      </c>
      <c r="E15" s="4" t="s">
        <v>6</v>
      </c>
      <c r="O15" s="4">
        <v>43.0</v>
      </c>
      <c r="P15" s="4">
        <v>50.0</v>
      </c>
    </row>
    <row r="16">
      <c r="A16" s="4" t="s">
        <v>6</v>
      </c>
      <c r="B16" s="4" t="s">
        <v>23</v>
      </c>
      <c r="D16" s="21">
        <v>0.0</v>
      </c>
      <c r="E16" s="4" t="s">
        <v>6</v>
      </c>
      <c r="O16" s="4">
        <v>38.0</v>
      </c>
      <c r="P16" s="4">
        <v>67.0</v>
      </c>
    </row>
    <row r="17">
      <c r="A17" s="4" t="s">
        <v>6</v>
      </c>
      <c r="B17" s="4" t="s">
        <v>24</v>
      </c>
      <c r="D17" s="21">
        <v>0.0</v>
      </c>
      <c r="E17" s="4" t="s">
        <v>6</v>
      </c>
      <c r="O17" s="4">
        <v>37.0</v>
      </c>
    </row>
    <row r="18">
      <c r="A18" s="4" t="s">
        <v>6</v>
      </c>
      <c r="B18" s="4" t="s">
        <v>25</v>
      </c>
      <c r="D18" s="21">
        <v>0.0</v>
      </c>
      <c r="E18" s="4" t="s">
        <v>6</v>
      </c>
    </row>
    <row r="19">
      <c r="A19" s="4" t="s">
        <v>7</v>
      </c>
      <c r="B19" s="4" t="s">
        <v>30</v>
      </c>
      <c r="D19" s="21">
        <f>+11686.78/2</f>
        <v>5843.39</v>
      </c>
      <c r="E19" s="4" t="s">
        <v>36</v>
      </c>
    </row>
    <row r="20">
      <c r="A20" s="4" t="s">
        <v>7</v>
      </c>
      <c r="B20" s="4" t="s">
        <v>30</v>
      </c>
      <c r="D20" s="21">
        <f>1022.09/2</f>
        <v>511.045</v>
      </c>
      <c r="E20" s="4" t="s">
        <v>21</v>
      </c>
    </row>
    <row r="21">
      <c r="A21" s="4" t="s">
        <v>7</v>
      </c>
      <c r="B21" s="4" t="s">
        <v>31</v>
      </c>
      <c r="D21" s="21">
        <v>1150.13</v>
      </c>
      <c r="E21" s="4" t="s">
        <v>21</v>
      </c>
    </row>
    <row r="22">
      <c r="A22" s="4" t="s">
        <v>7</v>
      </c>
      <c r="B22" s="4" t="s">
        <v>7</v>
      </c>
      <c r="D22" s="21">
        <v>1046.38</v>
      </c>
      <c r="E22" s="4" t="s">
        <v>34</v>
      </c>
    </row>
    <row r="23">
      <c r="A23" s="4" t="s">
        <v>7</v>
      </c>
      <c r="B23" s="4" t="s">
        <v>7</v>
      </c>
      <c r="D23" s="21">
        <v>18613.66</v>
      </c>
      <c r="E23" s="4" t="s">
        <v>35</v>
      </c>
    </row>
    <row r="24">
      <c r="A24" s="4" t="s">
        <v>7</v>
      </c>
      <c r="B24" s="4" t="s">
        <v>7</v>
      </c>
      <c r="D24" s="21">
        <v>3596.41</v>
      </c>
      <c r="E24" s="4" t="s">
        <v>15</v>
      </c>
    </row>
    <row r="25">
      <c r="A25" s="4" t="s">
        <v>1</v>
      </c>
      <c r="B25" s="4" t="s">
        <v>32</v>
      </c>
      <c r="D25" s="21">
        <f>(110000-63997.4)*0.5</f>
        <v>23001.3</v>
      </c>
    </row>
    <row r="26">
      <c r="A26" s="4" t="s">
        <v>2</v>
      </c>
      <c r="D26" s="21">
        <f>(75000+45164.28-31180.9-33863.62)/2</f>
        <v>27559.88</v>
      </c>
    </row>
    <row r="27">
      <c r="A27" s="4" t="s">
        <v>0</v>
      </c>
      <c r="B27" s="4" t="s">
        <v>28</v>
      </c>
      <c r="D27" s="21">
        <f>175000-134691.66</f>
        <v>40308.34</v>
      </c>
    </row>
    <row r="28">
      <c r="E28" s="11"/>
    </row>
    <row r="29">
      <c r="C29" s="6" t="s">
        <v>3</v>
      </c>
      <c r="D29" s="10">
        <f t="shared" ref="D29:D35" si="1">SUMIF($A$5:$A$27,C29,$D$5:$D$27)</f>
        <v>36661.7393</v>
      </c>
      <c r="E29" s="11">
        <f t="shared" ref="E29:E35" si="2">D29/$D$36</f>
        <v>0.2795606127</v>
      </c>
    </row>
    <row r="30">
      <c r="C30" s="6" t="s">
        <v>4</v>
      </c>
      <c r="D30" s="10">
        <f t="shared" si="1"/>
        <v>11975.7</v>
      </c>
      <c r="E30" s="11">
        <f t="shared" si="2"/>
        <v>0.09131956348</v>
      </c>
    </row>
    <row r="31">
      <c r="C31" s="6" t="s">
        <v>5</v>
      </c>
      <c r="D31" s="10">
        <f t="shared" si="1"/>
        <v>0</v>
      </c>
      <c r="E31" s="11">
        <f t="shared" si="2"/>
        <v>0</v>
      </c>
    </row>
    <row r="32">
      <c r="C32" s="6" t="s">
        <v>6</v>
      </c>
      <c r="D32" s="10">
        <f t="shared" si="1"/>
        <v>1180.94</v>
      </c>
      <c r="E32" s="11">
        <f t="shared" si="2"/>
        <v>0.009005145862</v>
      </c>
    </row>
    <row r="33">
      <c r="C33" s="6" t="s">
        <v>7</v>
      </c>
      <c r="D33" s="10">
        <f t="shared" si="1"/>
        <v>30761.015</v>
      </c>
      <c r="E33" s="11">
        <f t="shared" si="2"/>
        <v>0.2345651997</v>
      </c>
      <c r="F33" s="10">
        <f>D33-F19</f>
        <v>30761.015</v>
      </c>
    </row>
    <row r="34">
      <c r="C34" s="4" t="s">
        <v>1</v>
      </c>
      <c r="D34" s="10">
        <f t="shared" si="1"/>
        <v>23001.3</v>
      </c>
      <c r="E34" s="11">
        <f t="shared" si="2"/>
        <v>0.1753942296</v>
      </c>
    </row>
    <row r="35">
      <c r="C35" s="4" t="s">
        <v>2</v>
      </c>
      <c r="D35" s="10">
        <f t="shared" si="1"/>
        <v>27559.88</v>
      </c>
      <c r="E35" s="11">
        <f t="shared" si="2"/>
        <v>0.2101552487</v>
      </c>
    </row>
    <row r="36">
      <c r="D36" s="5">
        <f>SUM($D$29:D35)</f>
        <v>131140.5743</v>
      </c>
      <c r="E36" s="11"/>
    </row>
    <row r="37">
      <c r="D37" s="12"/>
    </row>
    <row r="40">
      <c r="C40" s="6" t="s">
        <v>3</v>
      </c>
      <c r="D40" s="10">
        <f t="shared" ref="D40:D47" si="3">SUMIF($A$5:$A$27,C40,$D$5:$D$27)</f>
        <v>36661.7393</v>
      </c>
      <c r="E40" s="11">
        <f t="shared" ref="E40:E47" si="4">D40/$D$48</f>
        <v>0.2138347708</v>
      </c>
    </row>
    <row r="41">
      <c r="C41" s="6" t="s">
        <v>4</v>
      </c>
      <c r="D41" s="10">
        <f t="shared" si="3"/>
        <v>11975.7</v>
      </c>
      <c r="E41" s="11">
        <f t="shared" si="4"/>
        <v>0.06984996113</v>
      </c>
    </row>
    <row r="42">
      <c r="C42" s="6" t="s">
        <v>5</v>
      </c>
      <c r="D42" s="10">
        <f t="shared" si="3"/>
        <v>0</v>
      </c>
      <c r="E42" s="11">
        <f t="shared" si="4"/>
        <v>0</v>
      </c>
    </row>
    <row r="43">
      <c r="C43" s="6" t="s">
        <v>6</v>
      </c>
      <c r="D43" s="10">
        <f t="shared" si="3"/>
        <v>1180.94</v>
      </c>
      <c r="E43" s="11">
        <f t="shared" si="4"/>
        <v>0.00688799929</v>
      </c>
    </row>
    <row r="44">
      <c r="C44" s="6" t="s">
        <v>7</v>
      </c>
      <c r="D44" s="10">
        <f t="shared" si="3"/>
        <v>30761.015</v>
      </c>
      <c r="E44" s="11">
        <f t="shared" si="4"/>
        <v>0.1794179632</v>
      </c>
    </row>
    <row r="45">
      <c r="C45" s="4" t="s">
        <v>1</v>
      </c>
      <c r="D45" s="10">
        <f t="shared" si="3"/>
        <v>23001.3</v>
      </c>
      <c r="E45" s="11">
        <f t="shared" si="4"/>
        <v>0.1341583299</v>
      </c>
    </row>
    <row r="46">
      <c r="C46" s="4" t="s">
        <v>0</v>
      </c>
      <c r="D46" s="10">
        <f t="shared" si="3"/>
        <v>40308.34</v>
      </c>
      <c r="E46" s="11">
        <f t="shared" si="4"/>
        <v>0.2351040843</v>
      </c>
    </row>
    <row r="47">
      <c r="C47" s="4" t="s">
        <v>2</v>
      </c>
      <c r="D47" s="10">
        <f t="shared" si="3"/>
        <v>27559.88</v>
      </c>
      <c r="E47" s="11">
        <f t="shared" si="4"/>
        <v>0.1607468914</v>
      </c>
    </row>
    <row r="48">
      <c r="D48" s="5">
        <f>SUM(D40:D47)</f>
        <v>171448.9143</v>
      </c>
    </row>
  </sheetData>
  <autoFilter ref="$A$4:$E$27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C4" s="4" t="s">
        <v>3</v>
      </c>
      <c r="D4" s="4" t="s">
        <v>15</v>
      </c>
      <c r="E4" s="4">
        <v>792.0</v>
      </c>
      <c r="F4" s="4">
        <v>10503.9</v>
      </c>
      <c r="G4" s="4" t="s">
        <v>15</v>
      </c>
      <c r="I4" s="4" t="s">
        <v>3</v>
      </c>
      <c r="J4" s="4" t="s">
        <v>15</v>
      </c>
      <c r="K4" s="4">
        <v>792.0</v>
      </c>
      <c r="L4" s="21">
        <v>9757.44</v>
      </c>
      <c r="M4" s="4" t="s">
        <v>15</v>
      </c>
      <c r="O4" s="10">
        <f t="shared" ref="O4:O26" si="1">F4-L4</f>
        <v>746.46</v>
      </c>
    </row>
    <row r="5">
      <c r="C5" s="4" t="s">
        <v>3</v>
      </c>
      <c r="D5" s="4" t="s">
        <v>16</v>
      </c>
      <c r="E5" s="4">
        <v>650.0</v>
      </c>
      <c r="F5" s="4">
        <v>6599.18</v>
      </c>
      <c r="G5" s="4" t="s">
        <v>15</v>
      </c>
      <c r="I5" s="4" t="s">
        <v>3</v>
      </c>
      <c r="J5" s="4" t="s">
        <v>16</v>
      </c>
      <c r="K5" s="4">
        <v>650.0</v>
      </c>
      <c r="L5" s="21">
        <v>5407.05</v>
      </c>
      <c r="M5" s="4" t="s">
        <v>15</v>
      </c>
      <c r="O5" s="10">
        <f t="shared" si="1"/>
        <v>1192.13</v>
      </c>
    </row>
    <row r="6">
      <c r="C6" s="4" t="s">
        <v>3</v>
      </c>
      <c r="D6" s="4" t="s">
        <v>29</v>
      </c>
      <c r="E6" s="4">
        <v>180.0</v>
      </c>
      <c r="F6" s="4">
        <v>1868.4</v>
      </c>
      <c r="G6" s="4" t="s">
        <v>15</v>
      </c>
      <c r="I6" s="4" t="s">
        <v>3</v>
      </c>
      <c r="J6" s="4" t="s">
        <v>29</v>
      </c>
      <c r="K6" s="4">
        <v>180.0</v>
      </c>
      <c r="L6" s="21">
        <v>1546.56</v>
      </c>
      <c r="M6" s="4" t="s">
        <v>15</v>
      </c>
      <c r="O6" s="10">
        <f t="shared" si="1"/>
        <v>321.84</v>
      </c>
    </row>
    <row r="7">
      <c r="C7" s="4" t="s">
        <v>3</v>
      </c>
      <c r="D7" s="4" t="s">
        <v>21</v>
      </c>
      <c r="E7" s="4">
        <v>120.0</v>
      </c>
      <c r="F7" s="4">
        <v>1380.0</v>
      </c>
      <c r="G7" s="4" t="s">
        <v>21</v>
      </c>
      <c r="I7" s="4" t="s">
        <v>3</v>
      </c>
      <c r="J7" s="4" t="s">
        <v>21</v>
      </c>
      <c r="K7" s="4">
        <v>120.0</v>
      </c>
      <c r="L7" s="21">
        <v>1263.0</v>
      </c>
      <c r="M7" s="4" t="s">
        <v>21</v>
      </c>
      <c r="O7" s="10">
        <f t="shared" si="1"/>
        <v>117</v>
      </c>
    </row>
    <row r="8">
      <c r="C8" s="4" t="s">
        <v>3</v>
      </c>
      <c r="D8" s="4" t="s">
        <v>43</v>
      </c>
      <c r="E8" s="4">
        <v>5000.0</v>
      </c>
      <c r="F8" s="9">
        <v>0.0</v>
      </c>
      <c r="G8" s="4" t="s">
        <v>21</v>
      </c>
      <c r="I8" s="4" t="s">
        <v>3</v>
      </c>
      <c r="J8" s="4" t="s">
        <v>43</v>
      </c>
      <c r="K8" s="4">
        <v>5000.0</v>
      </c>
      <c r="L8" s="21">
        <v>0.0</v>
      </c>
      <c r="M8" s="4" t="s">
        <v>21</v>
      </c>
      <c r="O8" s="10">
        <f t="shared" si="1"/>
        <v>0</v>
      </c>
    </row>
    <row r="9">
      <c r="C9" s="4" t="s">
        <v>4</v>
      </c>
      <c r="D9" s="4" t="s">
        <v>18</v>
      </c>
      <c r="F9" s="4">
        <v>8311.38</v>
      </c>
      <c r="G9" s="4" t="s">
        <v>21</v>
      </c>
      <c r="I9" s="4" t="s">
        <v>4</v>
      </c>
      <c r="J9" s="4" t="s">
        <v>18</v>
      </c>
      <c r="L9" s="21">
        <v>7892.0</v>
      </c>
      <c r="M9" s="4" t="s">
        <v>21</v>
      </c>
      <c r="O9" s="10">
        <f t="shared" si="1"/>
        <v>419.38</v>
      </c>
    </row>
    <row r="10">
      <c r="C10" s="4" t="s">
        <v>5</v>
      </c>
      <c r="D10" s="4" t="s">
        <v>33</v>
      </c>
      <c r="F10" s="9">
        <v>0.0</v>
      </c>
      <c r="G10" s="4" t="s">
        <v>19</v>
      </c>
      <c r="I10" s="4" t="s">
        <v>5</v>
      </c>
      <c r="J10" s="4" t="s">
        <v>33</v>
      </c>
      <c r="L10" s="21">
        <v>0.0</v>
      </c>
      <c r="M10" s="4" t="s">
        <v>19</v>
      </c>
      <c r="O10" s="10">
        <f t="shared" si="1"/>
        <v>0</v>
      </c>
    </row>
    <row r="11">
      <c r="C11" s="4" t="s">
        <v>5</v>
      </c>
      <c r="D11" s="4" t="s">
        <v>5</v>
      </c>
      <c r="F11" s="9">
        <v>0.0</v>
      </c>
      <c r="G11" s="4" t="s">
        <v>21</v>
      </c>
      <c r="I11" s="4" t="s">
        <v>5</v>
      </c>
      <c r="J11" s="4" t="s">
        <v>5</v>
      </c>
      <c r="L11" s="21">
        <v>0.0</v>
      </c>
      <c r="M11" s="4" t="s">
        <v>21</v>
      </c>
      <c r="O11" s="10">
        <f t="shared" si="1"/>
        <v>0</v>
      </c>
    </row>
    <row r="12">
      <c r="C12" s="4" t="s">
        <v>3</v>
      </c>
      <c r="D12" s="4" t="s">
        <v>20</v>
      </c>
      <c r="F12" s="4">
        <v>13206.1</v>
      </c>
      <c r="G12" s="4" t="s">
        <v>21</v>
      </c>
      <c r="I12" s="4" t="s">
        <v>3</v>
      </c>
      <c r="J12" s="4" t="s">
        <v>20</v>
      </c>
      <c r="L12" s="21">
        <v>12381.2</v>
      </c>
      <c r="M12" s="4" t="s">
        <v>21</v>
      </c>
      <c r="O12" s="10">
        <f t="shared" si="1"/>
        <v>824.9</v>
      </c>
    </row>
    <row r="13">
      <c r="C13" s="4" t="s">
        <v>3</v>
      </c>
      <c r="D13" s="4" t="s">
        <v>20</v>
      </c>
      <c r="F13" s="4">
        <v>1877.43</v>
      </c>
      <c r="G13" s="4" t="s">
        <v>44</v>
      </c>
      <c r="I13" s="4" t="s">
        <v>3</v>
      </c>
      <c r="J13" s="4" t="s">
        <v>20</v>
      </c>
      <c r="L13" s="21">
        <v>1645.65</v>
      </c>
      <c r="M13" s="4" t="s">
        <v>44</v>
      </c>
      <c r="O13" s="10">
        <f t="shared" si="1"/>
        <v>231.78</v>
      </c>
    </row>
    <row r="14">
      <c r="C14" s="4" t="s">
        <v>6</v>
      </c>
      <c r="D14" s="4" t="s">
        <v>22</v>
      </c>
      <c r="F14" s="4">
        <v>2184.9</v>
      </c>
      <c r="G14" s="4" t="s">
        <v>6</v>
      </c>
      <c r="I14" s="4" t="s">
        <v>6</v>
      </c>
      <c r="J14" s="4" t="s">
        <v>22</v>
      </c>
      <c r="L14" s="21">
        <v>1935.76</v>
      </c>
      <c r="M14" s="4" t="s">
        <v>6</v>
      </c>
      <c r="O14" s="10">
        <f t="shared" si="1"/>
        <v>249.14</v>
      </c>
    </row>
    <row r="15">
      <c r="C15" s="4" t="s">
        <v>6</v>
      </c>
      <c r="D15" s="4" t="s">
        <v>23</v>
      </c>
      <c r="F15" s="9">
        <v>0.0</v>
      </c>
      <c r="G15" s="4" t="s">
        <v>6</v>
      </c>
      <c r="I15" s="4" t="s">
        <v>6</v>
      </c>
      <c r="J15" s="4" t="s">
        <v>23</v>
      </c>
      <c r="L15" s="21">
        <v>0.0</v>
      </c>
      <c r="M15" s="4" t="s">
        <v>6</v>
      </c>
      <c r="O15" s="10">
        <f t="shared" si="1"/>
        <v>0</v>
      </c>
    </row>
    <row r="16">
      <c r="C16" s="4" t="s">
        <v>6</v>
      </c>
      <c r="D16" s="4" t="s">
        <v>24</v>
      </c>
      <c r="F16" s="4">
        <v>0.0</v>
      </c>
      <c r="G16" s="4" t="s">
        <v>6</v>
      </c>
      <c r="I16" s="4" t="s">
        <v>6</v>
      </c>
      <c r="J16" s="4" t="s">
        <v>24</v>
      </c>
      <c r="L16" s="21">
        <v>0.0</v>
      </c>
      <c r="M16" s="4" t="s">
        <v>6</v>
      </c>
      <c r="O16" s="10">
        <f t="shared" si="1"/>
        <v>0</v>
      </c>
    </row>
    <row r="17">
      <c r="C17" s="4" t="s">
        <v>6</v>
      </c>
      <c r="D17" s="4" t="s">
        <v>25</v>
      </c>
      <c r="F17" s="4">
        <v>0.0</v>
      </c>
      <c r="G17" s="4" t="s">
        <v>6</v>
      </c>
      <c r="I17" s="4" t="s">
        <v>6</v>
      </c>
      <c r="J17" s="4" t="s">
        <v>25</v>
      </c>
      <c r="L17" s="21">
        <v>0.0</v>
      </c>
      <c r="M17" s="4" t="s">
        <v>6</v>
      </c>
      <c r="O17" s="10">
        <f t="shared" si="1"/>
        <v>0</v>
      </c>
    </row>
    <row r="18">
      <c r="C18" s="4" t="s">
        <v>7</v>
      </c>
      <c r="D18" s="4" t="s">
        <v>30</v>
      </c>
      <c r="F18" s="4">
        <v>3824.93</v>
      </c>
      <c r="G18" s="4" t="s">
        <v>36</v>
      </c>
      <c r="I18" s="4" t="s">
        <v>7</v>
      </c>
      <c r="J18" s="4" t="s">
        <v>30</v>
      </c>
      <c r="L18" s="21">
        <v>3384.08</v>
      </c>
      <c r="M18" s="4" t="s">
        <v>36</v>
      </c>
      <c r="O18" s="10">
        <f t="shared" si="1"/>
        <v>440.85</v>
      </c>
    </row>
    <row r="19">
      <c r="C19" s="4" t="s">
        <v>7</v>
      </c>
      <c r="D19" s="4" t="s">
        <v>30</v>
      </c>
      <c r="F19" s="4">
        <v>970.235</v>
      </c>
      <c r="G19" s="4" t="s">
        <v>21</v>
      </c>
      <c r="I19" s="4" t="s">
        <v>7</v>
      </c>
      <c r="J19" s="4" t="s">
        <v>30</v>
      </c>
      <c r="L19" s="21">
        <v>904.895</v>
      </c>
      <c r="M19" s="4" t="s">
        <v>21</v>
      </c>
      <c r="O19" s="10">
        <f t="shared" si="1"/>
        <v>65.34</v>
      </c>
    </row>
    <row r="20">
      <c r="C20" s="4" t="s">
        <v>7</v>
      </c>
      <c r="D20" s="4" t="s">
        <v>31</v>
      </c>
      <c r="F20" s="4">
        <v>578.32</v>
      </c>
      <c r="G20" s="4" t="s">
        <v>21</v>
      </c>
      <c r="I20" s="4" t="s">
        <v>7</v>
      </c>
      <c r="J20" s="4" t="s">
        <v>31</v>
      </c>
      <c r="L20" s="21">
        <v>1795.0</v>
      </c>
      <c r="M20" s="4" t="s">
        <v>21</v>
      </c>
      <c r="O20" s="10">
        <f t="shared" si="1"/>
        <v>-1216.68</v>
      </c>
    </row>
    <row r="21">
      <c r="C21" s="4" t="s">
        <v>7</v>
      </c>
      <c r="D21" s="4" t="s">
        <v>7</v>
      </c>
      <c r="F21" s="4">
        <v>5286.89</v>
      </c>
      <c r="G21" s="4" t="s">
        <v>34</v>
      </c>
      <c r="I21" s="4" t="s">
        <v>7</v>
      </c>
      <c r="J21" s="4" t="s">
        <v>7</v>
      </c>
      <c r="L21" s="21">
        <v>3610.18</v>
      </c>
      <c r="M21" s="4" t="s">
        <v>34</v>
      </c>
      <c r="O21" s="10">
        <f t="shared" si="1"/>
        <v>1676.71</v>
      </c>
    </row>
    <row r="22">
      <c r="C22" s="4" t="s">
        <v>7</v>
      </c>
      <c r="D22" s="4" t="s">
        <v>7</v>
      </c>
      <c r="F22" s="4">
        <v>3321.33</v>
      </c>
      <c r="G22" s="4" t="s">
        <v>35</v>
      </c>
      <c r="I22" s="4" t="s">
        <v>7</v>
      </c>
      <c r="J22" s="4" t="s">
        <v>7</v>
      </c>
      <c r="L22" s="21">
        <v>1675.55</v>
      </c>
      <c r="M22" s="4" t="s">
        <v>35</v>
      </c>
      <c r="O22" s="10">
        <f t="shared" si="1"/>
        <v>1645.78</v>
      </c>
    </row>
    <row r="23">
      <c r="C23" s="4" t="s">
        <v>7</v>
      </c>
      <c r="D23" s="4" t="s">
        <v>7</v>
      </c>
      <c r="F23" s="4">
        <v>1797.8</v>
      </c>
      <c r="G23" s="4" t="s">
        <v>15</v>
      </c>
      <c r="I23" s="4" t="s">
        <v>7</v>
      </c>
      <c r="J23" s="4" t="s">
        <v>7</v>
      </c>
      <c r="L23" s="21">
        <v>2308.14</v>
      </c>
      <c r="M23" s="4" t="s">
        <v>15</v>
      </c>
      <c r="O23" s="10">
        <f t="shared" si="1"/>
        <v>-510.34</v>
      </c>
    </row>
    <row r="24">
      <c r="C24" s="4" t="s">
        <v>1</v>
      </c>
      <c r="D24" s="4" t="s">
        <v>32</v>
      </c>
      <c r="F24" s="4">
        <v>21424.519999999997</v>
      </c>
      <c r="I24" s="4" t="s">
        <v>1</v>
      </c>
      <c r="J24" s="4" t="s">
        <v>32</v>
      </c>
      <c r="L24" s="21">
        <v>21304.25</v>
      </c>
      <c r="O24" s="10">
        <f t="shared" si="1"/>
        <v>120.27</v>
      </c>
    </row>
    <row r="25">
      <c r="C25" s="4" t="s">
        <v>2</v>
      </c>
      <c r="F25" s="4">
        <v>17738.49499999999</v>
      </c>
      <c r="I25" s="4" t="s">
        <v>2</v>
      </c>
      <c r="L25" s="21">
        <v>17219.355</v>
      </c>
      <c r="O25" s="10">
        <f t="shared" si="1"/>
        <v>519.14</v>
      </c>
    </row>
    <row r="26">
      <c r="C26" s="4" t="s">
        <v>0</v>
      </c>
      <c r="D26" s="4" t="s">
        <v>28</v>
      </c>
      <c r="F26" s="4">
        <v>35850.369999999995</v>
      </c>
      <c r="I26" s="4" t="s">
        <v>0</v>
      </c>
      <c r="J26" s="4" t="s">
        <v>28</v>
      </c>
      <c r="L26" s="21">
        <v>35541.31</v>
      </c>
      <c r="O26" s="10">
        <f t="shared" si="1"/>
        <v>309.06</v>
      </c>
    </row>
  </sheetData>
  <drawing r:id="rId1"/>
</worksheet>
</file>