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Study\St. Clair College\Data Analytics\4th Semester\DAB401 Financial Analytics\Project\Amazon\Final Documents\"/>
    </mc:Choice>
  </mc:AlternateContent>
  <xr:revisionPtr revIDLastSave="0" documentId="13_ncr:1_{6E4BCF7C-E949-4285-A62C-BDCC1C7BFB32}" xr6:coauthVersionLast="47" xr6:coauthVersionMax="47" xr10:uidLastSave="{00000000-0000-0000-0000-000000000000}"/>
  <bookViews>
    <workbookView xWindow="38290" yWindow="3950" windowWidth="25820" windowHeight="15500" xr2:uid="{00000000-000D-0000-FFFF-FFFF00000000}"/>
  </bookViews>
  <sheets>
    <sheet name="Assumptions" sheetId="92" r:id="rId1"/>
    <sheet name="Projected Financials" sheetId="91" r:id="rId2"/>
    <sheet name="Financial Ratios" sheetId="93" r:id="rId3"/>
    <sheet name="CAPM" sheetId="94" r:id="rId4"/>
    <sheet name="CAPM_2" sheetId="95" r:id="rId5"/>
    <sheet name="Cover Page" sheetId="1" r:id="rId6"/>
    <sheet name="Consolidated Statements Of Oper" sheetId="4" r:id="rId7"/>
    <sheet name="Consolidated Balance Sheets" sheetId="7" r:id="rId8"/>
    <sheet name="Consolidated Statements of Cash" sheetId="3" r:id="rId9"/>
    <sheet name="Consolidated Statements of Comp" sheetId="5" r:id="rId10"/>
  </sheets>
  <externalReferences>
    <externalReference r:id="rId11"/>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94" l="1"/>
  <c r="I13" i="94" s="1"/>
  <c r="I6" i="94"/>
  <c r="I15" i="94" s="1"/>
  <c r="I4" i="94"/>
  <c r="F3" i="94"/>
  <c r="F4" i="94"/>
  <c r="F5" i="94"/>
  <c r="F6" i="94"/>
  <c r="F7" i="94"/>
  <c r="F8" i="94"/>
  <c r="F9" i="94"/>
  <c r="F10" i="94"/>
  <c r="F11" i="94"/>
  <c r="F12" i="94"/>
  <c r="F13" i="94"/>
  <c r="F14" i="94"/>
  <c r="F15" i="94"/>
  <c r="F16" i="94"/>
  <c r="F17" i="94"/>
  <c r="F18" i="94"/>
  <c r="F19" i="94"/>
  <c r="F20" i="94"/>
  <c r="F21" i="94"/>
  <c r="F22" i="94"/>
  <c r="F23" i="94"/>
  <c r="F24" i="94"/>
  <c r="F25" i="94"/>
  <c r="F26" i="94"/>
  <c r="F27" i="94"/>
  <c r="F28" i="94"/>
  <c r="F29" i="94"/>
  <c r="F30" i="94"/>
  <c r="F31" i="94"/>
  <c r="F32" i="94"/>
  <c r="F33" i="94"/>
  <c r="F34" i="94"/>
  <c r="F35" i="94"/>
  <c r="F36" i="94"/>
  <c r="F37" i="94"/>
  <c r="F38" i="94"/>
  <c r="F39" i="94"/>
  <c r="F40" i="94"/>
  <c r="F41" i="94"/>
  <c r="F42" i="94"/>
  <c r="F43" i="94"/>
  <c r="F44" i="94"/>
  <c r="F45" i="94"/>
  <c r="F46" i="94"/>
  <c r="F47" i="94"/>
  <c r="F48" i="94"/>
  <c r="F49" i="94"/>
  <c r="F50" i="94"/>
  <c r="F51" i="94"/>
  <c r="F52" i="94"/>
  <c r="F53" i="94"/>
  <c r="F54" i="94"/>
  <c r="F55" i="94"/>
  <c r="F56" i="94"/>
  <c r="F57" i="94"/>
  <c r="F58" i="94"/>
  <c r="F59" i="94"/>
  <c r="F60" i="94"/>
  <c r="F61" i="94"/>
  <c r="F62" i="94"/>
  <c r="F63" i="94"/>
  <c r="F64" i="94"/>
  <c r="F65" i="94"/>
  <c r="F66" i="94"/>
  <c r="F67" i="94"/>
  <c r="F68" i="94"/>
  <c r="F69" i="94"/>
  <c r="F70" i="94"/>
  <c r="F71" i="94"/>
  <c r="F72" i="94"/>
  <c r="F73" i="94"/>
  <c r="F74" i="94"/>
  <c r="F75" i="94"/>
  <c r="F76" i="94"/>
  <c r="F77" i="94"/>
  <c r="F78" i="94"/>
  <c r="F79" i="94"/>
  <c r="F80" i="94"/>
  <c r="F81" i="94"/>
  <c r="F82" i="94"/>
  <c r="F83" i="94"/>
  <c r="F84" i="94"/>
  <c r="F85" i="94"/>
  <c r="F86" i="94"/>
  <c r="F87" i="94"/>
  <c r="F88" i="94"/>
  <c r="F89" i="94"/>
  <c r="F90" i="94"/>
  <c r="F91" i="94"/>
  <c r="F92" i="94"/>
  <c r="F93" i="94"/>
  <c r="F94" i="94"/>
  <c r="F95" i="94"/>
  <c r="F96" i="94"/>
  <c r="F97" i="94"/>
  <c r="F98" i="94"/>
  <c r="F99" i="94"/>
  <c r="F100" i="94"/>
  <c r="F101" i="94"/>
  <c r="F102" i="94"/>
  <c r="F103" i="94"/>
  <c r="F104" i="94"/>
  <c r="F105" i="94"/>
  <c r="F106" i="94"/>
  <c r="F107" i="94"/>
  <c r="F108" i="94"/>
  <c r="F109" i="94"/>
  <c r="F110" i="94"/>
  <c r="F111" i="94"/>
  <c r="F112" i="94"/>
  <c r="F113" i="94"/>
  <c r="F114" i="94"/>
  <c r="F115" i="94"/>
  <c r="F116" i="94"/>
  <c r="F117" i="94"/>
  <c r="F118" i="94"/>
  <c r="F119" i="94"/>
  <c r="F120" i="94"/>
  <c r="F121" i="94"/>
  <c r="C3" i="94"/>
  <c r="C4" i="94"/>
  <c r="C5" i="94"/>
  <c r="C6" i="94"/>
  <c r="C7" i="94"/>
  <c r="C8" i="94"/>
  <c r="C9" i="94"/>
  <c r="C10" i="94"/>
  <c r="C11" i="94"/>
  <c r="C12" i="94"/>
  <c r="C13" i="94"/>
  <c r="C14" i="94"/>
  <c r="C15" i="94"/>
  <c r="C16" i="94"/>
  <c r="C17" i="94"/>
  <c r="C18" i="94"/>
  <c r="C19" i="94"/>
  <c r="C20" i="94"/>
  <c r="C21" i="94"/>
  <c r="C22" i="94"/>
  <c r="C23" i="94"/>
  <c r="C24" i="94"/>
  <c r="C25" i="94"/>
  <c r="C26" i="94"/>
  <c r="C27" i="94"/>
  <c r="C28" i="94"/>
  <c r="C29" i="94"/>
  <c r="C30" i="94"/>
  <c r="C31" i="94"/>
  <c r="C32" i="94"/>
  <c r="C33" i="94"/>
  <c r="C34" i="94"/>
  <c r="C35" i="94"/>
  <c r="C36" i="94"/>
  <c r="C37" i="94"/>
  <c r="C38" i="94"/>
  <c r="C39" i="94"/>
  <c r="C40" i="94"/>
  <c r="C41" i="94"/>
  <c r="C42" i="94"/>
  <c r="C43" i="94"/>
  <c r="C44" i="94"/>
  <c r="C45" i="94"/>
  <c r="C46" i="94"/>
  <c r="C47" i="94"/>
  <c r="C48" i="94"/>
  <c r="C49" i="94"/>
  <c r="C50" i="94"/>
  <c r="C51" i="94"/>
  <c r="C52" i="94"/>
  <c r="C53" i="94"/>
  <c r="C54" i="94"/>
  <c r="C55" i="94"/>
  <c r="C56" i="94"/>
  <c r="C57" i="94"/>
  <c r="C58" i="94"/>
  <c r="C59" i="94"/>
  <c r="C60" i="94"/>
  <c r="C61" i="94"/>
  <c r="C62" i="94"/>
  <c r="C63" i="94"/>
  <c r="C64" i="94"/>
  <c r="C65" i="94"/>
  <c r="C66" i="94"/>
  <c r="C67" i="94"/>
  <c r="C68" i="94"/>
  <c r="C69" i="94"/>
  <c r="C70" i="94"/>
  <c r="C71" i="94"/>
  <c r="C72" i="94"/>
  <c r="C73" i="94"/>
  <c r="C74" i="94"/>
  <c r="C75" i="94"/>
  <c r="C76" i="94"/>
  <c r="C77" i="94"/>
  <c r="C78" i="94"/>
  <c r="C79" i="94"/>
  <c r="C80" i="94"/>
  <c r="C81" i="94"/>
  <c r="C82" i="94"/>
  <c r="C83" i="94"/>
  <c r="C84" i="94"/>
  <c r="C85" i="94"/>
  <c r="C86" i="94"/>
  <c r="C87" i="94"/>
  <c r="C88" i="94"/>
  <c r="C89" i="94"/>
  <c r="C90" i="94"/>
  <c r="C91" i="94"/>
  <c r="C92" i="94"/>
  <c r="C93" i="94"/>
  <c r="C94" i="94"/>
  <c r="C95" i="94"/>
  <c r="C96" i="94"/>
  <c r="C97" i="94"/>
  <c r="C98" i="94"/>
  <c r="C99" i="94"/>
  <c r="C100" i="94"/>
  <c r="C101" i="94"/>
  <c r="C102" i="94"/>
  <c r="C103" i="94"/>
  <c r="C104" i="94"/>
  <c r="C105" i="94"/>
  <c r="C106" i="94"/>
  <c r="C107" i="94"/>
  <c r="C108" i="94"/>
  <c r="C109" i="94"/>
  <c r="C110" i="94"/>
  <c r="C111" i="94"/>
  <c r="C112" i="94"/>
  <c r="C113" i="94"/>
  <c r="C114" i="94"/>
  <c r="C115" i="94"/>
  <c r="C116" i="94"/>
  <c r="C117" i="94"/>
  <c r="C118" i="94"/>
  <c r="C119" i="94"/>
  <c r="C120" i="94"/>
  <c r="C121" i="94"/>
  <c r="E83" i="93"/>
  <c r="E84" i="93" s="1"/>
  <c r="E76" i="93"/>
  <c r="E75" i="93"/>
  <c r="E74" i="93"/>
  <c r="E70" i="93"/>
  <c r="E69" i="93"/>
  <c r="E64" i="93"/>
  <c r="E63" i="93"/>
  <c r="E62" i="93"/>
  <c r="E55" i="93"/>
  <c r="E54" i="93"/>
  <c r="E50" i="93"/>
  <c r="E49" i="93"/>
  <c r="E48" i="93"/>
  <c r="E42" i="93"/>
  <c r="E37" i="93"/>
  <c r="E36" i="93"/>
  <c r="E32" i="93"/>
  <c r="E27" i="93"/>
  <c r="E26" i="93"/>
  <c r="E31" i="93" s="1"/>
  <c r="E19" i="93"/>
  <c r="E18" i="93"/>
  <c r="E13" i="93"/>
  <c r="E8" i="93"/>
  <c r="E14" i="93" s="1"/>
  <c r="E20" i="93" s="1"/>
  <c r="E7" i="93"/>
  <c r="E65" i="93" l="1"/>
  <c r="E77" i="93"/>
  <c r="I10" i="94"/>
  <c r="I8" i="94"/>
  <c r="E9" i="93"/>
  <c r="E12" i="93"/>
  <c r="E15" i="93" s="1"/>
  <c r="E28" i="93"/>
  <c r="E41" i="93"/>
  <c r="E43" i="93" s="1"/>
  <c r="E38" i="93"/>
  <c r="E51" i="93"/>
  <c r="E56" i="93"/>
  <c r="E21" i="93"/>
  <c r="E68" i="93"/>
  <c r="E71" i="93" s="1"/>
  <c r="E33" i="93"/>
  <c r="D15" i="91" l="1"/>
  <c r="E15" i="91"/>
  <c r="F15" i="91"/>
  <c r="G15" i="91"/>
  <c r="C15" i="91"/>
  <c r="D7" i="91" l="1"/>
  <c r="E7" i="91"/>
  <c r="F7" i="91"/>
  <c r="G7" i="91"/>
  <c r="C7" i="91"/>
  <c r="L9" i="92"/>
  <c r="H18" i="91" s="1"/>
  <c r="I18" i="91" s="1"/>
  <c r="J18" i="91" s="1"/>
  <c r="K18" i="91" s="1"/>
  <c r="L18" i="91" s="1"/>
  <c r="L6" i="92"/>
  <c r="H15" i="91" s="1"/>
  <c r="I15" i="91" s="1"/>
  <c r="J15" i="91" s="1"/>
  <c r="K15" i="91" s="1"/>
  <c r="L15" i="91" s="1"/>
  <c r="L4" i="92"/>
  <c r="H5" i="91" s="1"/>
  <c r="H19" i="91" s="1"/>
  <c r="K9" i="92"/>
  <c r="J9" i="92"/>
  <c r="I9" i="92"/>
  <c r="H9" i="92"/>
  <c r="H5" i="92"/>
  <c r="I5" i="92"/>
  <c r="J5" i="92"/>
  <c r="K5" i="92"/>
  <c r="H6" i="92"/>
  <c r="I6" i="92"/>
  <c r="J6" i="92"/>
  <c r="K6" i="92"/>
  <c r="H7" i="92"/>
  <c r="I7" i="92"/>
  <c r="J7" i="92"/>
  <c r="K7" i="92"/>
  <c r="I4" i="92"/>
  <c r="J4" i="92"/>
  <c r="K4" i="92"/>
  <c r="H4" i="92"/>
  <c r="L5" i="92" l="1"/>
  <c r="H6" i="91" s="1"/>
  <c r="I6" i="91" s="1"/>
  <c r="J6" i="91" s="1"/>
  <c r="K6" i="91" s="1"/>
  <c r="L6" i="91" s="1"/>
  <c r="L7" i="92"/>
  <c r="H7" i="91"/>
  <c r="H16" i="91" s="1"/>
  <c r="H20" i="91" s="1"/>
  <c r="H22" i="91" s="1"/>
  <c r="I5" i="91"/>
  <c r="J5" i="91" s="1"/>
  <c r="K5" i="91" s="1"/>
  <c r="I7" i="91"/>
  <c r="I16" i="91" s="1"/>
  <c r="I19" i="91" l="1"/>
  <c r="I20" i="91" s="1"/>
  <c r="I22" i="91" s="1"/>
  <c r="J19" i="91"/>
  <c r="J7" i="91"/>
  <c r="J16" i="91" s="1"/>
  <c r="L5" i="91"/>
  <c r="K7" i="91"/>
  <c r="K16" i="91" s="1"/>
  <c r="K19" i="91"/>
  <c r="J20" i="91" l="1"/>
  <c r="J22" i="91" s="1"/>
  <c r="K20" i="91"/>
  <c r="L19" i="91"/>
  <c r="L7" i="91"/>
  <c r="L16" i="91" s="1"/>
  <c r="L20" i="91" l="1"/>
  <c r="K21" i="91" s="1"/>
  <c r="K22" i="91"/>
  <c r="H23" i="91" s="1"/>
  <c r="H24" i="91" s="1"/>
  <c r="I2" i="94"/>
  <c r="H26" i="91" l="1"/>
  <c r="B18" i="92"/>
</calcChain>
</file>

<file path=xl/sharedStrings.xml><?xml version="1.0" encoding="utf-8"?>
<sst xmlns="http://schemas.openxmlformats.org/spreadsheetml/2006/main" count="483" uniqueCount="284">
  <si>
    <t>Cover Page - USD ($)</t>
  </si>
  <si>
    <t>12 Months Ended</t>
  </si>
  <si>
    <t>Dec. 31, 2022</t>
  </si>
  <si>
    <t>Jan. 25, 2023</t>
  </si>
  <si>
    <t>Jun. 30, 2022</t>
  </si>
  <si>
    <t>Cover [Abstract]</t>
  </si>
  <si>
    <t> </t>
  </si>
  <si>
    <t>Document Type</t>
  </si>
  <si>
    <t>10-K</t>
  </si>
  <si>
    <t>Document Annual Report</t>
  </si>
  <si>
    <t>true</t>
  </si>
  <si>
    <t>Document Period End Date</t>
  </si>
  <si>
    <t>Dec. 31,  2022</t>
  </si>
  <si>
    <t>Current Fiscal Year End Date</t>
  </si>
  <si>
    <t>--12-31</t>
  </si>
  <si>
    <t>Document Transition Report</t>
  </si>
  <si>
    <t>false</t>
  </si>
  <si>
    <t>Entity File Number</t>
  </si>
  <si>
    <t>000-22513</t>
  </si>
  <si>
    <t>Entity Registrant Name</t>
  </si>
  <si>
    <t>AMAZON.COM, INC.</t>
  </si>
  <si>
    <t>Entity Incorporation, State or Country Code</t>
  </si>
  <si>
    <t>DE</t>
  </si>
  <si>
    <t>Entity Tax Identification Number</t>
  </si>
  <si>
    <t>91-1646860</t>
  </si>
  <si>
    <t>Entity Address, Address Line One</t>
  </si>
  <si>
    <t>410 Terry Avenue North</t>
  </si>
  <si>
    <t>Entity Address, City or Town</t>
  </si>
  <si>
    <t>Seattle</t>
  </si>
  <si>
    <t>Entity Address, State or Province</t>
  </si>
  <si>
    <t>WA</t>
  </si>
  <si>
    <t>Entity Address, Postal Zip Code</t>
  </si>
  <si>
    <t>98109-5210</t>
  </si>
  <si>
    <t>City Area Code</t>
  </si>
  <si>
    <t>206</t>
  </si>
  <si>
    <t>Local Phone Number</t>
  </si>
  <si>
    <t>266-1000</t>
  </si>
  <si>
    <t>Title of 12(b) Security</t>
  </si>
  <si>
    <t>Common Stock, par value $.01 per share</t>
  </si>
  <si>
    <t>Trading Symbol</t>
  </si>
  <si>
    <t>AMZN</t>
  </si>
  <si>
    <t>Security Exchange Name</t>
  </si>
  <si>
    <t>NASDAQ</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</si>
  <si>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</si>
  <si>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</si>
  <si>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</si>
  <si>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</si>
  <si>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</si>
  <si>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</si>
  <si>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</si>
  <si>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</si>
  <si>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</si>
  <si>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</si>
  <si>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</si>
  <si>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</si>
  <si>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</si>
  <si>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Entity Common Stock, Shares Outstanding</t>
  </si>
  <si>
    <t>Documents Incorporated by Reference</t>
  </si>
  <si>
    <t>The information required by Part III of this Report, to the extent not set forth herein, is incorporated herein by reference from the registrant’s definitive proxy statement relating to the Annual Meeting of Shareholders to be held in 2023, which definitive proxy statement shall be filed with the Securities and Exchange Commission within 120 days after the end of the fiscal year to which this Report relates.</t>
  </si>
  <si>
    <t>Amendment Flag</t>
  </si>
  <si>
    <t>Document Fiscal Year Focus</t>
  </si>
  <si>
    <t>2022</t>
  </si>
  <si>
    <t>Document Fiscal Period Focus</t>
  </si>
  <si>
    <t>FY</t>
  </si>
  <si>
    <t>Entity Central Index Key</t>
  </si>
  <si>
    <t>0001018724</t>
  </si>
  <si>
    <t>Growth rate</t>
  </si>
  <si>
    <t>Average</t>
  </si>
  <si>
    <t>Dec. 31, 2018</t>
  </si>
  <si>
    <t>Dec. 31, 2019</t>
  </si>
  <si>
    <t>Dec. 31, 2020</t>
  </si>
  <si>
    <t>Dec. 31, 2021</t>
  </si>
  <si>
    <t>Net sales</t>
  </si>
  <si>
    <t>Cost of sales</t>
  </si>
  <si>
    <t>Total operating expenses</t>
  </si>
  <si>
    <t>Operating income</t>
  </si>
  <si>
    <t>Depreciation and amortization</t>
  </si>
  <si>
    <t>Required Investment</t>
  </si>
  <si>
    <t>Tax rate</t>
  </si>
  <si>
    <t>Long term growth rate</t>
  </si>
  <si>
    <t>Wacc</t>
  </si>
  <si>
    <t>No. of shares</t>
  </si>
  <si>
    <t>millions</t>
  </si>
  <si>
    <t>Gross margin</t>
  </si>
  <si>
    <t>Fulfillment</t>
  </si>
  <si>
    <t>Technology and content</t>
  </si>
  <si>
    <t>Sales and marketing</t>
  </si>
  <si>
    <t>General and administrative</t>
  </si>
  <si>
    <t>Other operating expense (income), net</t>
  </si>
  <si>
    <t>EBIT</t>
  </si>
  <si>
    <t>Depreciation</t>
  </si>
  <si>
    <t>FCF</t>
  </si>
  <si>
    <t>Horizon value</t>
  </si>
  <si>
    <t>Present value</t>
  </si>
  <si>
    <t>Total PV</t>
  </si>
  <si>
    <t xml:space="preserve">Share price </t>
  </si>
  <si>
    <t>Market price</t>
  </si>
  <si>
    <t>Difference</t>
  </si>
  <si>
    <t>Financial Ratios</t>
  </si>
  <si>
    <t>1) Liquidity Ratio : It measures the ability of a company to pay its short term Financial obligations as they become due.</t>
  </si>
  <si>
    <t>a) Current Ratio = Current Assets / Current Liabilities</t>
  </si>
  <si>
    <t>Current Assets</t>
  </si>
  <si>
    <t>Current Liabilities</t>
  </si>
  <si>
    <t>Current Ratio</t>
  </si>
  <si>
    <t>b) Quick Ratio / Acid-test Ratio = (Current Assets – inventory)/ Current Liabilities: More stricter than current ratio as we subtract inventory from current assets because inventory is not as liquid as other current assets</t>
  </si>
  <si>
    <t>Inventory</t>
  </si>
  <si>
    <t>Quick Ratio</t>
  </si>
  <si>
    <r>
      <t xml:space="preserve">c) Cash ratio = Cash + Cash equivalents + </t>
    </r>
    <r>
      <rPr>
        <sz val="11"/>
        <color rgb="FFFF0000"/>
        <rFont val="Calibri"/>
        <family val="2"/>
        <scheme val="minor"/>
      </rPr>
      <t>Marketable securities</t>
    </r>
    <r>
      <rPr>
        <sz val="11"/>
        <color theme="1"/>
        <rFont val="Calibri"/>
        <family val="2"/>
        <scheme val="minor"/>
      </rPr>
      <t xml:space="preserve"> / Current Liabilities : Most strict as it considers a company’s most liquid assets – cash, Cash equivalents, and marketable securities only</t>
    </r>
  </si>
  <si>
    <t>Cash and Cash equivalents</t>
  </si>
  <si>
    <t>Marketable securities</t>
  </si>
  <si>
    <t>Cash Ratio</t>
  </si>
  <si>
    <t>2) Profitability Ratio: It measures profitability, which is a way to measure a company's performance</t>
  </si>
  <si>
    <t>a) Gross Profit Margin = Gross Profit/Net Sales</t>
  </si>
  <si>
    <t>Net Sales</t>
  </si>
  <si>
    <t>Gross Profit</t>
  </si>
  <si>
    <t>GPM</t>
  </si>
  <si>
    <t>b) Operating Profit Margin or Return on Sales = Operating Earnings / Net Sales</t>
  </si>
  <si>
    <t>Operating profit</t>
  </si>
  <si>
    <t>Operating profit margin</t>
  </si>
  <si>
    <t xml:space="preserve">c) Return on Assets = Net Income / Total Assets </t>
  </si>
  <si>
    <t>Net Income</t>
  </si>
  <si>
    <t>Total Assets</t>
  </si>
  <si>
    <t>ROA</t>
  </si>
  <si>
    <t>d) Return on equity = Net income /shareholder’s equity</t>
  </si>
  <si>
    <t>Shareholder’s equity</t>
  </si>
  <si>
    <t>ROE</t>
  </si>
  <si>
    <t>3) Solvency Ratio : It measures company's ability to meet its long-term debt obligations</t>
  </si>
  <si>
    <t>a) Solvency Ratio = (Net Income + Depreciation) / All Liabilities (Short-term + Long-term Liabilities) </t>
  </si>
  <si>
    <t>Total Liabilities</t>
  </si>
  <si>
    <t>Solvency Ratio</t>
  </si>
  <si>
    <t>b) Debt to Equity Ratio = Total Debt  (total Liabilities)/ Shareholders’ Equity </t>
  </si>
  <si>
    <t>Total Debt</t>
  </si>
  <si>
    <t>Debt to Equity</t>
  </si>
  <si>
    <t>4) Turn Over Ratio: It measures the amount of assets or liabilities that a company replaces in relation to its sales</t>
  </si>
  <si>
    <t>a) Inventory Turnover Ratio = Costs of Goods sold/Average Inventory</t>
  </si>
  <si>
    <t>COGS</t>
  </si>
  <si>
    <t>Inventory Beginning of 2022</t>
  </si>
  <si>
    <t>Inventory End of 2022</t>
  </si>
  <si>
    <t>Inventory Turnover Ratio</t>
  </si>
  <si>
    <t>b) Accounts Receivable Turnover Ratio = Net Credit Sales / Average Accounts Receivables (Assuming 100 million in Cash Sales)</t>
  </si>
  <si>
    <t>Net Credit Sales (Net Sales - Minus Cash Sales)</t>
  </si>
  <si>
    <t>AR Beginning of 2022</t>
  </si>
  <si>
    <t>AR End of 2022</t>
  </si>
  <si>
    <t>Accounts Receivable Turnover Ratio</t>
  </si>
  <si>
    <t>c) Payable turnover ratio = Net credit purchases/average accounts payable  (Assuming 200 B in Credit purchases)</t>
  </si>
  <si>
    <t>Net Credit Purchases (Net Purchases - Minus Cash Purchases)</t>
  </si>
  <si>
    <t>AP Beginning of 2022</t>
  </si>
  <si>
    <t>AP End of 2022</t>
  </si>
  <si>
    <t>Payable turnover ratio</t>
  </si>
  <si>
    <t>5) Earning Ratio: the expectations of the market and is the price you must pay per unit of current earnings (or future earnings, as the case may be).</t>
  </si>
  <si>
    <t>a) P/E Ratio = Market value per share/Earnings per share (EPS) </t>
  </si>
  <si>
    <t>Stock Price</t>
  </si>
  <si>
    <t>EPS</t>
  </si>
  <si>
    <t>PE Ratio</t>
  </si>
  <si>
    <t>Date2</t>
  </si>
  <si>
    <t>S&amp;P 500</t>
  </si>
  <si>
    <t>Rmarket</t>
  </si>
  <si>
    <t>Date</t>
  </si>
  <si>
    <t>RAMZN</t>
  </si>
  <si>
    <t xml:space="preserve">B </t>
  </si>
  <si>
    <t>Rm</t>
  </si>
  <si>
    <t>Market Return (CAGR)</t>
  </si>
  <si>
    <t>Percentage Return Monthly</t>
  </si>
  <si>
    <t>S&amp;P Return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</si>
  <si>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</si>
  <si>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</si>
  <si>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</si>
  <si>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</si>
  <si>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</si>
  <si>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</si>
  <si>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</si>
  <si>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</si>
  <si>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</si>
  <si>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</si>
  <si>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</si>
  <si>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</si>
  <si>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</si>
  <si>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</si>
  <si>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</si>
  <si>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</si>
  <si>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</si>
  <si>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</si>
  <si>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</si>
  <si>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</si>
  <si>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</si>
  <si>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</si>
  <si>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</si>
  <si>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</si>
  <si>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</si>
  <si>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Consolidated Statements Of Operations - USD ($) shares in Millions, $ in Millions</t>
  </si>
  <si>
    <t>Total net sales</t>
  </si>
  <si>
    <t>Operating expenses:</t>
  </si>
  <si>
    <t>Interest income</t>
  </si>
  <si>
    <t>Interest expense</t>
  </si>
  <si>
    <t>Other income (expense), net</t>
  </si>
  <si>
    <t>Total non-operating income (expense)</t>
  </si>
  <si>
    <t>Income (loss) before income taxes</t>
  </si>
  <si>
    <t>Benefit (provision) for income taxes</t>
  </si>
  <si>
    <t>Equity-method investment activity, net of tax</t>
  </si>
  <si>
    <t>Net income (loss)</t>
  </si>
  <si>
    <t>Basic earnings per share (in dollars per share)</t>
  </si>
  <si>
    <t>Diluted earnings per share (in dollars per share)</t>
  </si>
  <si>
    <t>Weighted-average shares used in computation of earnings per share:</t>
  </si>
  <si>
    <t>Basic (in shares)</t>
  </si>
  <si>
    <t>Diluted (in shares)</t>
  </si>
  <si>
    <t>Net product sales</t>
  </si>
  <si>
    <t>Net service sales</t>
  </si>
  <si>
    <t>Consolidated Balance Sheets - USD ($) $ in Millions</t>
  </si>
  <si>
    <t>Current assets:</t>
  </si>
  <si>
    <t>Cash and cash equivalents</t>
  </si>
  <si>
    <t>Inventories</t>
  </si>
  <si>
    <t>Accounts receivable, net and other</t>
  </si>
  <si>
    <t>Total current assets</t>
  </si>
  <si>
    <t>Property and equipment, net</t>
  </si>
  <si>
    <t>Operating leases</t>
  </si>
  <si>
    <t>Goodwill</t>
  </si>
  <si>
    <t>Other assets</t>
  </si>
  <si>
    <t>Total assets</t>
  </si>
  <si>
    <t>Current liabilities:</t>
  </si>
  <si>
    <t>Accounts payable</t>
  </si>
  <si>
    <t>Accrued expenses and other</t>
  </si>
  <si>
    <t>Unearned revenue</t>
  </si>
  <si>
    <t>Total current liabilities</t>
  </si>
  <si>
    <t>Long-term lease liabilities</t>
  </si>
  <si>
    <t>Long-term debt</t>
  </si>
  <si>
    <t>Other long-term liabilities</t>
  </si>
  <si>
    <t>Commitments and contingencies (Note 7)</t>
  </si>
  <si>
    <t xml:space="preserve"> </t>
  </si>
  <si>
    <t>Stockholders’ equity:</t>
  </si>
  <si>
    <t>Preferred stock ($0.01 par value; 500 shares authorized; no shares issued or outstanding)</t>
  </si>
  <si>
    <t>Common stock ($0.01 par value; 100,000 shares authorized; 10,644 and 10,757 shares issued; 10,175 and 10,242 shares outstanding)</t>
  </si>
  <si>
    <t>Treasury stock, at cost</t>
  </si>
  <si>
    <t>Additional paid-in capital</t>
  </si>
  <si>
    <t>Accumulated other comprehensive income (loss)</t>
  </si>
  <si>
    <t>Retained earnings</t>
  </si>
  <si>
    <t>Total stockholders’ equity</t>
  </si>
  <si>
    <t>Total liabilities and stockholders’ equity</t>
  </si>
  <si>
    <t>Consolidated Statements of Cash Flows - USD ($) $ in Millions</t>
  </si>
  <si>
    <t>Statement of Cash Flows [Abstract]</t>
  </si>
  <si>
    <t>CASH, CASH EQUIVALENTS, AND RESTRICTED CASH, BEGINNING OF PERIOD</t>
  </si>
  <si>
    <t>OPERATING ACTIVITIES:</t>
  </si>
  <si>
    <t>Adjustments to reconcile net income (loss) to net cash from operating activities:</t>
  </si>
  <si>
    <t>Depreciation and amortization of property and equipment and capitalized content costs, operating lease assets, and other</t>
  </si>
  <si>
    <t>Stock-based compensation</t>
  </si>
  <si>
    <t>Other expense (income), net</t>
  </si>
  <si>
    <t>Deferred income taxes</t>
  </si>
  <si>
    <t>Changes in operating assets and liabilities:</t>
  </si>
  <si>
    <t>Net cash provided by (used in) operating activities</t>
  </si>
  <si>
    <t>INVESTING ACTIVITIES:</t>
  </si>
  <si>
    <t>Purchases of property and equipment</t>
  </si>
  <si>
    <t>Proceeds from property and equipment sales and incentives</t>
  </si>
  <si>
    <t>Acquisitions, net of cash acquired, and other</t>
  </si>
  <si>
    <t>Sales and maturities of marketable securities</t>
  </si>
  <si>
    <t>Purchases of marketable securities</t>
  </si>
  <si>
    <t>Net cash provided by (used in) investing activities</t>
  </si>
  <si>
    <t>FINANCING ACTIVITIES:</t>
  </si>
  <si>
    <t>Common stock repurchased</t>
  </si>
  <si>
    <t>Proceeds from short-term debt, and other</t>
  </si>
  <si>
    <t>Repayments of short-term debt, and other</t>
  </si>
  <si>
    <t>Proceeds from long-term debt</t>
  </si>
  <si>
    <t>Repayments of long-term debt</t>
  </si>
  <si>
    <t>Principal repayments of finance leases</t>
  </si>
  <si>
    <t>Principal repayments of financing obligations</t>
  </si>
  <si>
    <t>Net cash provided by (used in) financing activities</t>
  </si>
  <si>
    <t>Foreign currency effect on cash, cash equivalents, and restricted cash</t>
  </si>
  <si>
    <t>Net increase (decrease) in cash, cash equivalents, and restricted cash</t>
  </si>
  <si>
    <t>CASH, CASH EQUIVALENTS, AND RESTRICTED CASH, END OF PERIOD</t>
  </si>
  <si>
    <t>Consolidated Statements of Comprehensive Income (Loss) - USD ($) $ in Millions</t>
  </si>
  <si>
    <t>Statement of Comprehensive Income [Abstract]</t>
  </si>
  <si>
    <t>Other comprehensive income (loss):</t>
  </si>
  <si>
    <t>Foreign currency translation adjustments, net of tax of $(36), $47, and $100</t>
  </si>
  <si>
    <t>Net change in unrealized gains (losses) on available-for-sale debt securities:</t>
  </si>
  <si>
    <t>Unrealized gains (losses), net of tax of $(83), $72, and $159</t>
  </si>
  <si>
    <t>Reclassification adjustment for losses (gains) included in “Other income (expense), net,” net of tax of $8, $13, and $0</t>
  </si>
  <si>
    <t>Net unrealized gains (losses) on available-for-sale debt securities</t>
  </si>
  <si>
    <t>Other comprehensive income (loss)</t>
  </si>
  <si>
    <t>Comprehensive income (loss)</t>
  </si>
  <si>
    <t>CONSOLIDATED STATEMENTS OF OPERATIONS - USD ($) shares in Millions, $ in Millions</t>
  </si>
  <si>
    <t>Years</t>
  </si>
  <si>
    <t>Amazon Future Cash Flow</t>
  </si>
  <si>
    <t>Predictions</t>
  </si>
  <si>
    <t>Parameters</t>
  </si>
  <si>
    <t>Ra = Rf + B(Rm - Rf)</t>
  </si>
  <si>
    <t xml:space="preserve">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</si>
</sst>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 &quot;#,##0_);_(&quot;$ &quot;\(#,##0\)"/>
    <numFmt numFmtId="165" formatCode="_(&quot;$ &quot;#,##0.00_);_(&quot;$ &quot;\(#,##0.00\)"/>
    <numFmt numFmtId="166" formatCode="#,##0.0_);\(#,##0.0\)"/>
    <numFmt numFmtId="167" formatCode="_(* #,##0_);_(* \(#,##0\);_(* &quot;-&quot;??_);_(@_)"/>
    <numFmt numFmtId="168" formatCode="_(* #,##0.0_);_(* \(#,##0.0\);_(* &quot;-&quot;??_);_(@_)"/>
    <numFmt numFmtId="169" formatCode="&quot;$&quot;#,##0"/>
  </numFmts>
  <fonts count="15" x14ac:knownFonts="1">
    <font>
      <sz val="11"/>
      <color theme="1"/>
      <name val="Calibri"/>
      <family val="2"/>
      <scheme val="minor"/>
    </font>
    <font>
      <b/>
      <sz val="11"/>
      <name val="Calibri"/>
    </font>
    <font>
      <sz val="11"/>
      <name val="Calibri"/>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font>
    <font>
      <sz val="11"/>
      <name val="Calibri"/>
      <family val="2"/>
    </font>
    <font>
      <sz val="11"/>
      <name val="Calibri"/>
      <family val="2"/>
      <scheme val="minor"/>
    </font>
    <font>
      <sz val="11"/>
      <color rgb="FF000000"/>
      <name val="Calibri"/>
      <family val="2"/>
    </font>
    <font>
      <b/>
      <sz val="11"/>
      <color rgb="FFFFFFFF"/>
      <name val="Calibri"/>
      <family val="2"/>
    </font>
    <font>
      <sz val="11"/>
      <color theme="0"/>
      <name val="Calibri"/>
      <family val="2"/>
    </font>
    <font>
      <i/>
      <sz val="11"/>
      <color rgb="FF000000"/>
      <name val="Calibri"/>
      <family val="2"/>
    </font>
    <font>
      <b/>
      <sz val="11"/>
      <color theme="0"/>
      <name val="Calibri"/>
      <family val="2"/>
      <scheme val="minor"/>
    </font>
    <font>
      <b/>
      <sz val="12"/>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bgColor indexed="64"/>
      </patternFill>
    </fill>
    <fill>
      <patternFill patternType="solid">
        <fgColor rgb="FFD9E1F2"/>
        <bgColor rgb="FFD9E1F2"/>
      </patternFill>
    </fill>
    <fill>
      <patternFill patternType="solid">
        <fgColor rgb="FF4472C4"/>
        <bgColor rgb="FF4472C4"/>
      </patternFill>
    </fill>
    <fill>
      <patternFill patternType="solid">
        <fgColor rgb="FFA5A5A5"/>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8EA9DB"/>
      </top>
      <bottom style="thin">
        <color rgb="FF8EA9DB"/>
      </bottom>
      <diagonal/>
    </border>
    <border>
      <left/>
      <right/>
      <top style="medium">
        <color indexed="64"/>
      </top>
      <bottom style="thin">
        <color indexed="64"/>
      </bottom>
      <diagonal/>
    </border>
    <border>
      <left/>
      <right/>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13" fillId="8" borderId="11" applyNumberFormat="0" applyAlignment="0" applyProtection="0"/>
  </cellStyleXfs>
  <cellXfs count="11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9" fontId="0" fillId="0" borderId="0" xfId="2" applyFont="1"/>
    <xf numFmtId="9" fontId="0" fillId="0" borderId="0" xfId="0" applyNumberFormat="1"/>
    <xf numFmtId="10" fontId="0" fillId="0" borderId="0" xfId="0" applyNumberFormat="1"/>
    <xf numFmtId="0" fontId="2" fillId="2" borderId="0" xfId="0" applyFont="1" applyFill="1" applyAlignment="1">
      <alignment vertical="top" wrapText="1"/>
    </xf>
    <xf numFmtId="164" fontId="2" fillId="2" borderId="0" xfId="0" applyNumberFormat="1" applyFont="1" applyFill="1" applyAlignment="1">
      <alignment horizontal="right" vertical="top"/>
    </xf>
    <xf numFmtId="37" fontId="2" fillId="2" borderId="0" xfId="0" applyNumberFormat="1" applyFont="1" applyFill="1" applyAlignment="1">
      <alignment horizontal="right" vertical="top"/>
    </xf>
    <xf numFmtId="0" fontId="0" fillId="0" borderId="0" xfId="0" applyAlignment="1">
      <alignment horizontal="center"/>
    </xf>
    <xf numFmtId="0" fontId="0" fillId="3" borderId="4" xfId="0" applyFill="1" applyBorder="1"/>
    <xf numFmtId="0" fontId="7" fillId="3"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0" borderId="4" xfId="0" applyFont="1" applyBorder="1" applyAlignment="1">
      <alignment vertical="top" wrapText="1"/>
    </xf>
    <xf numFmtId="167" fontId="0" fillId="0" borderId="5" xfId="1" applyNumberFormat="1" applyFont="1" applyBorder="1"/>
    <xf numFmtId="167" fontId="0" fillId="0" borderId="6" xfId="1" applyNumberFormat="1" applyFont="1" applyBorder="1"/>
    <xf numFmtId="0" fontId="6" fillId="0" borderId="4" xfId="0" applyFont="1" applyBorder="1" applyAlignment="1">
      <alignment vertical="top" wrapText="1"/>
    </xf>
    <xf numFmtId="0" fontId="7" fillId="0" borderId="5" xfId="0" applyFont="1" applyBorder="1" applyAlignment="1">
      <alignment vertical="top" wrapText="1"/>
    </xf>
    <xf numFmtId="0" fontId="0" fillId="0" borderId="4" xfId="0" applyBorder="1"/>
    <xf numFmtId="0" fontId="0" fillId="0" borderId="5" xfId="0" applyBorder="1"/>
    <xf numFmtId="0" fontId="0" fillId="0" borderId="6" xfId="0" applyBorder="1"/>
    <xf numFmtId="43" fontId="0" fillId="0" borderId="5" xfId="1" applyFont="1" applyBorder="1"/>
    <xf numFmtId="0" fontId="0" fillId="0" borderId="7" xfId="0" applyBorder="1"/>
    <xf numFmtId="14" fontId="0" fillId="0" borderId="0" xfId="1" applyNumberFormat="1" applyFont="1"/>
    <xf numFmtId="3" fontId="8" fillId="0" borderId="0" xfId="0" applyNumberFormat="1" applyFont="1"/>
    <xf numFmtId="0" fontId="5" fillId="5" borderId="0" xfId="0" applyFont="1" applyFill="1"/>
    <xf numFmtId="0" fontId="0" fillId="5" borderId="0" xfId="0" applyFill="1"/>
    <xf numFmtId="0" fontId="0" fillId="5" borderId="5" xfId="0" applyFill="1" applyBorder="1"/>
    <xf numFmtId="37" fontId="0" fillId="5" borderId="5" xfId="0" applyNumberFormat="1" applyFill="1" applyBorder="1"/>
    <xf numFmtId="2" fontId="0" fillId="5" borderId="5" xfId="0" applyNumberFormat="1" applyFill="1" applyBorder="1"/>
    <xf numFmtId="10" fontId="0" fillId="5" borderId="5" xfId="2" applyNumberFormat="1" applyFont="1" applyFill="1" applyBorder="1"/>
    <xf numFmtId="10" fontId="0" fillId="5" borderId="0" xfId="2" applyNumberFormat="1" applyFont="1" applyFill="1" applyBorder="1"/>
    <xf numFmtId="168" fontId="0" fillId="5" borderId="5" xfId="1" applyNumberFormat="1" applyFont="1" applyFill="1" applyBorder="1"/>
    <xf numFmtId="39" fontId="0" fillId="5" borderId="5" xfId="0" applyNumberFormat="1" applyFill="1" applyBorder="1"/>
    <xf numFmtId="166" fontId="0" fillId="5" borderId="5" xfId="0" applyNumberFormat="1" applyFill="1" applyBorder="1"/>
    <xf numFmtId="0" fontId="9" fillId="0" borderId="0" xfId="0" applyFont="1"/>
    <xf numFmtId="14" fontId="9" fillId="0" borderId="0" xfId="0" applyNumberFormat="1" applyFont="1"/>
    <xf numFmtId="11" fontId="9" fillId="0" borderId="0" xfId="0" applyNumberFormat="1" applyFont="1"/>
    <xf numFmtId="4" fontId="9" fillId="6" borderId="8" xfId="0" applyNumberFormat="1" applyFont="1" applyFill="1" applyBorder="1"/>
    <xf numFmtId="4" fontId="9" fillId="0" borderId="8" xfId="0" applyNumberFormat="1" applyFont="1" applyBorder="1"/>
    <xf numFmtId="0" fontId="10" fillId="7" borderId="8" xfId="0" applyFont="1" applyFill="1" applyBorder="1"/>
    <xf numFmtId="0" fontId="11" fillId="0" borderId="0" xfId="0" applyFont="1"/>
    <xf numFmtId="14" fontId="9" fillId="6" borderId="8" xfId="0" applyNumberFormat="1" applyFont="1" applyFill="1" applyBorder="1"/>
    <xf numFmtId="14" fontId="9" fillId="0" borderId="8" xfId="0" applyNumberFormat="1" applyFont="1" applyBorder="1"/>
    <xf numFmtId="0" fontId="12" fillId="0" borderId="9" xfId="0" applyFont="1" applyBorder="1"/>
    <xf numFmtId="0" fontId="12" fillId="0" borderId="0" xfId="0" applyFont="1"/>
    <xf numFmtId="0" fontId="9" fillId="0" borderId="10" xfId="0" applyFont="1" applyBorder="1"/>
    <xf numFmtId="11" fontId="9" fillId="0" borderId="10" xfId="0" applyNumberFormat="1" applyFont="1" applyBorder="1"/>
    <xf numFmtId="0" fontId="5" fillId="0" borderId="0" xfId="0" applyFont="1"/>
    <xf numFmtId="43" fontId="0" fillId="0" borderId="6" xfId="1" applyFont="1" applyBorder="1"/>
    <xf numFmtId="0" fontId="7" fillId="4" borderId="7" xfId="0" applyFont="1" applyFill="1" applyBorder="1" applyAlignment="1">
      <alignment horizontal="center" vertical="center" wrapText="1"/>
    </xf>
    <xf numFmtId="0" fontId="0" fillId="3" borderId="5" xfId="0" applyFill="1" applyBorder="1"/>
    <xf numFmtId="164" fontId="2" fillId="0" borderId="5" xfId="0" applyNumberFormat="1" applyFont="1" applyBorder="1" applyAlignment="1">
      <alignment horizontal="right" vertical="top"/>
    </xf>
    <xf numFmtId="0" fontId="0" fillId="0" borderId="20" xfId="0" applyBorder="1"/>
    <xf numFmtId="0" fontId="6" fillId="5" borderId="21" xfId="0" applyFont="1" applyFill="1" applyBorder="1" applyAlignment="1">
      <alignment vertical="top" wrapText="1"/>
    </xf>
    <xf numFmtId="169" fontId="7" fillId="0" borderId="5" xfId="0" applyNumberFormat="1" applyFont="1" applyBorder="1" applyAlignment="1">
      <alignment vertical="top" wrapText="1"/>
    </xf>
    <xf numFmtId="169" fontId="7" fillId="0" borderId="5" xfId="0" applyNumberFormat="1" applyFont="1" applyBorder="1" applyAlignment="1">
      <alignment horizontal="right" vertical="top"/>
    </xf>
    <xf numFmtId="169" fontId="0" fillId="0" borderId="5" xfId="1" applyNumberFormat="1" applyFont="1" applyBorder="1"/>
    <xf numFmtId="169" fontId="0" fillId="0" borderId="7" xfId="1" applyNumberFormat="1" applyFont="1" applyBorder="1"/>
    <xf numFmtId="169" fontId="0" fillId="0" borderId="6" xfId="1" applyNumberFormat="1" applyFont="1" applyBorder="1"/>
    <xf numFmtId="169" fontId="6" fillId="0" borderId="5" xfId="0" applyNumberFormat="1" applyFont="1" applyBorder="1" applyAlignment="1">
      <alignment vertical="top" wrapText="1"/>
    </xf>
    <xf numFmtId="167" fontId="0" fillId="0" borderId="5" xfId="0" applyNumberFormat="1" applyBorder="1"/>
    <xf numFmtId="167" fontId="0" fillId="0" borderId="6" xfId="0" applyNumberFormat="1" applyBorder="1"/>
    <xf numFmtId="167" fontId="0" fillId="0" borderId="21" xfId="0" applyNumberFormat="1" applyBorder="1"/>
    <xf numFmtId="167" fontId="0" fillId="0" borderId="22" xfId="0" applyNumberFormat="1" applyBorder="1"/>
    <xf numFmtId="0" fontId="0" fillId="0" borderId="1" xfId="0" applyBorder="1"/>
    <xf numFmtId="167" fontId="0" fillId="0" borderId="2" xfId="0" applyNumberFormat="1" applyBorder="1"/>
    <xf numFmtId="167" fontId="0" fillId="0" borderId="3" xfId="0" applyNumberFormat="1" applyBorder="1"/>
    <xf numFmtId="0" fontId="6" fillId="0" borderId="17" xfId="0" applyFont="1" applyBorder="1" applyAlignment="1">
      <alignment horizontal="center" vertical="center" wrapText="1"/>
    </xf>
    <xf numFmtId="2" fontId="13" fillId="8" borderId="11" xfId="3" applyNumberFormat="1"/>
    <xf numFmtId="0" fontId="13" fillId="8" borderId="11" xfId="3"/>
    <xf numFmtId="0" fontId="5" fillId="0" borderId="14" xfId="0" applyFont="1" applyBorder="1"/>
    <xf numFmtId="0" fontId="5" fillId="0" borderId="15" xfId="0" applyFont="1" applyBorder="1"/>
    <xf numFmtId="0" fontId="5" fillId="0" borderId="16" xfId="0" applyFont="1" applyBorder="1"/>
    <xf numFmtId="0" fontId="5" fillId="0" borderId="4" xfId="0" applyFont="1" applyBorder="1"/>
    <xf numFmtId="0" fontId="5" fillId="0" borderId="20" xfId="0" applyFont="1" applyBorder="1"/>
    <xf numFmtId="0" fontId="7" fillId="4" borderId="19"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23" xfId="0" applyFont="1" applyFill="1" applyBorder="1" applyAlignment="1">
      <alignment horizontal="center" vertical="center" wrapText="1"/>
    </xf>
    <xf numFmtId="43" fontId="0" fillId="0" borderId="22" xfId="1" applyFont="1" applyBorder="1"/>
    <xf numFmtId="43" fontId="0" fillId="0" borderId="0" xfId="1" applyFont="1"/>
    <xf numFmtId="43" fontId="0" fillId="0" borderId="26" xfId="1" applyFont="1" applyBorder="1"/>
    <xf numFmtId="43" fontId="0" fillId="0" borderId="27" xfId="1" applyFont="1" applyBorder="1"/>
    <xf numFmtId="167" fontId="0" fillId="0" borderId="21" xfId="1" applyNumberFormat="1" applyFont="1" applyBorder="1"/>
    <xf numFmtId="167" fontId="0" fillId="0" borderId="25" xfId="1" applyNumberFormat="1" applyFont="1" applyBorder="1"/>
    <xf numFmtId="0" fontId="14" fillId="2" borderId="11" xfId="3" applyFont="1" applyFill="1" applyAlignment="1"/>
    <xf numFmtId="167" fontId="14" fillId="2" borderId="11" xfId="3" applyNumberFormat="1" applyFont="1" applyFill="1"/>
    <xf numFmtId="2" fontId="14" fillId="2" borderId="11" xfId="3" applyNumberFormat="1" applyFont="1" applyFill="1"/>
    <xf numFmtId="0" fontId="14" fillId="2" borderId="11" xfId="3" applyFont="1" applyFill="1"/>
    <xf numFmtId="9" fontId="0" fillId="0" borderId="5" xfId="0" applyNumberFormat="1" applyBorder="1"/>
    <xf numFmtId="9" fontId="8" fillId="0" borderId="5" xfId="0" applyNumberFormat="1" applyFont="1" applyBorder="1"/>
    <xf numFmtId="10" fontId="8" fillId="0" borderId="5" xfId="0" applyNumberFormat="1" applyFont="1" applyBorder="1"/>
    <xf numFmtId="3" fontId="8" fillId="0" borderId="5" xfId="0" applyNumberFormat="1" applyFont="1" applyBorder="1"/>
    <xf numFmtId="0" fontId="0" fillId="2" borderId="0" xfId="0" applyFill="1"/>
    <xf numFmtId="10" fontId="0" fillId="2" borderId="0" xfId="0" applyNumberFormat="1" applyFill="1"/>
    <xf numFmtId="0" fontId="0" fillId="0" borderId="0" xfId="0"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4" xfId="0" applyBorder="1" applyAlignment="1">
      <alignment horizontal="center"/>
    </xf>
    <xf numFmtId="0" fontId="7" fillId="0" borderId="2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4">
    <cellStyle name="Check Cell" xfId="3" builtinId="23"/>
    <cellStyle name="Comma" xfId="1" builtinId="3"/>
    <cellStyle name="Normal" xfId="0" builtinId="0"/>
    <cellStyle name="Percent" xfId="2" builtinId="5"/>
  </cellStyles>
  <dxfs count="8">
    <dxf>
      <numFmt numFmtId="0" formatCode="General"/>
    </dxf>
    <dxf>
      <font>
        <b val="0"/>
        <i val="0"/>
        <strike val="0"/>
        <condense val="0"/>
        <extend val="0"/>
        <outline val="0"/>
        <shadow val="0"/>
        <u val="none"/>
        <vertAlign val="baseline"/>
        <sz val="11"/>
        <color rgb="FF000000"/>
        <name val="Calibri"/>
        <family val="2"/>
        <scheme val="none"/>
      </font>
      <numFmt numFmtId="4" formatCode="#,##0.00"/>
      <fill>
        <patternFill patternType="none">
          <fgColor indexed="64"/>
          <bgColor indexed="65"/>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border>
    </dxf>
    <dxf>
      <numFmt numFmtId="0" formatCode="General"/>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Consolidated</a:t>
            </a:r>
            <a:r>
              <a:rPr lang="en-CA" baseline="0"/>
              <a:t> Statements of Operations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Financials'!$B$5</c:f>
              <c:strCache>
                <c:ptCount val="1"/>
                <c:pt idx="0">
                  <c:v>Net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Financials'!$C$4:$G$4</c:f>
              <c:strCache>
                <c:ptCount val="5"/>
                <c:pt idx="0">
                  <c:v>Dec. 31, 2018</c:v>
                </c:pt>
                <c:pt idx="1">
                  <c:v>Dec. 31, 2019</c:v>
                </c:pt>
                <c:pt idx="2">
                  <c:v>Dec. 31, 2020</c:v>
                </c:pt>
                <c:pt idx="3">
                  <c:v>Dec. 31, 2021</c:v>
                </c:pt>
                <c:pt idx="4">
                  <c:v>Dec. 31, 2022</c:v>
                </c:pt>
              </c:strCache>
            </c:strRef>
          </c:cat>
          <c:val>
            <c:numRef>
              <c:f>'Projected Financials'!$C$5:$G$5</c:f>
              <c:numCache>
                <c:formatCode>"$"#,##0</c:formatCode>
                <c:ptCount val="5"/>
                <c:pt idx="0">
                  <c:v>232887</c:v>
                </c:pt>
                <c:pt idx="1">
                  <c:v>280522</c:v>
                </c:pt>
                <c:pt idx="2">
                  <c:v>386064</c:v>
                </c:pt>
                <c:pt idx="3">
                  <c:v>469822</c:v>
                </c:pt>
                <c:pt idx="4">
                  <c:v>513983</c:v>
                </c:pt>
              </c:numCache>
            </c:numRef>
          </c:val>
          <c:smooth val="0"/>
          <c:extLst>
            <c:ext xmlns:c16="http://schemas.microsoft.com/office/drawing/2014/chart" uri="{C3380CC4-5D6E-409C-BE32-E72D297353CC}">
              <c16:uniqueId val="{00000000-6796-4CA4-8A58-D117D506E6DB}"/>
            </c:ext>
          </c:extLst>
        </c:ser>
        <c:ser>
          <c:idx val="1"/>
          <c:order val="1"/>
          <c:tx>
            <c:strRef>
              <c:f>'Projected Financials'!$B$6</c:f>
              <c:strCache>
                <c:ptCount val="1"/>
                <c:pt idx="0">
                  <c:v>Cost of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Financials'!$C$4:$G$4</c:f>
              <c:strCache>
                <c:ptCount val="5"/>
                <c:pt idx="0">
                  <c:v>Dec. 31, 2018</c:v>
                </c:pt>
                <c:pt idx="1">
                  <c:v>Dec. 31, 2019</c:v>
                </c:pt>
                <c:pt idx="2">
                  <c:v>Dec. 31, 2020</c:v>
                </c:pt>
                <c:pt idx="3">
                  <c:v>Dec. 31, 2021</c:v>
                </c:pt>
                <c:pt idx="4">
                  <c:v>Dec. 31, 2022</c:v>
                </c:pt>
              </c:strCache>
            </c:strRef>
          </c:cat>
          <c:val>
            <c:numRef>
              <c:f>'Projected Financials'!$C$6:$G$6</c:f>
              <c:numCache>
                <c:formatCode>"$"#,##0</c:formatCode>
                <c:ptCount val="5"/>
                <c:pt idx="0">
                  <c:v>139156</c:v>
                </c:pt>
                <c:pt idx="1">
                  <c:v>165536</c:v>
                </c:pt>
                <c:pt idx="2">
                  <c:v>233307</c:v>
                </c:pt>
                <c:pt idx="3">
                  <c:v>272344</c:v>
                </c:pt>
                <c:pt idx="4">
                  <c:v>288831</c:v>
                </c:pt>
              </c:numCache>
            </c:numRef>
          </c:val>
          <c:smooth val="0"/>
          <c:extLst>
            <c:ext xmlns:c16="http://schemas.microsoft.com/office/drawing/2014/chart" uri="{C3380CC4-5D6E-409C-BE32-E72D297353CC}">
              <c16:uniqueId val="{00000001-6796-4CA4-8A58-D117D506E6DB}"/>
            </c:ext>
          </c:extLst>
        </c:ser>
        <c:ser>
          <c:idx val="2"/>
          <c:order val="2"/>
          <c:tx>
            <c:strRef>
              <c:f>'Projected Financials'!$B$15</c:f>
              <c:strCache>
                <c:ptCount val="1"/>
                <c:pt idx="0">
                  <c:v>Total operating expenses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Financials'!$C$4:$G$4</c:f>
              <c:strCache>
                <c:ptCount val="5"/>
                <c:pt idx="0">
                  <c:v>Dec. 31, 2018</c:v>
                </c:pt>
                <c:pt idx="1">
                  <c:v>Dec. 31, 2019</c:v>
                </c:pt>
                <c:pt idx="2">
                  <c:v>Dec. 31, 2020</c:v>
                </c:pt>
                <c:pt idx="3">
                  <c:v>Dec. 31, 2021</c:v>
                </c:pt>
                <c:pt idx="4">
                  <c:v>Dec. 31, 2022</c:v>
                </c:pt>
              </c:strCache>
            </c:strRef>
          </c:cat>
          <c:val>
            <c:numRef>
              <c:f>'Projected Financials'!$C$15:$G$15</c:f>
              <c:numCache>
                <c:formatCode>"$"#,##0</c:formatCode>
                <c:ptCount val="5"/>
                <c:pt idx="0">
                  <c:v>81310</c:v>
                </c:pt>
                <c:pt idx="1">
                  <c:v>100445</c:v>
                </c:pt>
                <c:pt idx="2">
                  <c:v>129858</c:v>
                </c:pt>
                <c:pt idx="3">
                  <c:v>172599</c:v>
                </c:pt>
                <c:pt idx="4">
                  <c:v>212904</c:v>
                </c:pt>
              </c:numCache>
            </c:numRef>
          </c:val>
          <c:smooth val="0"/>
          <c:extLst>
            <c:ext xmlns:c16="http://schemas.microsoft.com/office/drawing/2014/chart" uri="{C3380CC4-5D6E-409C-BE32-E72D297353CC}">
              <c16:uniqueId val="{00000002-6796-4CA4-8A58-D117D506E6DB}"/>
            </c:ext>
          </c:extLst>
        </c:ser>
        <c:ser>
          <c:idx val="3"/>
          <c:order val="3"/>
          <c:tx>
            <c:strRef>
              <c:f>'Projected Financials'!$B$16</c:f>
              <c:strCache>
                <c:ptCount val="1"/>
                <c:pt idx="0">
                  <c:v>Operating income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Financials'!$C$4:$G$4</c:f>
              <c:strCache>
                <c:ptCount val="5"/>
                <c:pt idx="0">
                  <c:v>Dec. 31, 2018</c:v>
                </c:pt>
                <c:pt idx="1">
                  <c:v>Dec. 31, 2019</c:v>
                </c:pt>
                <c:pt idx="2">
                  <c:v>Dec. 31, 2020</c:v>
                </c:pt>
                <c:pt idx="3">
                  <c:v>Dec. 31, 2021</c:v>
                </c:pt>
                <c:pt idx="4">
                  <c:v>Dec. 31, 2022</c:v>
                </c:pt>
              </c:strCache>
            </c:strRef>
          </c:cat>
          <c:val>
            <c:numRef>
              <c:f>'Projected Financials'!$C$16:$G$16</c:f>
              <c:numCache>
                <c:formatCode>"$"#,##0</c:formatCode>
                <c:ptCount val="5"/>
                <c:pt idx="0">
                  <c:v>12421</c:v>
                </c:pt>
                <c:pt idx="1">
                  <c:v>14541</c:v>
                </c:pt>
                <c:pt idx="2">
                  <c:v>22899</c:v>
                </c:pt>
                <c:pt idx="3">
                  <c:v>24879</c:v>
                </c:pt>
                <c:pt idx="4">
                  <c:v>12248</c:v>
                </c:pt>
              </c:numCache>
            </c:numRef>
          </c:val>
          <c:smooth val="0"/>
          <c:extLst>
            <c:ext xmlns:c16="http://schemas.microsoft.com/office/drawing/2014/chart" uri="{C3380CC4-5D6E-409C-BE32-E72D297353CC}">
              <c16:uniqueId val="{00000003-6796-4CA4-8A58-D117D506E6DB}"/>
            </c:ext>
          </c:extLst>
        </c:ser>
        <c:dLbls>
          <c:dLblPos val="t"/>
          <c:showLegendKey val="0"/>
          <c:showVal val="1"/>
          <c:showCatName val="0"/>
          <c:showSerName val="0"/>
          <c:showPercent val="0"/>
          <c:showBubbleSize val="0"/>
        </c:dLbls>
        <c:smooth val="0"/>
        <c:axId val="60369263"/>
        <c:axId val="60344303"/>
      </c:lineChart>
      <c:catAx>
        <c:axId val="603692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4303"/>
        <c:crosses val="autoZero"/>
        <c:auto val="1"/>
        <c:lblAlgn val="ctr"/>
        <c:lblOffset val="100"/>
        <c:noMultiLvlLbl val="0"/>
      </c:catAx>
      <c:valAx>
        <c:axId val="6034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Money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19</xdr:row>
          <xdr:rowOff>50800</xdr:rowOff>
        </xdr:from>
        <xdr:to>
          <xdr:col>4</xdr:col>
          <xdr:colOff>412750</xdr:colOff>
          <xdr:row>21</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22</xdr:row>
      <xdr:rowOff>151423</xdr:rowOff>
    </xdr:from>
    <xdr:to>
      <xdr:col>3</xdr:col>
      <xdr:colOff>942730</xdr:colOff>
      <xdr:row>33</xdr:row>
      <xdr:rowOff>144771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049346"/>
          <a:ext cx="5685692" cy="2035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286317</xdr:colOff>
      <xdr:row>28</xdr:row>
      <xdr:rowOff>19051</xdr:rowOff>
    </xdr:from>
    <xdr:to>
      <xdr:col>16</xdr:col>
      <xdr:colOff>44451</xdr:colOff>
      <xdr:row>49</xdr:row>
      <xdr:rowOff>167063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090467" y="5797551"/>
          <a:ext cx="4730184" cy="4015162"/>
        </a:xfrm>
        <a:prstGeom prst="rect">
          <a:avLst/>
        </a:prstGeom>
      </xdr:spPr>
    </xdr:pic>
    <xdr:clientData/>
  </xdr:twoCellAnchor>
  <xdr:twoCellAnchor editAs="oneCell">
    <xdr:from>
      <xdr:col>1</xdr:col>
      <xdr:colOff>63500</xdr:colOff>
      <xdr:row>28</xdr:row>
      <xdr:rowOff>38100</xdr:rowOff>
    </xdr:from>
    <xdr:to>
      <xdr:col>7</xdr:col>
      <xdr:colOff>432152</xdr:colOff>
      <xdr:row>50</xdr:row>
      <xdr:rowOff>165315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73100" y="5397500"/>
          <a:ext cx="6852002" cy="4178515"/>
        </a:xfrm>
        <a:prstGeom prst="rect">
          <a:avLst/>
        </a:prstGeom>
      </xdr:spPr>
    </xdr:pic>
    <xdr:clientData/>
  </xdr:twoCellAnchor>
  <xdr:twoCellAnchor>
    <xdr:from>
      <xdr:col>18</xdr:col>
      <xdr:colOff>6350</xdr:colOff>
      <xdr:row>12</xdr:row>
      <xdr:rowOff>161924</xdr:rowOff>
    </xdr:from>
    <xdr:to>
      <xdr:col>31</xdr:col>
      <xdr:colOff>368300</xdr:colOff>
      <xdr:row>28</xdr:row>
      <xdr:rowOff>158750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169466</xdr:colOff>
      <xdr:row>79</xdr:row>
      <xdr:rowOff>50404</xdr:rowOff>
    </xdr:from>
    <xdr:to>
      <xdr:col>15</xdr:col>
      <xdr:colOff>45367</xdr:colOff>
      <xdr:row>101</xdr:row>
      <xdr:rowOff>20198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354616" y="14598254"/>
          <a:ext cx="4752701" cy="40210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19050</xdr:colOff>
      <xdr:row>1</xdr:row>
      <xdr:rowOff>28575</xdr:rowOff>
    </xdr:from>
    <xdr:to>
      <xdr:col>18</xdr:col>
      <xdr:colOff>466725</xdr:colOff>
      <xdr:row>10</xdr:row>
      <xdr:rowOff>180975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9248775" y="219075"/>
          <a:ext cx="4105275" cy="18669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To calculate Beta  - y = a + bx</a:t>
          </a:r>
        </a:p>
        <a:p>
          <a:pPr marL="0" indent="0" algn="l"/>
          <a:r>
            <a:rPr lang="en-US" sz="1100">
              <a:latin typeface="+mn-lt"/>
              <a:ea typeface="+mn-lt"/>
              <a:cs typeface="+mn-lt"/>
            </a:rPr>
            <a:t>y  = dependent variable – AMZN stock return</a:t>
          </a:r>
        </a:p>
        <a:p>
          <a:pPr marL="0" indent="0" algn="l"/>
          <a:r>
            <a:rPr lang="en-US" sz="1100">
              <a:latin typeface="+mn-lt"/>
              <a:ea typeface="+mn-lt"/>
              <a:cs typeface="+mn-lt"/>
            </a:rPr>
            <a:t>x  = independent variable – S&amp;P 500 market return</a:t>
          </a:r>
        </a:p>
        <a:p>
          <a:pPr marL="0" indent="0" algn="l"/>
          <a:r>
            <a:rPr lang="en-US" sz="1100">
              <a:latin typeface="+mn-lt"/>
              <a:ea typeface="+mn-lt"/>
              <a:cs typeface="+mn-lt"/>
            </a:rPr>
            <a:t>a = constant or intercept</a:t>
          </a:r>
        </a:p>
        <a:p>
          <a:pPr marL="0" indent="0" algn="l"/>
          <a:r>
            <a:rPr lang="en-US" sz="1100">
              <a:latin typeface="+mn-lt"/>
              <a:ea typeface="+mn-lt"/>
              <a:cs typeface="+mn-lt"/>
            </a:rPr>
            <a:t>b = Beta coefficient or slope</a:t>
          </a:r>
        </a:p>
        <a:p>
          <a:pPr marL="0" indent="0" algn="l"/>
          <a:endParaRPr lang="en-US" sz="1100">
            <a:latin typeface="+mn-lt"/>
            <a:ea typeface="+mn-lt"/>
            <a:cs typeface="+mn-lt"/>
          </a:endParaRPr>
        </a:p>
        <a:p>
          <a:pPr marL="0" indent="0" algn="l"/>
          <a:r>
            <a:rPr lang="en-US" sz="1100">
              <a:latin typeface="+mn-lt"/>
              <a:ea typeface="+mn-lt"/>
              <a:cs typeface="+mn-lt"/>
            </a:rPr>
            <a:t>Get the slope</a:t>
          </a:r>
        </a:p>
        <a:p>
          <a:pPr marL="0" indent="0" algn="l"/>
          <a:r>
            <a:rPr lang="en-US" sz="1100">
              <a:latin typeface="+mn-lt"/>
              <a:ea typeface="+mn-lt"/>
              <a:cs typeface="+mn-lt"/>
            </a:rPr>
            <a:t>=SLOPE(known_y's, known_x's)</a:t>
          </a:r>
        </a:p>
        <a:p>
          <a:pPr marL="0" indent="0" algn="l"/>
          <a:r>
            <a:rPr lang="en-US" sz="1100">
              <a:latin typeface="+mn-lt"/>
              <a:ea typeface="+mn-lt"/>
              <a:cs typeface="+mn-lt"/>
            </a:rPr>
            <a:t>known_y's =  AMZN stock return</a:t>
          </a:r>
        </a:p>
        <a:p>
          <a:pPr marL="0" indent="0" algn="l"/>
          <a:r>
            <a:rPr lang="en-US" sz="1100">
              <a:latin typeface="+mn-lt"/>
              <a:ea typeface="+mn-lt"/>
              <a:cs typeface="+mn-lt"/>
            </a:rPr>
            <a:t>known_x's = S&amp;P 500 market return</a:t>
          </a: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tclairconnect-my.sharepoint.com/personal/w0801587_myscc_ca/Documents/Microsoft%20Teams%20Chat%20Files/Financial_Report%20(Amazon%202023)_TF_updated.xlsx" TargetMode="External"/><Relationship Id="rId1" Type="http://schemas.openxmlformats.org/officeDocument/2006/relationships/externalLinkPath" Target="https://stclairconnect-my.sharepoint.com/personal/w0801587_myscc_ca/Documents/Microsoft%20Teams%20Chat%20Files/Financial_Report%20(Amazon%202023)_TF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ovAg7i6wYEavBbgKgJZcdx4ecObdny9ElYARgSoQriZCM7QAWfV9T7LjBcZIeIaU" itemId="01YD623YEL6RD3NJGREJEJRDGFTDHZY7YH">
      <xxl21:absoluteUrl r:id="rId2"/>
    </xxl21:alternateUrls>
    <sheetNames>
      <sheetName val="Cover Page"/>
      <sheetName val="Assumptions"/>
      <sheetName val="Projected Financials"/>
      <sheetName val="Financial Ratios"/>
      <sheetName val="Audit Information"/>
      <sheetName val="Consolidated Statements Of Oper"/>
      <sheetName val="Consolidated Balance Sheets"/>
      <sheetName val="Consolidated Statements of Cash"/>
      <sheetName val="Sheet1"/>
      <sheetName val="Consolidated Statements of Comp"/>
      <sheetName val="Consolidated Statements of Co_2"/>
      <sheetName val="Consolidated Balance Sheets (Pa"/>
      <sheetName val="Consolidated Statements of Stoc"/>
      <sheetName val="Description of Business, Accoun"/>
      <sheetName val="Financial Instruments"/>
      <sheetName val="Property and Equipment"/>
      <sheetName val="Leases"/>
      <sheetName val="Acquisitions, Goodwill, and Acq"/>
      <sheetName val="Debt"/>
      <sheetName val="Commitments and Contingencies"/>
      <sheetName val="Stockholders' Equity"/>
      <sheetName val="Income Taxes"/>
      <sheetName val="Segment Information"/>
      <sheetName val="Description of Business, Acco_2"/>
      <sheetName val="Description of Business, Acco_3"/>
      <sheetName val="Financial Instruments (Tables)"/>
      <sheetName val="Property and Equipment (Tables)"/>
      <sheetName val="Leases (Tables)"/>
      <sheetName val="Acquisitions, Goodwill, and A_2"/>
      <sheetName val="Debt (Tables)"/>
      <sheetName val="Commitments and Contingencies ("/>
      <sheetName val="Stockholders' Equity (Tables)"/>
      <sheetName val="Income Taxes (Tables)"/>
      <sheetName val="Segment Information (Tables)"/>
      <sheetName val="Description of Business, Acco_4"/>
      <sheetName val="Description of Business, Acco_5"/>
      <sheetName val="Description of Business, Acco_6"/>
      <sheetName val="Description of Business, Acco_7"/>
      <sheetName val="Description of Business, Acco_8"/>
      <sheetName val="Description of Business, Acco_9"/>
      <sheetName val="Description of Business, Acc_10"/>
      <sheetName val="Description of Business, Acc_11"/>
      <sheetName val="Description of Business, Acc_12"/>
      <sheetName val="Description of Business, Acc_13"/>
      <sheetName val="Description of Business, Acc_14"/>
      <sheetName val="Description of Business, Acc_15"/>
      <sheetName val="Description of Business, Acc_16"/>
      <sheetName val="Description of Business, Acc_17"/>
      <sheetName val="Description of Business, Acc_18"/>
      <sheetName val="Description of Business, Acc_19"/>
      <sheetName val="Description of Business, Acc_20"/>
      <sheetName val="Description of Business, Acc_21"/>
      <sheetName val="Description of Business, Acc_22"/>
      <sheetName val="Description of Business, Acc_23"/>
      <sheetName val="Description of Business, Acc_24"/>
      <sheetName val="Financial Instruments - Fair Va"/>
      <sheetName val="Financial Instruments - Gross G"/>
      <sheetName val="Financial Instruments - Contrac"/>
      <sheetName val="Financial Instruments - Reconci"/>
      <sheetName val="Property and Equipment - Compon"/>
      <sheetName val="Property and Equipment - Additi"/>
      <sheetName val="Leases - Additional Information"/>
      <sheetName val="Leases - Lease Costs (Details)"/>
      <sheetName val="Leases - Other Operating and Fi"/>
      <sheetName val="Leases - Operating and Finance "/>
      <sheetName val="Acquisitions, Goodwill, and A_3"/>
      <sheetName val="Acquisitions, Goodwill, and A_4"/>
      <sheetName val="Acquisitions, Goodwill, and A_5"/>
      <sheetName val="Acquisitions, Goodwill, and A_6"/>
      <sheetName val="Debt - Additional Information ("/>
      <sheetName val="Debt - Long-Term Debt Obligatio"/>
      <sheetName val="Debt - Future Principal Payment"/>
      <sheetName val="Commitments and Contingencies -"/>
      <sheetName val="Commitments and Contingencies_2"/>
      <sheetName val="Commitments and Contingencies_3"/>
      <sheetName val="Stockholders' Equity - Addition"/>
      <sheetName val="Stockholders' Equity - Stock-ba"/>
      <sheetName val="Stockholders' Equity - Restrict"/>
      <sheetName val="Stockholders' Equity - Schedule"/>
      <sheetName val="Income Taxes - Additional Infor"/>
      <sheetName val="Income Taxes - Components of Pr"/>
      <sheetName val="Income Taxes - U.S. and Interna"/>
      <sheetName val="Income Taxes - Items Accounting"/>
      <sheetName val="Income Taxes - Deferred Income "/>
      <sheetName val="Income Taxes - Reconciliation o"/>
      <sheetName val="Segment Information - Additiona"/>
      <sheetName val="Segment Information - Reportabl"/>
      <sheetName val="Segment Information - Disaggreg"/>
      <sheetName val="Segment Information - Net Sales"/>
      <sheetName val="Segment Information - Reconcili"/>
      <sheetName val="Segment Information - Reconci_2"/>
      <sheetName val="Segment Information - Reconci_3"/>
      <sheetName val="Segment Information - Depreciat"/>
    </sheetNames>
    <sheetDataSet>
      <sheetData sheetId="0"/>
      <sheetData sheetId="1"/>
      <sheetData sheetId="2"/>
      <sheetData sheetId="3"/>
      <sheetData sheetId="4"/>
      <sheetData sheetId="5">
        <row r="3">
          <cell r="B3">
            <v>513983</v>
          </cell>
        </row>
        <row r="4">
          <cell r="B4">
            <v>446343</v>
          </cell>
        </row>
        <row r="5">
          <cell r="B5">
            <v>67640</v>
          </cell>
        </row>
        <row r="13">
          <cell r="B13">
            <v>12248</v>
          </cell>
        </row>
        <row r="21">
          <cell r="B21">
            <v>-2722</v>
          </cell>
        </row>
        <row r="22">
          <cell r="B22">
            <v>-0.27</v>
          </cell>
        </row>
      </sheetData>
      <sheetData sheetId="6">
        <row r="3">
          <cell r="E3">
            <v>53888</v>
          </cell>
        </row>
        <row r="4">
          <cell r="E4">
            <v>16138</v>
          </cell>
        </row>
        <row r="5">
          <cell r="D5">
            <v>32640</v>
          </cell>
          <cell r="E5">
            <v>34405</v>
          </cell>
        </row>
        <row r="6">
          <cell r="D6">
            <v>32891</v>
          </cell>
          <cell r="E6">
            <v>42360</v>
          </cell>
        </row>
        <row r="12">
          <cell r="E12">
            <v>462675</v>
          </cell>
        </row>
        <row r="14">
          <cell r="D14">
            <v>78664</v>
          </cell>
          <cell r="E14">
            <v>79600</v>
          </cell>
        </row>
        <row r="17">
          <cell r="E17">
            <v>155393</v>
          </cell>
        </row>
        <row r="29">
          <cell r="B29">
            <v>62060</v>
          </cell>
          <cell r="E29">
            <v>146043</v>
          </cell>
        </row>
      </sheetData>
      <sheetData sheetId="7">
        <row r="8">
          <cell r="B8">
            <v>41921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304C20-46A1-4805-8D12-4C5F41FBEEDD}" name="Table2" displayName="Table2" ref="D1:F121" totalsRowShown="0" headerRowDxfId="7">
  <autoFilter ref="D1:F121" xr:uid="{DB304C20-46A1-4805-8D12-4C5F41FBEEDD}"/>
  <tableColumns count="3">
    <tableColumn id="1" xr3:uid="{35536912-CB8C-4956-A651-3417CED648EA}" name="Date" dataDxfId="6"/>
    <tableColumn id="2" xr3:uid="{05A900C4-7502-4AC3-8639-E189A26245EE}" name="AMZN" dataDxfId="5"/>
    <tableColumn id="3" xr3:uid="{50237D97-E4FE-44E8-BE6B-7221AD3F645C}" name="RAMZN" dataDxfId="4">
      <calculatedColumnFormula>Table2[[#This Row],[AMZN]]/E1</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964B7B-8CFA-437B-878F-541D99A74687}" name="Table3" displayName="Table3" ref="A1:C121" totalsRowShown="0" tableBorderDxfId="3">
  <autoFilter ref="A1:C121" xr:uid="{69964B7B-8CFA-437B-878F-541D99A74687}"/>
  <tableColumns count="3">
    <tableColumn id="1" xr3:uid="{43F697C4-6EEB-49A7-B46D-9AA2558F0B56}" name="Date2" dataDxfId="2"/>
    <tableColumn id="2" xr3:uid="{4C2270D2-F502-4CD3-BF7F-2C446F1EA3E0}" name="S&amp;P 500" dataDxfId="1"/>
    <tableColumn id="3" xr3:uid="{288830C9-BFE5-47EA-9C28-3CE96014F66E}" name="Rmarket" dataDxfId="0">
      <calculatedColumnFormula>B2/B1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2CB6F-8392-452D-A4D7-4D17FCAD4D87}">
  <dimension ref="A2:L19"/>
  <sheetViews>
    <sheetView tabSelected="1" zoomScale="130" zoomScaleNormal="130" workbookViewId="0">
      <selection activeCell="B13" sqref="B13"/>
    </sheetView>
  </sheetViews>
  <sheetFormatPr defaultRowHeight="14.5" x14ac:dyDescent="0.35"/>
  <cols>
    <col min="1" max="1" width="38.81640625" bestFit="1" customWidth="1"/>
    <col min="2" max="6" width="14.54296875" customWidth="1"/>
  </cols>
  <sheetData>
    <row r="2" spans="1:12" x14ac:dyDescent="0.35">
      <c r="H2" s="101" t="s">
        <v>66</v>
      </c>
      <c r="I2" s="101"/>
      <c r="J2" s="101"/>
      <c r="K2" s="101"/>
      <c r="L2" t="s">
        <v>67</v>
      </c>
    </row>
    <row r="3" spans="1:12" x14ac:dyDescent="0.35">
      <c r="B3" s="2" t="s">
        <v>68</v>
      </c>
      <c r="C3" s="2" t="s">
        <v>69</v>
      </c>
      <c r="D3" s="2" t="s">
        <v>70</v>
      </c>
      <c r="E3" s="2" t="s">
        <v>71</v>
      </c>
      <c r="F3" s="2" t="s">
        <v>2</v>
      </c>
      <c r="H3">
        <v>2019</v>
      </c>
      <c r="I3">
        <v>2020</v>
      </c>
      <c r="J3">
        <v>2021</v>
      </c>
      <c r="K3">
        <v>2022</v>
      </c>
    </row>
    <row r="4" spans="1:12" x14ac:dyDescent="0.35">
      <c r="A4" t="s">
        <v>72</v>
      </c>
      <c r="B4" s="5">
        <v>232887</v>
      </c>
      <c r="C4" s="5">
        <v>280522</v>
      </c>
      <c r="D4" s="5">
        <v>386064</v>
      </c>
      <c r="E4" s="5">
        <v>469822</v>
      </c>
      <c r="F4" s="5">
        <v>513983</v>
      </c>
      <c r="H4" s="8">
        <f>(C4/B4)-1</f>
        <v>0.20454125820676983</v>
      </c>
      <c r="I4" s="8">
        <f t="shared" ref="I4:K4" si="0">(D4/C4)-1</f>
        <v>0.37623430604373276</v>
      </c>
      <c r="J4" s="8">
        <f t="shared" si="0"/>
        <v>0.21695366571345676</v>
      </c>
      <c r="K4" s="8">
        <f t="shared" si="0"/>
        <v>9.399517263985091E-2</v>
      </c>
      <c r="L4" s="9">
        <f>AVERAGE(H4:K4)</f>
        <v>0.22293110065095256</v>
      </c>
    </row>
    <row r="5" spans="1:12" x14ac:dyDescent="0.35">
      <c r="A5" t="s">
        <v>73</v>
      </c>
      <c r="B5" s="5">
        <v>139156</v>
      </c>
      <c r="C5" s="5">
        <v>165536</v>
      </c>
      <c r="D5" s="5">
        <v>233307</v>
      </c>
      <c r="E5" s="5">
        <v>272344</v>
      </c>
      <c r="F5" s="5">
        <v>288831</v>
      </c>
      <c r="H5" s="8">
        <f t="shared" ref="H5:H7" si="1">(C5/B5)-1</f>
        <v>0.1895714162522637</v>
      </c>
      <c r="I5" s="8">
        <f t="shared" ref="I5:I7" si="2">(D5/C5)-1</f>
        <v>0.40940339261550363</v>
      </c>
      <c r="J5" s="8">
        <f t="shared" ref="J5:J7" si="3">(E5/D5)-1</f>
        <v>0.16732031186376739</v>
      </c>
      <c r="K5" s="8">
        <f t="shared" ref="K5:K7" si="4">(F5/E5)-1</f>
        <v>6.0537408571512463E-2</v>
      </c>
      <c r="L5" s="9">
        <f t="shared" ref="L5:L9" si="5">AVERAGE(H5:K5)</f>
        <v>0.2067081323257618</v>
      </c>
    </row>
    <row r="6" spans="1:12" x14ac:dyDescent="0.35">
      <c r="A6" t="s">
        <v>74</v>
      </c>
      <c r="B6" s="5">
        <v>220466</v>
      </c>
      <c r="C6" s="5">
        <v>265981</v>
      </c>
      <c r="D6" s="5">
        <v>363165</v>
      </c>
      <c r="E6" s="5">
        <v>444943</v>
      </c>
      <c r="F6" s="5">
        <v>501735</v>
      </c>
      <c r="H6" s="8">
        <f t="shared" si="1"/>
        <v>0.20644906697631371</v>
      </c>
      <c r="I6" s="8">
        <f t="shared" si="2"/>
        <v>0.36537948199307468</v>
      </c>
      <c r="J6" s="8">
        <f t="shared" si="3"/>
        <v>0.22518139137857451</v>
      </c>
      <c r="K6" s="8">
        <f t="shared" si="4"/>
        <v>0.12763882115237224</v>
      </c>
      <c r="L6" s="9">
        <f t="shared" si="5"/>
        <v>0.23116219037508379</v>
      </c>
    </row>
    <row r="7" spans="1:12" x14ac:dyDescent="0.35">
      <c r="A7" t="s">
        <v>75</v>
      </c>
      <c r="B7" s="5">
        <v>12421</v>
      </c>
      <c r="C7" s="5">
        <v>14541</v>
      </c>
      <c r="D7" s="5">
        <v>22899</v>
      </c>
      <c r="E7" s="5">
        <v>24879</v>
      </c>
      <c r="F7" s="5">
        <v>12248</v>
      </c>
      <c r="H7" s="8">
        <f t="shared" si="1"/>
        <v>0.17067868931648023</v>
      </c>
      <c r="I7" s="8">
        <f t="shared" si="2"/>
        <v>0.57478852898700228</v>
      </c>
      <c r="J7" s="8">
        <f t="shared" si="3"/>
        <v>8.6466657932660729E-2</v>
      </c>
      <c r="K7" s="8">
        <f t="shared" si="4"/>
        <v>-0.50769725471281002</v>
      </c>
      <c r="L7" s="9">
        <f t="shared" si="5"/>
        <v>8.1059155380833303E-2</v>
      </c>
    </row>
    <row r="8" spans="1:12" x14ac:dyDescent="0.35">
      <c r="B8" s="5"/>
      <c r="C8" s="5"/>
      <c r="D8" s="5"/>
      <c r="E8" s="5"/>
      <c r="F8" s="5"/>
    </row>
    <row r="9" spans="1:12" x14ac:dyDescent="0.35">
      <c r="A9" t="s">
        <v>76</v>
      </c>
      <c r="B9" s="5">
        <v>15341</v>
      </c>
      <c r="C9" s="5">
        <v>21789</v>
      </c>
      <c r="D9" s="5">
        <v>25180</v>
      </c>
      <c r="E9" s="5">
        <v>34433</v>
      </c>
      <c r="F9" s="5">
        <v>41921</v>
      </c>
      <c r="H9" s="8">
        <f t="shared" ref="H9" si="6">(C9/B9)-1</f>
        <v>0.42031158333876539</v>
      </c>
      <c r="I9" s="8">
        <f t="shared" ref="I9" si="7">(D9/C9)-1</f>
        <v>0.1556289871035843</v>
      </c>
      <c r="J9" s="8">
        <f t="shared" ref="J9" si="8">(E9/D9)-1</f>
        <v>0.36747418586179514</v>
      </c>
      <c r="K9" s="8">
        <f t="shared" ref="K9" si="9">(F9/E9)-1</f>
        <v>0.21746580315395114</v>
      </c>
      <c r="L9" s="9">
        <f t="shared" si="5"/>
        <v>0.290220139864524</v>
      </c>
    </row>
    <row r="11" spans="1:12" x14ac:dyDescent="0.35">
      <c r="A11" s="102" t="s">
        <v>281</v>
      </c>
      <c r="B11" s="102"/>
    </row>
    <row r="12" spans="1:12" x14ac:dyDescent="0.35">
      <c r="A12" s="25" t="s">
        <v>77</v>
      </c>
      <c r="B12" s="95">
        <v>0.05</v>
      </c>
      <c r="D12" s="9"/>
    </row>
    <row r="13" spans="1:12" x14ac:dyDescent="0.35">
      <c r="A13" s="25" t="s">
        <v>78</v>
      </c>
      <c r="B13" s="95">
        <v>0.21</v>
      </c>
      <c r="D13" s="9"/>
    </row>
    <row r="14" spans="1:12" x14ac:dyDescent="0.35">
      <c r="A14" s="25" t="s">
        <v>79</v>
      </c>
      <c r="B14" s="96">
        <v>0.05</v>
      </c>
      <c r="D14" s="9"/>
    </row>
    <row r="15" spans="1:12" x14ac:dyDescent="0.35">
      <c r="A15" s="25" t="s">
        <v>80</v>
      </c>
      <c r="B15" s="97">
        <v>0.13550000000000001</v>
      </c>
      <c r="D15" s="10"/>
    </row>
    <row r="16" spans="1:12" x14ac:dyDescent="0.35">
      <c r="A16" s="25" t="s">
        <v>81</v>
      </c>
      <c r="B16" s="98">
        <v>10220</v>
      </c>
      <c r="C16" t="s">
        <v>82</v>
      </c>
      <c r="D16" s="29">
        <v>45114</v>
      </c>
    </row>
    <row r="17" spans="1:4" ht="15" thickBot="1" x14ac:dyDescent="0.4">
      <c r="B17" s="30"/>
      <c r="D17" s="29"/>
    </row>
    <row r="18" spans="1:4" ht="15.5" thickTop="1" thickBot="1" x14ac:dyDescent="0.4">
      <c r="A18" s="76" t="s">
        <v>151</v>
      </c>
      <c r="B18" s="75">
        <f>'Projected Financials'!$H$24</f>
        <v>107.45382167857241</v>
      </c>
    </row>
    <row r="19" spans="1:4" ht="15" thickTop="1" x14ac:dyDescent="0.35"/>
  </sheetData>
  <mergeCells count="2">
    <mergeCell ref="H2:K2"/>
    <mergeCell ref="A11:B11"/>
  </mergeCells>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0</xdr:col>
                <xdr:colOff>0</xdr:colOff>
                <xdr:row>19</xdr:row>
                <xdr:rowOff>50800</xdr:rowOff>
              </from>
              <to>
                <xdr:col>4</xdr:col>
                <xdr:colOff>412750</xdr:colOff>
                <xdr:row>21</xdr:row>
                <xdr:rowOff>133350</xdr:rowOff>
              </to>
            </anchor>
          </objectPr>
        </oleObject>
      </mc:Choice>
      <mc:Fallback>
        <oleObject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sqref="A1:A2"/>
    </sheetView>
  </sheetViews>
  <sheetFormatPr defaultRowHeight="14.5" x14ac:dyDescent="0.35"/>
  <cols>
    <col min="1" max="1" width="80" customWidth="1"/>
    <col min="2" max="2" width="16" customWidth="1"/>
    <col min="3" max="4" width="14" customWidth="1"/>
  </cols>
  <sheetData>
    <row r="1" spans="1:4" x14ac:dyDescent="0.35">
      <c r="A1" s="110" t="s">
        <v>267</v>
      </c>
      <c r="B1" s="112" t="s">
        <v>1</v>
      </c>
      <c r="C1" s="111"/>
      <c r="D1" s="111"/>
    </row>
    <row r="2" spans="1:4" x14ac:dyDescent="0.35">
      <c r="A2" s="111"/>
      <c r="B2" s="2" t="s">
        <v>2</v>
      </c>
      <c r="C2" s="2" t="s">
        <v>71</v>
      </c>
      <c r="D2" s="2" t="s">
        <v>70</v>
      </c>
    </row>
    <row r="3" spans="1:4" x14ac:dyDescent="0.35">
      <c r="A3" s="3" t="s">
        <v>268</v>
      </c>
      <c r="B3" s="4" t="s">
        <v>6</v>
      </c>
      <c r="C3" s="4" t="s">
        <v>6</v>
      </c>
      <c r="D3" s="4" t="s">
        <v>6</v>
      </c>
    </row>
    <row r="4" spans="1:4" x14ac:dyDescent="0.35">
      <c r="A4" s="4" t="s">
        <v>199</v>
      </c>
      <c r="B4" s="5">
        <v>-2722</v>
      </c>
      <c r="C4" s="5">
        <v>33364</v>
      </c>
      <c r="D4" s="5">
        <v>21331</v>
      </c>
    </row>
    <row r="5" spans="1:4" x14ac:dyDescent="0.35">
      <c r="A5" s="3" t="s">
        <v>269</v>
      </c>
      <c r="B5" s="4" t="s">
        <v>6</v>
      </c>
      <c r="C5" s="4" t="s">
        <v>6</v>
      </c>
      <c r="D5" s="4" t="s">
        <v>6</v>
      </c>
    </row>
    <row r="6" spans="1:4" x14ac:dyDescent="0.35">
      <c r="A6" s="4" t="s">
        <v>270</v>
      </c>
      <c r="B6" s="6">
        <v>-2586</v>
      </c>
      <c r="C6" s="6">
        <v>-819</v>
      </c>
      <c r="D6" s="6">
        <v>561</v>
      </c>
    </row>
    <row r="7" spans="1:4" x14ac:dyDescent="0.35">
      <c r="A7" s="3" t="s">
        <v>271</v>
      </c>
      <c r="B7" s="4" t="s">
        <v>6</v>
      </c>
      <c r="C7" s="4" t="s">
        <v>6</v>
      </c>
      <c r="D7" s="4" t="s">
        <v>6</v>
      </c>
    </row>
    <row r="8" spans="1:4" x14ac:dyDescent="0.35">
      <c r="A8" s="4" t="s">
        <v>272</v>
      </c>
      <c r="B8" s="6">
        <v>-823</v>
      </c>
      <c r="C8" s="6">
        <v>-343</v>
      </c>
      <c r="D8" s="6">
        <v>273</v>
      </c>
    </row>
    <row r="9" spans="1:4" ht="29" x14ac:dyDescent="0.35">
      <c r="A9" s="4" t="s">
        <v>273</v>
      </c>
      <c r="B9" s="6">
        <v>298</v>
      </c>
      <c r="C9" s="6">
        <v>-34</v>
      </c>
      <c r="D9" s="6">
        <v>-28</v>
      </c>
    </row>
    <row r="10" spans="1:4" x14ac:dyDescent="0.35">
      <c r="A10" s="4" t="s">
        <v>274</v>
      </c>
      <c r="B10" s="6">
        <v>-525</v>
      </c>
      <c r="C10" s="6">
        <v>-377</v>
      </c>
      <c r="D10" s="6">
        <v>245</v>
      </c>
    </row>
    <row r="11" spans="1:4" x14ac:dyDescent="0.35">
      <c r="A11" s="4" t="s">
        <v>275</v>
      </c>
      <c r="B11" s="6">
        <v>-3111</v>
      </c>
      <c r="C11" s="6">
        <v>-1196</v>
      </c>
      <c r="D11" s="6">
        <v>806</v>
      </c>
    </row>
    <row r="12" spans="1:4" x14ac:dyDescent="0.35">
      <c r="A12" s="4" t="s">
        <v>276</v>
      </c>
      <c r="B12" s="5">
        <v>-5833</v>
      </c>
      <c r="C12" s="5">
        <v>32168</v>
      </c>
      <c r="D12" s="5">
        <v>22137</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4A44-4355-4FB3-B174-72A3C30A1A85}">
  <dimension ref="A2:X27"/>
  <sheetViews>
    <sheetView topLeftCell="A2" zoomScaleNormal="100" workbookViewId="0">
      <selection activeCell="P12" sqref="P12"/>
    </sheetView>
  </sheetViews>
  <sheetFormatPr defaultRowHeight="14.5" x14ac:dyDescent="0.35"/>
  <cols>
    <col min="2" max="2" width="33.26953125" customWidth="1"/>
    <col min="3" max="3" width="11.81640625" customWidth="1"/>
    <col min="4" max="6" width="11.81640625" bestFit="1" customWidth="1"/>
    <col min="7" max="7" width="13.1796875" customWidth="1"/>
    <col min="8" max="8" width="13.453125" customWidth="1"/>
    <col min="9" max="9" width="10.1796875" customWidth="1"/>
    <col min="10" max="10" width="10.54296875" customWidth="1"/>
    <col min="11" max="11" width="12" customWidth="1"/>
    <col min="12" max="12" width="11.81640625" customWidth="1"/>
    <col min="18" max="19" width="12.26953125" bestFit="1" customWidth="1"/>
    <col min="20" max="20" width="11.08984375" bestFit="1" customWidth="1"/>
    <col min="21" max="21" width="10.08984375" bestFit="1" customWidth="1"/>
    <col min="22" max="23" width="12.54296875" bestFit="1" customWidth="1"/>
    <col min="24" max="24" width="11.08984375" bestFit="1" customWidth="1"/>
  </cols>
  <sheetData>
    <row r="2" spans="1:24" ht="15" thickBot="1" x14ac:dyDescent="0.4">
      <c r="H2" s="14">
        <v>1</v>
      </c>
      <c r="I2" s="14">
        <v>2</v>
      </c>
      <c r="J2" s="14">
        <v>3</v>
      </c>
      <c r="K2" s="14">
        <v>4</v>
      </c>
      <c r="L2" s="14">
        <v>5</v>
      </c>
    </row>
    <row r="3" spans="1:24" ht="41.5" customHeight="1" thickBot="1" x14ac:dyDescent="0.4">
      <c r="B3" s="74" t="s">
        <v>277</v>
      </c>
      <c r="C3" s="106" t="s">
        <v>1</v>
      </c>
      <c r="D3" s="107"/>
      <c r="E3" s="107"/>
      <c r="F3" s="107"/>
      <c r="G3" s="108"/>
      <c r="H3" s="106" t="s">
        <v>280</v>
      </c>
      <c r="I3" s="107"/>
      <c r="J3" s="107"/>
      <c r="K3" s="107"/>
      <c r="L3" s="109"/>
    </row>
    <row r="4" spans="1:24" ht="15" thickBot="1" x14ac:dyDescent="0.4">
      <c r="B4" s="15"/>
      <c r="C4" s="57" t="s">
        <v>68</v>
      </c>
      <c r="D4" s="57" t="s">
        <v>69</v>
      </c>
      <c r="E4" s="16" t="s">
        <v>70</v>
      </c>
      <c r="F4" s="16" t="s">
        <v>71</v>
      </c>
      <c r="G4" s="16" t="s">
        <v>2</v>
      </c>
      <c r="H4" s="17">
        <v>2023</v>
      </c>
      <c r="I4" s="56">
        <v>2024</v>
      </c>
      <c r="J4" s="17">
        <v>2025</v>
      </c>
      <c r="K4" s="17">
        <v>2026</v>
      </c>
      <c r="L4" s="18">
        <v>2027</v>
      </c>
      <c r="S4" s="103" t="s">
        <v>279</v>
      </c>
      <c r="T4" s="104"/>
      <c r="U4" s="104"/>
      <c r="V4" s="104"/>
      <c r="W4" s="104"/>
      <c r="X4" s="105"/>
    </row>
    <row r="5" spans="1:24" x14ac:dyDescent="0.35">
      <c r="B5" s="19" t="s">
        <v>72</v>
      </c>
      <c r="C5" s="61">
        <v>232887</v>
      </c>
      <c r="D5" s="61">
        <v>280522</v>
      </c>
      <c r="E5" s="62">
        <v>386064</v>
      </c>
      <c r="F5" s="62">
        <v>469822</v>
      </c>
      <c r="G5" s="62">
        <v>513983</v>
      </c>
      <c r="H5" s="63">
        <f>G5*(1+Assumptions!$L4)</f>
        <v>628565.79590587853</v>
      </c>
      <c r="I5" s="64">
        <f>H5*(1+Assumptions!$L4)</f>
        <v>768692.66061871802</v>
      </c>
      <c r="J5" s="63">
        <f>I5*(1+Assumptions!$L4)</f>
        <v>940058.16151275788</v>
      </c>
      <c r="K5" s="63">
        <f>J5*(1+Assumptions!$L4)</f>
        <v>1149626.3621347079</v>
      </c>
      <c r="L5" s="65">
        <f>K5*(1+Assumptions!$L4)</f>
        <v>1405913.8323827488</v>
      </c>
      <c r="S5" s="77" t="s">
        <v>278</v>
      </c>
      <c r="T5" s="82">
        <v>2023</v>
      </c>
      <c r="U5" s="83">
        <v>2024</v>
      </c>
      <c r="V5" s="82">
        <v>2025</v>
      </c>
      <c r="W5" s="82">
        <v>2026</v>
      </c>
      <c r="X5" s="84">
        <v>2027</v>
      </c>
    </row>
    <row r="6" spans="1:24" x14ac:dyDescent="0.35">
      <c r="B6" s="19" t="s">
        <v>73</v>
      </c>
      <c r="C6" s="61">
        <v>139156</v>
      </c>
      <c r="D6" s="61">
        <v>165536</v>
      </c>
      <c r="E6" s="62">
        <v>233307</v>
      </c>
      <c r="F6" s="62">
        <v>272344</v>
      </c>
      <c r="G6" s="62">
        <v>288831</v>
      </c>
      <c r="H6" s="63">
        <f>G6*(1+Assumptions!$L5)</f>
        <v>348534.7165677821</v>
      </c>
      <c r="I6" s="64">
        <f>H6*(1+Assumptions!$L5)</f>
        <v>420579.67688019708</v>
      </c>
      <c r="J6" s="63">
        <f>I6*(1+Assumptions!$L5)</f>
        <v>507516.916382275</v>
      </c>
      <c r="K6" s="63">
        <f>J6*(1+Assumptions!$L5)</f>
        <v>612424.79029138491</v>
      </c>
      <c r="L6" s="65">
        <f>K6*(1+Assumptions!$L5)</f>
        <v>739017.9748825134</v>
      </c>
      <c r="S6" s="80" t="s">
        <v>91</v>
      </c>
      <c r="T6" s="20">
        <v>36809.290931165655</v>
      </c>
      <c r="U6" s="20">
        <v>51417.134759902052</v>
      </c>
      <c r="V6" s="20">
        <v>70867.107697830696</v>
      </c>
      <c r="W6" s="20">
        <v>96644.999212147639</v>
      </c>
      <c r="X6" s="21">
        <v>130675.19179482083</v>
      </c>
    </row>
    <row r="7" spans="1:24" x14ac:dyDescent="0.35">
      <c r="B7" s="19" t="s">
        <v>83</v>
      </c>
      <c r="C7" s="61">
        <f>C5-C6</f>
        <v>93731</v>
      </c>
      <c r="D7" s="61">
        <f t="shared" ref="D7:G7" si="0">D5-D6</f>
        <v>114986</v>
      </c>
      <c r="E7" s="61">
        <f t="shared" si="0"/>
        <v>152757</v>
      </c>
      <c r="F7" s="61">
        <f t="shared" si="0"/>
        <v>197478</v>
      </c>
      <c r="G7" s="61">
        <f t="shared" si="0"/>
        <v>225152</v>
      </c>
      <c r="H7" s="63">
        <f>H5-H6</f>
        <v>280031.07933809643</v>
      </c>
      <c r="I7" s="64">
        <f t="shared" ref="I7:L7" si="1">I5-I6</f>
        <v>348112.98373852094</v>
      </c>
      <c r="J7" s="63">
        <f t="shared" si="1"/>
        <v>432541.24513048289</v>
      </c>
      <c r="K7" s="63">
        <f t="shared" si="1"/>
        <v>537201.57184332295</v>
      </c>
      <c r="L7" s="65">
        <f t="shared" si="1"/>
        <v>666895.85750023543</v>
      </c>
      <c r="S7" s="80" t="s">
        <v>92</v>
      </c>
      <c r="T7" s="27"/>
      <c r="U7" s="27"/>
      <c r="V7" s="27"/>
      <c r="W7" s="20">
        <v>1071108.1294657444</v>
      </c>
      <c r="X7" s="55"/>
    </row>
    <row r="8" spans="1:24" ht="15" thickBot="1" x14ac:dyDescent="0.4">
      <c r="B8" s="22"/>
      <c r="C8" s="66"/>
      <c r="D8" s="66"/>
      <c r="E8" s="61"/>
      <c r="F8" s="61"/>
      <c r="G8" s="61"/>
      <c r="H8" s="63"/>
      <c r="I8" s="64"/>
      <c r="J8" s="63"/>
      <c r="K8" s="63"/>
      <c r="L8" s="65"/>
      <c r="S8" s="81" t="s">
        <v>93</v>
      </c>
      <c r="T8" s="89">
        <v>32416.812797151611</v>
      </c>
      <c r="U8" s="89">
        <v>39878.020716011728</v>
      </c>
      <c r="V8" s="89">
        <v>48404.227401935554</v>
      </c>
      <c r="W8" s="89">
        <v>977478.99663991109</v>
      </c>
      <c r="X8" s="85"/>
    </row>
    <row r="9" spans="1:24" x14ac:dyDescent="0.35">
      <c r="B9" s="22"/>
      <c r="C9" s="66"/>
      <c r="D9" s="66"/>
      <c r="E9" s="61"/>
      <c r="F9" s="61"/>
      <c r="G9" s="61"/>
      <c r="H9" s="63"/>
      <c r="I9" s="64"/>
      <c r="J9" s="63"/>
      <c r="K9" s="63"/>
      <c r="L9" s="65"/>
      <c r="S9" s="78" t="s">
        <v>94</v>
      </c>
      <c r="T9" s="90">
        <v>1098178.0575550101</v>
      </c>
      <c r="U9" s="86"/>
      <c r="V9" s="86"/>
      <c r="W9" s="86"/>
      <c r="X9" s="86"/>
    </row>
    <row r="10" spans="1:24" x14ac:dyDescent="0.35">
      <c r="B10" s="19" t="s">
        <v>84</v>
      </c>
      <c r="C10" s="61">
        <v>34027</v>
      </c>
      <c r="D10" s="61">
        <v>40232</v>
      </c>
      <c r="E10" s="61">
        <v>58517</v>
      </c>
      <c r="F10" s="61">
        <v>75111</v>
      </c>
      <c r="G10" s="61">
        <v>84299</v>
      </c>
      <c r="H10" s="63"/>
      <c r="I10" s="64"/>
      <c r="J10" s="63"/>
      <c r="K10" s="63"/>
      <c r="L10" s="65"/>
      <c r="S10" s="78" t="s">
        <v>95</v>
      </c>
      <c r="T10" s="87">
        <v>107.45382167857241</v>
      </c>
      <c r="U10" s="86"/>
      <c r="V10" s="86"/>
      <c r="W10" s="86"/>
      <c r="X10" s="86"/>
    </row>
    <row r="11" spans="1:24" x14ac:dyDescent="0.35">
      <c r="B11" s="19" t="s">
        <v>85</v>
      </c>
      <c r="C11" s="61">
        <v>28837</v>
      </c>
      <c r="D11" s="61">
        <v>35931</v>
      </c>
      <c r="E11" s="61">
        <v>42740</v>
      </c>
      <c r="F11" s="61">
        <v>56052</v>
      </c>
      <c r="G11" s="61">
        <v>73213</v>
      </c>
      <c r="H11" s="63"/>
      <c r="I11" s="64"/>
      <c r="J11" s="63"/>
      <c r="K11" s="63"/>
      <c r="L11" s="65"/>
      <c r="S11" s="78" t="s">
        <v>96</v>
      </c>
      <c r="T11" s="87">
        <v>129.78</v>
      </c>
      <c r="U11" s="86"/>
      <c r="V11" s="86"/>
      <c r="W11" s="86"/>
      <c r="X11" s="86"/>
    </row>
    <row r="12" spans="1:24" ht="15" thickBot="1" x14ac:dyDescent="0.4">
      <c r="B12" s="19" t="s">
        <v>86</v>
      </c>
      <c r="C12" s="61">
        <v>13814</v>
      </c>
      <c r="D12" s="61">
        <v>18878</v>
      </c>
      <c r="E12" s="61">
        <v>22008</v>
      </c>
      <c r="F12" s="61">
        <v>32551</v>
      </c>
      <c r="G12" s="61">
        <v>42238</v>
      </c>
      <c r="H12" s="63"/>
      <c r="I12" s="64"/>
      <c r="J12" s="63"/>
      <c r="K12" s="63"/>
      <c r="L12" s="65"/>
      <c r="S12" s="79" t="s">
        <v>97</v>
      </c>
      <c r="T12" s="88">
        <v>-22.326178321427591</v>
      </c>
      <c r="U12" s="86"/>
      <c r="V12" s="86"/>
      <c r="W12" s="86"/>
      <c r="X12" s="86"/>
    </row>
    <row r="13" spans="1:24" x14ac:dyDescent="0.35">
      <c r="B13" s="19" t="s">
        <v>87</v>
      </c>
      <c r="C13" s="61">
        <v>4336</v>
      </c>
      <c r="D13" s="61">
        <v>5203</v>
      </c>
      <c r="E13" s="61">
        <v>6668</v>
      </c>
      <c r="F13" s="61">
        <v>8823</v>
      </c>
      <c r="G13" s="61">
        <v>11891</v>
      </c>
      <c r="H13" s="63"/>
      <c r="I13" s="64"/>
      <c r="J13" s="63"/>
      <c r="K13" s="63"/>
      <c r="L13" s="65"/>
    </row>
    <row r="14" spans="1:24" ht="29" x14ac:dyDescent="0.35">
      <c r="B14" s="19" t="s">
        <v>88</v>
      </c>
      <c r="C14" s="61">
        <v>296</v>
      </c>
      <c r="D14" s="61">
        <v>201</v>
      </c>
      <c r="E14" s="61">
        <v>-75</v>
      </c>
      <c r="F14" s="61">
        <v>62</v>
      </c>
      <c r="G14" s="61">
        <v>1263</v>
      </c>
      <c r="H14" s="63"/>
      <c r="I14" s="64"/>
      <c r="J14" s="63"/>
      <c r="K14" s="63"/>
      <c r="L14" s="65"/>
    </row>
    <row r="15" spans="1:24" x14ac:dyDescent="0.35">
      <c r="B15" s="22" t="s">
        <v>74</v>
      </c>
      <c r="C15" s="61">
        <f>SUM(C10:C14)</f>
        <v>81310</v>
      </c>
      <c r="D15" s="61">
        <f t="shared" ref="D15:G15" si="2">SUM(D10:D14)</f>
        <v>100445</v>
      </c>
      <c r="E15" s="61">
        <f t="shared" si="2"/>
        <v>129858</v>
      </c>
      <c r="F15" s="61">
        <f t="shared" si="2"/>
        <v>172599</v>
      </c>
      <c r="G15" s="61">
        <f t="shared" si="2"/>
        <v>212904</v>
      </c>
      <c r="H15" s="63">
        <f>G15*(1+Assumptions!$L6)</f>
        <v>262119.35497961685</v>
      </c>
      <c r="I15" s="64">
        <f>H15*(1+Assumptions!$L6)</f>
        <v>322711.43921640923</v>
      </c>
      <c r="J15" s="63">
        <f>I15*(1+Assumptions!$L6)</f>
        <v>397310.1223647701</v>
      </c>
      <c r="K15" s="63">
        <f>J15*(1+Assumptions!$L6)</f>
        <v>489153.2005088029</v>
      </c>
      <c r="L15" s="65">
        <f>K15*(1+Assumptions!$L6)</f>
        <v>602226.9257674003</v>
      </c>
    </row>
    <row r="16" spans="1:24" x14ac:dyDescent="0.35">
      <c r="A16" t="s">
        <v>89</v>
      </c>
      <c r="B16" s="19" t="s">
        <v>75</v>
      </c>
      <c r="C16" s="61">
        <v>12421</v>
      </c>
      <c r="D16" s="61">
        <v>14541</v>
      </c>
      <c r="E16" s="61">
        <v>22899</v>
      </c>
      <c r="F16" s="61">
        <v>24879</v>
      </c>
      <c r="G16" s="61">
        <v>12248</v>
      </c>
      <c r="H16" s="63">
        <f>H7-H15</f>
        <v>17911.72435847958</v>
      </c>
      <c r="I16" s="64">
        <f t="shared" ref="I16:L16" si="3">I7-I15</f>
        <v>25401.544522111712</v>
      </c>
      <c r="J16" s="63">
        <f t="shared" si="3"/>
        <v>35231.122765712789</v>
      </c>
      <c r="K16" s="63">
        <f t="shared" si="3"/>
        <v>48048.371334520052</v>
      </c>
      <c r="L16" s="65">
        <f t="shared" si="3"/>
        <v>64668.931732835132</v>
      </c>
    </row>
    <row r="17" spans="2:12" x14ac:dyDescent="0.35">
      <c r="B17" s="24"/>
      <c r="C17" s="25"/>
      <c r="D17" s="25"/>
      <c r="E17" s="25"/>
      <c r="F17" s="25"/>
      <c r="G17" s="25"/>
      <c r="H17" s="25"/>
      <c r="I17" s="28"/>
      <c r="J17" s="25"/>
      <c r="K17" s="25"/>
      <c r="L17" s="26"/>
    </row>
    <row r="18" spans="2:12" x14ac:dyDescent="0.35">
      <c r="B18" s="19" t="s">
        <v>90</v>
      </c>
      <c r="C18" s="58">
        <v>15341</v>
      </c>
      <c r="D18" s="58">
        <v>21789</v>
      </c>
      <c r="E18" s="58">
        <v>25180</v>
      </c>
      <c r="F18" s="58">
        <v>34433</v>
      </c>
      <c r="G18" s="58">
        <v>41921</v>
      </c>
      <c r="H18" s="20">
        <f>G18*(1+Assumptions!$L9)</f>
        <v>54087.318483260715</v>
      </c>
      <c r="I18" s="20">
        <f>H18*(1+Assumptions!$L9)</f>
        <v>69784.547618369703</v>
      </c>
      <c r="J18" s="20">
        <f>I18*(1+Assumptions!$L9)</f>
        <v>90037.428788555495</v>
      </c>
      <c r="K18" s="20">
        <f>J18*(1+Assumptions!$L9)</f>
        <v>116168.10396461219</v>
      </c>
      <c r="L18" s="21">
        <f>K18*(1+Assumptions!$L9)</f>
        <v>149882.42734501851</v>
      </c>
    </row>
    <row r="19" spans="2:12" x14ac:dyDescent="0.35">
      <c r="B19" s="19" t="s">
        <v>77</v>
      </c>
      <c r="C19" s="23"/>
      <c r="D19" s="23"/>
      <c r="E19" s="25"/>
      <c r="F19" s="25"/>
      <c r="G19" s="25"/>
      <c r="H19" s="67">
        <f>H5*Assumptions!$B$12</f>
        <v>31428.289795293927</v>
      </c>
      <c r="I19" s="67">
        <f>I5*Assumptions!$B$12</f>
        <v>38434.633030935904</v>
      </c>
      <c r="J19" s="67">
        <f>J5*Assumptions!$B$12</f>
        <v>47002.908075637897</v>
      </c>
      <c r="K19" s="67">
        <f>K5*Assumptions!$B$12</f>
        <v>57481.318106735394</v>
      </c>
      <c r="L19" s="68">
        <f>L5*Assumptions!$B$12</f>
        <v>70295.691619137448</v>
      </c>
    </row>
    <row r="20" spans="2:12" ht="15" thickBot="1" x14ac:dyDescent="0.4">
      <c r="B20" s="59"/>
      <c r="C20" s="60"/>
      <c r="D20" s="60"/>
      <c r="E20" s="60"/>
      <c r="F20" s="60"/>
      <c r="G20" s="60" t="s">
        <v>91</v>
      </c>
      <c r="H20" s="69">
        <f>H16*(1-Assumptions!$B$13)+'Projected Financials'!H18-'Projected Financials'!H19</f>
        <v>36809.290931165655</v>
      </c>
      <c r="I20" s="69">
        <f>I16*(1-Assumptions!$B$13)+'Projected Financials'!I18-'Projected Financials'!I19</f>
        <v>51417.134759902052</v>
      </c>
      <c r="J20" s="69">
        <f>J16*(1-Assumptions!$B$13)+'Projected Financials'!J18-'Projected Financials'!J19</f>
        <v>70867.107697830696</v>
      </c>
      <c r="K20" s="69">
        <f>K16*(1-Assumptions!$B$13)+'Projected Financials'!K18-'Projected Financials'!K19</f>
        <v>96644.999212147639</v>
      </c>
      <c r="L20" s="70">
        <f>L16*(1-Assumptions!$B$13)+'Projected Financials'!L18-'Projected Financials'!L19</f>
        <v>130675.19179482083</v>
      </c>
    </row>
    <row r="21" spans="2:12" x14ac:dyDescent="0.35">
      <c r="C21" s="54"/>
      <c r="D21" s="54"/>
      <c r="E21" s="54"/>
      <c r="F21" s="54"/>
      <c r="G21" s="71" t="s">
        <v>92</v>
      </c>
      <c r="H21" s="72"/>
      <c r="I21" s="72"/>
      <c r="J21" s="72"/>
      <c r="K21" s="72">
        <f>L20/(Assumptions!B15-Assumptions!B14)</f>
        <v>1528364.8163136938</v>
      </c>
      <c r="L21" s="73"/>
    </row>
    <row r="22" spans="2:12" ht="15" thickBot="1" x14ac:dyDescent="0.4">
      <c r="C22" s="54"/>
      <c r="D22" s="54"/>
      <c r="E22" s="54"/>
      <c r="F22" s="54"/>
      <c r="G22" s="59" t="s">
        <v>93</v>
      </c>
      <c r="H22" s="69">
        <f>SUM(H20:H21)/(1+Assumptions!$B$15)^'Projected Financials'!H2</f>
        <v>32416.812797151611</v>
      </c>
      <c r="I22" s="69">
        <f>SUM(I20:I21)/(1+Assumptions!$B$15)^'Projected Financials'!I2</f>
        <v>39878.020716011728</v>
      </c>
      <c r="J22" s="69">
        <f>SUM(J20:J21)/(1+Assumptions!$B$15)^'Projected Financials'!J2</f>
        <v>48404.227401935554</v>
      </c>
      <c r="K22" s="69">
        <f>SUM(K20:K21)/(1+Assumptions!$B$15)^'Projected Financials'!K2</f>
        <v>977478.99663991109</v>
      </c>
      <c r="L22" s="70"/>
    </row>
    <row r="23" spans="2:12" ht="16.5" thickTop="1" thickBot="1" x14ac:dyDescent="0.4">
      <c r="C23" s="54"/>
      <c r="D23" s="54"/>
      <c r="E23" s="54"/>
      <c r="F23" s="54"/>
      <c r="G23" s="91" t="s">
        <v>94</v>
      </c>
      <c r="H23" s="92">
        <f>SUM(H22:K22)</f>
        <v>1098178.0575550101</v>
      </c>
    </row>
    <row r="24" spans="2:12" ht="16.5" thickTop="1" thickBot="1" x14ac:dyDescent="0.4">
      <c r="C24" s="54"/>
      <c r="D24" s="54"/>
      <c r="E24" s="54"/>
      <c r="F24" s="54"/>
      <c r="G24" s="91" t="s">
        <v>95</v>
      </c>
      <c r="H24" s="93">
        <f>H23/Assumptions!B16</f>
        <v>107.45382167857241</v>
      </c>
    </row>
    <row r="25" spans="2:12" ht="16.5" thickTop="1" thickBot="1" x14ac:dyDescent="0.4">
      <c r="G25" s="91" t="s">
        <v>96</v>
      </c>
      <c r="H25" s="94">
        <v>129.78</v>
      </c>
    </row>
    <row r="26" spans="2:12" ht="16.5" thickTop="1" thickBot="1" x14ac:dyDescent="0.4">
      <c r="G26" s="91" t="s">
        <v>97</v>
      </c>
      <c r="H26" s="93">
        <f>H24-H25</f>
        <v>-22.326178321427591</v>
      </c>
    </row>
    <row r="27" spans="2:12" ht="15" thickTop="1" x14ac:dyDescent="0.35"/>
  </sheetData>
  <mergeCells count="3">
    <mergeCell ref="S4:X4"/>
    <mergeCell ref="C3:G3"/>
    <mergeCell ref="H3:L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A88C-C8BB-4C24-A3CB-873F87C2473A}">
  <dimension ref="B2:E84"/>
  <sheetViews>
    <sheetView workbookViewId="0">
      <selection activeCell="E21" sqref="E21"/>
    </sheetView>
  </sheetViews>
  <sheetFormatPr defaultColWidth="9.1796875" defaultRowHeight="14.5" x14ac:dyDescent="0.35"/>
  <cols>
    <col min="1" max="2" width="9.1796875" style="32"/>
    <col min="3" max="3" width="15" style="32" bestFit="1" customWidth="1"/>
    <col min="4" max="4" width="56.26953125" style="32" bestFit="1" customWidth="1"/>
    <col min="5" max="16384" width="9.1796875" style="32"/>
  </cols>
  <sheetData>
    <row r="2" spans="2:5" x14ac:dyDescent="0.35">
      <c r="B2" s="31" t="s">
        <v>98</v>
      </c>
    </row>
    <row r="4" spans="2:5" x14ac:dyDescent="0.35">
      <c r="B4" s="32" t="s">
        <v>99</v>
      </c>
    </row>
    <row r="6" spans="2:5" x14ac:dyDescent="0.35">
      <c r="C6" s="32" t="s">
        <v>100</v>
      </c>
    </row>
    <row r="7" spans="2:5" x14ac:dyDescent="0.35">
      <c r="D7" s="33" t="s">
        <v>101</v>
      </c>
      <c r="E7" s="34">
        <f>'[1]Consolidated Balance Sheets'!E12</f>
        <v>462675</v>
      </c>
    </row>
    <row r="8" spans="2:5" x14ac:dyDescent="0.35">
      <c r="D8" s="33" t="s">
        <v>102</v>
      </c>
      <c r="E8" s="34">
        <f>'[1]Consolidated Balance Sheets'!E17</f>
        <v>155393</v>
      </c>
    </row>
    <row r="9" spans="2:5" x14ac:dyDescent="0.35">
      <c r="D9" s="33" t="s">
        <v>103</v>
      </c>
      <c r="E9" s="35">
        <f>E7/E8</f>
        <v>2.9774507217184816</v>
      </c>
    </row>
    <row r="11" spans="2:5" x14ac:dyDescent="0.35">
      <c r="C11" s="32" t="s">
        <v>104</v>
      </c>
    </row>
    <row r="12" spans="2:5" x14ac:dyDescent="0.35">
      <c r="D12" s="33" t="s">
        <v>101</v>
      </c>
      <c r="E12" s="34">
        <f>E7</f>
        <v>462675</v>
      </c>
    </row>
    <row r="13" spans="2:5" x14ac:dyDescent="0.35">
      <c r="D13" s="33" t="s">
        <v>105</v>
      </c>
      <c r="E13" s="34">
        <f>'[1]Consolidated Balance Sheets'!E5</f>
        <v>34405</v>
      </c>
    </row>
    <row r="14" spans="2:5" x14ac:dyDescent="0.35">
      <c r="D14" s="33" t="s">
        <v>102</v>
      </c>
      <c r="E14" s="34">
        <f>E8</f>
        <v>155393</v>
      </c>
    </row>
    <row r="15" spans="2:5" x14ac:dyDescent="0.35">
      <c r="D15" s="33" t="s">
        <v>106</v>
      </c>
      <c r="E15" s="35">
        <f>(E12-E13)/E14</f>
        <v>2.7560443520621907</v>
      </c>
    </row>
    <row r="17" spans="2:5" x14ac:dyDescent="0.35">
      <c r="C17" s="32" t="s">
        <v>107</v>
      </c>
    </row>
    <row r="18" spans="2:5" x14ac:dyDescent="0.35">
      <c r="D18" s="33" t="s">
        <v>108</v>
      </c>
      <c r="E18" s="34">
        <f>'[1]Consolidated Balance Sheets'!E3</f>
        <v>53888</v>
      </c>
    </row>
    <row r="19" spans="2:5" x14ac:dyDescent="0.35">
      <c r="D19" s="33" t="s">
        <v>109</v>
      </c>
      <c r="E19" s="34">
        <f>'[1]Consolidated Balance Sheets'!E4</f>
        <v>16138</v>
      </c>
    </row>
    <row r="20" spans="2:5" x14ac:dyDescent="0.35">
      <c r="D20" s="33" t="s">
        <v>102</v>
      </c>
      <c r="E20" s="34">
        <f>E14</f>
        <v>155393</v>
      </c>
    </row>
    <row r="21" spans="2:5" x14ac:dyDescent="0.35">
      <c r="D21" s="33" t="s">
        <v>110</v>
      </c>
      <c r="E21" s="35">
        <f>(E18+E19)/E20</f>
        <v>0.45063805962945563</v>
      </c>
    </row>
    <row r="23" spans="2:5" x14ac:dyDescent="0.35">
      <c r="B23" s="32" t="s">
        <v>111</v>
      </c>
    </row>
    <row r="25" spans="2:5" x14ac:dyDescent="0.35">
      <c r="C25" s="32" t="s">
        <v>112</v>
      </c>
    </row>
    <row r="26" spans="2:5" x14ac:dyDescent="0.35">
      <c r="D26" s="33" t="s">
        <v>113</v>
      </c>
      <c r="E26" s="34">
        <f>'[1]Consolidated Statements Of Oper'!B3</f>
        <v>513983</v>
      </c>
    </row>
    <row r="27" spans="2:5" x14ac:dyDescent="0.35">
      <c r="D27" s="33" t="s">
        <v>114</v>
      </c>
      <c r="E27" s="34">
        <f>'[1]Consolidated Statements Of Oper'!B5</f>
        <v>67640</v>
      </c>
    </row>
    <row r="28" spans="2:5" x14ac:dyDescent="0.35">
      <c r="D28" s="33" t="s">
        <v>115</v>
      </c>
      <c r="E28" s="36">
        <f>E27/E26</f>
        <v>0.13159968325800658</v>
      </c>
    </row>
    <row r="30" spans="2:5" x14ac:dyDescent="0.35">
      <c r="C30" s="32" t="s">
        <v>116</v>
      </c>
    </row>
    <row r="31" spans="2:5" x14ac:dyDescent="0.35">
      <c r="D31" s="33" t="s">
        <v>113</v>
      </c>
      <c r="E31" s="34">
        <f>E26</f>
        <v>513983</v>
      </c>
    </row>
    <row r="32" spans="2:5" x14ac:dyDescent="0.35">
      <c r="D32" s="33" t="s">
        <v>117</v>
      </c>
      <c r="E32" s="34">
        <f>'[1]Consolidated Statements Of Oper'!B13</f>
        <v>12248</v>
      </c>
    </row>
    <row r="33" spans="2:5" x14ac:dyDescent="0.35">
      <c r="D33" s="33" t="s">
        <v>118</v>
      </c>
      <c r="E33" s="36">
        <f>E32/E31</f>
        <v>2.3829581912242232E-2</v>
      </c>
    </row>
    <row r="35" spans="2:5" x14ac:dyDescent="0.35">
      <c r="C35" s="32" t="s">
        <v>119</v>
      </c>
    </row>
    <row r="36" spans="2:5" x14ac:dyDescent="0.35">
      <c r="D36" s="33" t="s">
        <v>120</v>
      </c>
      <c r="E36" s="34">
        <f>'[1]Consolidated Statements Of Oper'!B21</f>
        <v>-2722</v>
      </c>
    </row>
    <row r="37" spans="2:5" x14ac:dyDescent="0.35">
      <c r="D37" s="33" t="s">
        <v>121</v>
      </c>
      <c r="E37" s="34">
        <f>'[1]Consolidated Balance Sheets'!E12</f>
        <v>462675</v>
      </c>
    </row>
    <row r="38" spans="2:5" x14ac:dyDescent="0.35">
      <c r="D38" s="33" t="s">
        <v>122</v>
      </c>
      <c r="E38" s="36">
        <f>E36/E37</f>
        <v>-5.8831793375479545E-3</v>
      </c>
    </row>
    <row r="40" spans="2:5" x14ac:dyDescent="0.35">
      <c r="C40" s="32" t="s">
        <v>123</v>
      </c>
    </row>
    <row r="41" spans="2:5" x14ac:dyDescent="0.35">
      <c r="D41" s="33" t="s">
        <v>120</v>
      </c>
      <c r="E41" s="34">
        <f>E36</f>
        <v>-2722</v>
      </c>
    </row>
    <row r="42" spans="2:5" x14ac:dyDescent="0.35">
      <c r="D42" s="33" t="s">
        <v>124</v>
      </c>
      <c r="E42" s="34">
        <f>'[1]Consolidated Balance Sheets'!B29</f>
        <v>62060</v>
      </c>
    </row>
    <row r="43" spans="2:5" x14ac:dyDescent="0.35">
      <c r="D43" s="33" t="s">
        <v>125</v>
      </c>
      <c r="E43" s="36">
        <f>E41/E42</f>
        <v>-4.3860779890428615E-2</v>
      </c>
    </row>
    <row r="45" spans="2:5" x14ac:dyDescent="0.35">
      <c r="B45" s="32" t="s">
        <v>126</v>
      </c>
    </row>
    <row r="47" spans="2:5" x14ac:dyDescent="0.35">
      <c r="C47" s="32" t="s">
        <v>127</v>
      </c>
    </row>
    <row r="48" spans="2:5" x14ac:dyDescent="0.35">
      <c r="D48" s="33" t="s">
        <v>120</v>
      </c>
      <c r="E48" s="34">
        <f>'[1]Consolidated Statements Of Oper'!B21</f>
        <v>-2722</v>
      </c>
    </row>
    <row r="49" spans="2:5" x14ac:dyDescent="0.35">
      <c r="D49" s="33" t="s">
        <v>90</v>
      </c>
      <c r="E49" s="34">
        <f>'[1]Consolidated Statements of Cash'!B8</f>
        <v>41921</v>
      </c>
    </row>
    <row r="50" spans="2:5" x14ac:dyDescent="0.35">
      <c r="D50" s="33" t="s">
        <v>128</v>
      </c>
      <c r="E50" s="34">
        <f>'[1]Consolidated Balance Sheets'!E17</f>
        <v>155393</v>
      </c>
    </row>
    <row r="51" spans="2:5" x14ac:dyDescent="0.35">
      <c r="D51" s="33" t="s">
        <v>129</v>
      </c>
      <c r="E51" s="36">
        <f>(E48+E49)/E50</f>
        <v>0.2522571801818615</v>
      </c>
    </row>
    <row r="52" spans="2:5" x14ac:dyDescent="0.35">
      <c r="E52" s="37"/>
    </row>
    <row r="53" spans="2:5" x14ac:dyDescent="0.35">
      <c r="C53" s="32" t="s">
        <v>130</v>
      </c>
    </row>
    <row r="54" spans="2:5" x14ac:dyDescent="0.35">
      <c r="D54" s="33" t="s">
        <v>131</v>
      </c>
      <c r="E54" s="34">
        <f>'[1]Consolidated Balance Sheets'!E17</f>
        <v>155393</v>
      </c>
    </row>
    <row r="55" spans="2:5" x14ac:dyDescent="0.35">
      <c r="D55" s="33" t="s">
        <v>124</v>
      </c>
      <c r="E55" s="34">
        <f>'[1]Consolidated Balance Sheets'!E29</f>
        <v>146043</v>
      </c>
    </row>
    <row r="56" spans="2:5" x14ac:dyDescent="0.35">
      <c r="D56" s="33" t="s">
        <v>132</v>
      </c>
      <c r="E56" s="36">
        <f>E54/E55</f>
        <v>1.064022240025198</v>
      </c>
    </row>
    <row r="59" spans="2:5" x14ac:dyDescent="0.35">
      <c r="B59" s="32" t="s">
        <v>133</v>
      </c>
    </row>
    <row r="61" spans="2:5" x14ac:dyDescent="0.35">
      <c r="C61" s="32" t="s">
        <v>134</v>
      </c>
    </row>
    <row r="62" spans="2:5" x14ac:dyDescent="0.35">
      <c r="D62" s="33" t="s">
        <v>135</v>
      </c>
      <c r="E62" s="34">
        <f>'[1]Consolidated Statements Of Oper'!B4</f>
        <v>446343</v>
      </c>
    </row>
    <row r="63" spans="2:5" x14ac:dyDescent="0.35">
      <c r="D63" s="33" t="s">
        <v>136</v>
      </c>
      <c r="E63" s="34">
        <f>'[1]Consolidated Balance Sheets'!D5</f>
        <v>32640</v>
      </c>
    </row>
    <row r="64" spans="2:5" x14ac:dyDescent="0.35">
      <c r="D64" s="33" t="s">
        <v>137</v>
      </c>
      <c r="E64" s="34">
        <f>'[1]Consolidated Balance Sheets'!E5</f>
        <v>34405</v>
      </c>
    </row>
    <row r="65" spans="2:5" x14ac:dyDescent="0.35">
      <c r="D65" s="33" t="s">
        <v>138</v>
      </c>
      <c r="E65" s="38">
        <f>E62/((E63+E64)/2)</f>
        <v>13.314728913416362</v>
      </c>
    </row>
    <row r="67" spans="2:5" x14ac:dyDescent="0.35">
      <c r="C67" s="32" t="s">
        <v>139</v>
      </c>
    </row>
    <row r="68" spans="2:5" x14ac:dyDescent="0.35">
      <c r="D68" s="33" t="s">
        <v>140</v>
      </c>
      <c r="E68" s="34">
        <f>(E31-100)</f>
        <v>513883</v>
      </c>
    </row>
    <row r="69" spans="2:5" x14ac:dyDescent="0.35">
      <c r="D69" s="33" t="s">
        <v>141</v>
      </c>
      <c r="E69" s="34">
        <f>'[1]Consolidated Balance Sheets'!D6</f>
        <v>32891</v>
      </c>
    </row>
    <row r="70" spans="2:5" x14ac:dyDescent="0.35">
      <c r="D70" s="33" t="s">
        <v>142</v>
      </c>
      <c r="E70" s="34">
        <f>'[1]Consolidated Balance Sheets'!E6</f>
        <v>42360</v>
      </c>
    </row>
    <row r="71" spans="2:5" x14ac:dyDescent="0.35">
      <c r="D71" s="33" t="s">
        <v>143</v>
      </c>
      <c r="E71" s="38">
        <f>E68/((E69+E70)/2)</f>
        <v>13.657838434040743</v>
      </c>
    </row>
    <row r="73" spans="2:5" x14ac:dyDescent="0.35">
      <c r="C73" s="32" t="s">
        <v>144</v>
      </c>
    </row>
    <row r="74" spans="2:5" x14ac:dyDescent="0.35">
      <c r="D74" s="33" t="s">
        <v>145</v>
      </c>
      <c r="E74" s="34">
        <f>200000</f>
        <v>200000</v>
      </c>
    </row>
    <row r="75" spans="2:5" x14ac:dyDescent="0.35">
      <c r="D75" s="33" t="s">
        <v>146</v>
      </c>
      <c r="E75" s="34">
        <f>'[1]Consolidated Balance Sheets'!D14</f>
        <v>78664</v>
      </c>
    </row>
    <row r="76" spans="2:5" x14ac:dyDescent="0.35">
      <c r="D76" s="33" t="s">
        <v>147</v>
      </c>
      <c r="E76" s="34">
        <f>'[1]Consolidated Balance Sheets'!E14</f>
        <v>79600</v>
      </c>
    </row>
    <row r="77" spans="2:5" x14ac:dyDescent="0.35">
      <c r="D77" s="33" t="s">
        <v>148</v>
      </c>
      <c r="E77" s="38">
        <f>E74/((E75+E76)/2)</f>
        <v>2.5274225344993178</v>
      </c>
    </row>
    <row r="79" spans="2:5" x14ac:dyDescent="0.35">
      <c r="B79" s="32" t="s">
        <v>149</v>
      </c>
    </row>
    <row r="81" spans="3:5" x14ac:dyDescent="0.35">
      <c r="C81" s="32" t="s">
        <v>150</v>
      </c>
    </row>
    <row r="82" spans="3:5" x14ac:dyDescent="0.35">
      <c r="D82" s="33" t="s">
        <v>151</v>
      </c>
      <c r="E82" s="39">
        <v>129.78</v>
      </c>
    </row>
    <row r="83" spans="3:5" x14ac:dyDescent="0.35">
      <c r="D83" s="33" t="s">
        <v>152</v>
      </c>
      <c r="E83" s="39">
        <f>-'[1]Consolidated Statements Of Oper'!B22</f>
        <v>0.27</v>
      </c>
    </row>
    <row r="84" spans="3:5" x14ac:dyDescent="0.35">
      <c r="D84" s="33" t="s">
        <v>153</v>
      </c>
      <c r="E84" s="40">
        <f>E82/E83</f>
        <v>480.66666666666663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DCC1-5D07-4E91-9CC2-6068932652BC}">
  <dimension ref="A1:I121"/>
  <sheetViews>
    <sheetView workbookViewId="0">
      <selection activeCell="H18" sqref="H18"/>
    </sheetView>
  </sheetViews>
  <sheetFormatPr defaultRowHeight="14.5" x14ac:dyDescent="0.35"/>
  <cols>
    <col min="1" max="1" width="14.54296875" customWidth="1"/>
    <col min="3" max="3" width="18.81640625" customWidth="1"/>
    <col min="4" max="4" width="10.453125" bestFit="1" customWidth="1"/>
    <col min="5" max="5" width="9.26953125" bestFit="1" customWidth="1"/>
    <col min="6" max="6" width="21.26953125" customWidth="1"/>
    <col min="8" max="8" width="25.81640625" bestFit="1" customWidth="1"/>
  </cols>
  <sheetData>
    <row r="1" spans="1:9" x14ac:dyDescent="0.35">
      <c r="A1" s="46" t="s">
        <v>154</v>
      </c>
      <c r="B1" s="46" t="s">
        <v>155</v>
      </c>
      <c r="C1" t="s">
        <v>156</v>
      </c>
      <c r="D1" s="47" t="s">
        <v>157</v>
      </c>
      <c r="E1" s="47" t="s">
        <v>40</v>
      </c>
      <c r="F1" s="47" t="s">
        <v>158</v>
      </c>
    </row>
    <row r="2" spans="1:9" x14ac:dyDescent="0.35">
      <c r="A2" s="48">
        <v>41487</v>
      </c>
      <c r="B2" s="44">
        <v>1632.97</v>
      </c>
      <c r="D2" s="42">
        <v>41487</v>
      </c>
      <c r="E2" s="41">
        <v>14.048999999999999</v>
      </c>
      <c r="H2" s="99" t="s">
        <v>159</v>
      </c>
      <c r="I2" s="99">
        <f>SLOPE(F3:F121,C3:C121)</f>
        <v>1.3256087295470205</v>
      </c>
    </row>
    <row r="3" spans="1:9" x14ac:dyDescent="0.35">
      <c r="A3" s="49">
        <v>41518</v>
      </c>
      <c r="B3" s="45">
        <v>1681.55</v>
      </c>
      <c r="C3">
        <f t="shared" ref="C3:C33" si="0">B3/B2</f>
        <v>1.0297494748831884</v>
      </c>
      <c r="D3" s="42">
        <v>41518</v>
      </c>
      <c r="E3" s="41">
        <v>15.632</v>
      </c>
      <c r="F3">
        <f>Table2[[#This Row],[AMZN]]/E2</f>
        <v>1.1126770588653996</v>
      </c>
    </row>
    <row r="4" spans="1:9" x14ac:dyDescent="0.35">
      <c r="A4" s="48">
        <v>41548</v>
      </c>
      <c r="B4" s="44">
        <v>1756.54</v>
      </c>
      <c r="C4">
        <f t="shared" si="0"/>
        <v>1.0445957598644109</v>
      </c>
      <c r="D4" s="42">
        <v>41548</v>
      </c>
      <c r="E4" s="41">
        <v>18.201499999999999</v>
      </c>
      <c r="F4">
        <f>Table2[[#This Row],[AMZN]]/E3</f>
        <v>1.1643743602865917</v>
      </c>
      <c r="H4" s="99" t="s">
        <v>160</v>
      </c>
      <c r="I4" s="99">
        <f>GEOMEAN(C3:C121)</f>
        <v>1.0083622101969312</v>
      </c>
    </row>
    <row r="5" spans="1:9" x14ac:dyDescent="0.35">
      <c r="A5" s="49">
        <v>41579</v>
      </c>
      <c r="B5" s="45">
        <v>1805.81</v>
      </c>
      <c r="C5">
        <f t="shared" si="0"/>
        <v>1.0280494608719415</v>
      </c>
      <c r="D5" s="42">
        <v>41579</v>
      </c>
      <c r="E5" s="41">
        <v>19.681000000000001</v>
      </c>
      <c r="F5">
        <f>Table2[[#This Row],[AMZN]]/E4</f>
        <v>1.0812845095184465</v>
      </c>
    </row>
    <row r="6" spans="1:9" x14ac:dyDescent="0.35">
      <c r="A6" s="48">
        <v>41609</v>
      </c>
      <c r="B6" s="44">
        <v>1848.36</v>
      </c>
      <c r="C6">
        <f t="shared" si="0"/>
        <v>1.0235628332991842</v>
      </c>
      <c r="D6" s="42">
        <v>41609</v>
      </c>
      <c r="E6" s="41">
        <v>19.939499999999999</v>
      </c>
      <c r="F6">
        <f>Table2[[#This Row],[AMZN]]/E5</f>
        <v>1.0131344951984147</v>
      </c>
      <c r="H6" s="99" t="s">
        <v>160</v>
      </c>
      <c r="I6" s="100">
        <f>GEOMEAN(C3:C121)-1</f>
        <v>8.3622101969311746E-3</v>
      </c>
    </row>
    <row r="7" spans="1:9" x14ac:dyDescent="0.35">
      <c r="A7" s="49">
        <v>41640</v>
      </c>
      <c r="B7" s="45">
        <v>1782.59</v>
      </c>
      <c r="C7">
        <f t="shared" si="0"/>
        <v>0.96441710489298627</v>
      </c>
      <c r="D7" s="42">
        <v>41640</v>
      </c>
      <c r="E7" s="41">
        <v>17.9345</v>
      </c>
      <c r="F7">
        <f>Table2[[#This Row],[AMZN]]/E6</f>
        <v>0.89944582361643977</v>
      </c>
    </row>
    <row r="8" spans="1:9" x14ac:dyDescent="0.35">
      <c r="A8" s="48">
        <v>41671</v>
      </c>
      <c r="B8" s="44">
        <v>1859.45</v>
      </c>
      <c r="C8">
        <f t="shared" si="0"/>
        <v>1.0431170375689307</v>
      </c>
      <c r="D8" s="42">
        <v>41671</v>
      </c>
      <c r="E8" s="41">
        <v>18.105</v>
      </c>
      <c r="F8">
        <f>Table2[[#This Row],[AMZN]]/E7</f>
        <v>1.0095068164710475</v>
      </c>
      <c r="H8" t="s">
        <v>161</v>
      </c>
      <c r="I8">
        <f>GEOMEAN(C3:C121)</f>
        <v>1.0083622101969312</v>
      </c>
    </row>
    <row r="9" spans="1:9" x14ac:dyDescent="0.35">
      <c r="A9" s="49">
        <v>41699</v>
      </c>
      <c r="B9" s="45">
        <v>1872.34</v>
      </c>
      <c r="C9">
        <f t="shared" si="0"/>
        <v>1.0069321573583585</v>
      </c>
      <c r="D9" s="42">
        <v>41699</v>
      </c>
      <c r="E9" s="41">
        <v>16.8185</v>
      </c>
      <c r="F9">
        <f>Table2[[#This Row],[AMZN]]/E8</f>
        <v>0.92894228113780719</v>
      </c>
      <c r="H9" t="s">
        <v>162</v>
      </c>
      <c r="I9" s="10">
        <f>GEOMEAN(C3:C121)-1</f>
        <v>8.3622101969311746E-3</v>
      </c>
    </row>
    <row r="10" spans="1:9" x14ac:dyDescent="0.35">
      <c r="A10" s="48">
        <v>41730</v>
      </c>
      <c r="B10" s="44">
        <v>1883.95</v>
      </c>
      <c r="C10">
        <f t="shared" si="0"/>
        <v>1.0062007968638176</v>
      </c>
      <c r="D10" s="42">
        <v>41730</v>
      </c>
      <c r="E10" s="41">
        <v>15.2065</v>
      </c>
      <c r="F10">
        <f>Table2[[#This Row],[AMZN]]/E9</f>
        <v>0.90415316466985762</v>
      </c>
      <c r="H10" t="s">
        <v>163</v>
      </c>
      <c r="I10" s="10">
        <f>EFFECT(I9*12,12)</f>
        <v>0.10509277132688344</v>
      </c>
    </row>
    <row r="11" spans="1:9" x14ac:dyDescent="0.35">
      <c r="A11" s="49">
        <v>41760</v>
      </c>
      <c r="B11" s="45">
        <v>1923.57</v>
      </c>
      <c r="C11">
        <f t="shared" si="0"/>
        <v>1.0210302821200137</v>
      </c>
      <c r="D11" s="42">
        <v>41760</v>
      </c>
      <c r="E11" s="41">
        <v>15.6275</v>
      </c>
      <c r="F11">
        <f>Table2[[#This Row],[AMZN]]/E10</f>
        <v>1.0276855292144806</v>
      </c>
    </row>
    <row r="12" spans="1:9" x14ac:dyDescent="0.35">
      <c r="A12" s="48">
        <v>41791</v>
      </c>
      <c r="B12" s="44">
        <v>1960.23</v>
      </c>
      <c r="C12">
        <f t="shared" si="0"/>
        <v>1.0190583134484319</v>
      </c>
      <c r="D12" s="42">
        <v>41791</v>
      </c>
      <c r="E12" s="41">
        <v>16.239000000000001</v>
      </c>
      <c r="F12">
        <f>Table2[[#This Row],[AMZN]]/E11</f>
        <v>1.0391297392417214</v>
      </c>
    </row>
    <row r="13" spans="1:9" x14ac:dyDescent="0.35">
      <c r="A13" s="49">
        <v>41821</v>
      </c>
      <c r="B13" s="45">
        <v>1930.67</v>
      </c>
      <c r="C13">
        <f t="shared" si="0"/>
        <v>0.98492013692270808</v>
      </c>
      <c r="D13" s="42">
        <v>41821</v>
      </c>
      <c r="E13" s="41">
        <v>15.6495</v>
      </c>
      <c r="F13">
        <f>Table2[[#This Row],[AMZN]]/E12</f>
        <v>0.96369850360243847</v>
      </c>
      <c r="I13" s="10">
        <f>(1+I9)^12-1</f>
        <v>0.10509277132688344</v>
      </c>
    </row>
    <row r="14" spans="1:9" x14ac:dyDescent="0.35">
      <c r="A14" s="48">
        <v>41852</v>
      </c>
      <c r="B14" s="44">
        <v>2003.37</v>
      </c>
      <c r="C14">
        <f t="shared" si="0"/>
        <v>1.0376553217276903</v>
      </c>
      <c r="D14" s="42">
        <v>41852</v>
      </c>
      <c r="E14" s="41">
        <v>16.952000000000002</v>
      </c>
      <c r="F14">
        <f>Table2[[#This Row],[AMZN]]/E13</f>
        <v>1.0832294961500368</v>
      </c>
    </row>
    <row r="15" spans="1:9" x14ac:dyDescent="0.35">
      <c r="A15" s="49">
        <v>41883</v>
      </c>
      <c r="B15" s="45">
        <v>1972.29</v>
      </c>
      <c r="C15">
        <f t="shared" si="0"/>
        <v>0.98448614085266328</v>
      </c>
      <c r="D15" s="42">
        <v>41883</v>
      </c>
      <c r="E15" s="41">
        <v>16.122</v>
      </c>
      <c r="F15">
        <f>Table2[[#This Row],[AMZN]]/E14</f>
        <v>0.9510382255781028</v>
      </c>
      <c r="H15" t="s">
        <v>282</v>
      </c>
      <c r="I15" s="10">
        <f>I17+I2*(I6-I17)</f>
        <v>-2.1021347112952574E-3</v>
      </c>
    </row>
    <row r="16" spans="1:9" x14ac:dyDescent="0.35">
      <c r="A16" s="48">
        <v>41913</v>
      </c>
      <c r="B16" s="44">
        <v>2018.05</v>
      </c>
      <c r="C16">
        <f t="shared" si="0"/>
        <v>1.0232014561753089</v>
      </c>
      <c r="D16" s="42">
        <v>41913</v>
      </c>
      <c r="E16" s="41">
        <v>15.273</v>
      </c>
      <c r="F16">
        <f>Table2[[#This Row],[AMZN]]/E15</f>
        <v>0.94733903982136214</v>
      </c>
    </row>
    <row r="17" spans="1:9" x14ac:dyDescent="0.35">
      <c r="A17" s="49">
        <v>41944</v>
      </c>
      <c r="B17" s="45">
        <v>2067.56</v>
      </c>
      <c r="C17">
        <f t="shared" si="0"/>
        <v>1.024533584400783</v>
      </c>
      <c r="D17" s="42">
        <v>41944</v>
      </c>
      <c r="E17" s="41">
        <v>16.931999999999999</v>
      </c>
      <c r="F17">
        <f>Table2[[#This Row],[AMZN]]/E16</f>
        <v>1.1086230603024945</v>
      </c>
      <c r="H17" t="s">
        <v>283</v>
      </c>
      <c r="I17" s="10">
        <v>4.0500000000000001E-2</v>
      </c>
    </row>
    <row r="18" spans="1:9" x14ac:dyDescent="0.35">
      <c r="A18" s="48">
        <v>41974</v>
      </c>
      <c r="B18" s="44">
        <v>2058.9</v>
      </c>
      <c r="C18">
        <f t="shared" si="0"/>
        <v>0.99581148793747221</v>
      </c>
      <c r="D18" s="42">
        <v>41974</v>
      </c>
      <c r="E18" s="41">
        <v>15.5175</v>
      </c>
      <c r="F18">
        <f>Table2[[#This Row],[AMZN]]/E17</f>
        <v>0.91645995747696674</v>
      </c>
    </row>
    <row r="19" spans="1:9" x14ac:dyDescent="0.35">
      <c r="A19" s="49">
        <v>42005</v>
      </c>
      <c r="B19" s="45">
        <v>1994.99</v>
      </c>
      <c r="C19">
        <f t="shared" si="0"/>
        <v>0.96895915294574764</v>
      </c>
      <c r="D19" s="42">
        <v>42005</v>
      </c>
      <c r="E19" s="41">
        <v>17.726500000000001</v>
      </c>
      <c r="F19">
        <f>Table2[[#This Row],[AMZN]]/E18</f>
        <v>1.1423554051876914</v>
      </c>
    </row>
    <row r="20" spans="1:9" x14ac:dyDescent="0.35">
      <c r="A20" s="48">
        <v>42036</v>
      </c>
      <c r="B20" s="44">
        <v>2104.5</v>
      </c>
      <c r="C20">
        <f t="shared" si="0"/>
        <v>1.0548925057268457</v>
      </c>
      <c r="D20" s="42">
        <v>42036</v>
      </c>
      <c r="E20" s="41">
        <v>19.007999999999999</v>
      </c>
      <c r="F20">
        <f>Table2[[#This Row],[AMZN]]/E19</f>
        <v>1.072292894818492</v>
      </c>
    </row>
    <row r="21" spans="1:9" x14ac:dyDescent="0.35">
      <c r="A21" s="49">
        <v>42064</v>
      </c>
      <c r="B21" s="45">
        <v>2067.89</v>
      </c>
      <c r="C21">
        <f t="shared" si="0"/>
        <v>0.98260394392967443</v>
      </c>
      <c r="D21" s="42">
        <v>42064</v>
      </c>
      <c r="E21" s="41">
        <v>18.605</v>
      </c>
      <c r="F21">
        <f>Table2[[#This Row],[AMZN]]/E20</f>
        <v>0.97879840067340074</v>
      </c>
    </row>
    <row r="22" spans="1:9" x14ac:dyDescent="0.35">
      <c r="A22" s="48">
        <v>42095</v>
      </c>
      <c r="B22" s="44">
        <v>2085.5100000000002</v>
      </c>
      <c r="C22">
        <f t="shared" si="0"/>
        <v>1.0085207627098154</v>
      </c>
      <c r="D22" s="42">
        <v>42095</v>
      </c>
      <c r="E22" s="41">
        <v>21.088999999999999</v>
      </c>
      <c r="F22">
        <f>Table2[[#This Row],[AMZN]]/E21</f>
        <v>1.133512496640688</v>
      </c>
    </row>
    <row r="23" spans="1:9" x14ac:dyDescent="0.35">
      <c r="A23" s="49">
        <v>42125</v>
      </c>
      <c r="B23" s="45">
        <v>2107.39</v>
      </c>
      <c r="C23">
        <f t="shared" si="0"/>
        <v>1.0104914385450081</v>
      </c>
      <c r="D23" s="42">
        <v>42125</v>
      </c>
      <c r="E23" s="41">
        <v>21.461500000000001</v>
      </c>
      <c r="F23">
        <f>Table2[[#This Row],[AMZN]]/E22</f>
        <v>1.0176632367584999</v>
      </c>
    </row>
    <row r="24" spans="1:9" x14ac:dyDescent="0.35">
      <c r="A24" s="48">
        <v>42156</v>
      </c>
      <c r="B24" s="44">
        <v>2063.11</v>
      </c>
      <c r="C24">
        <f t="shared" si="0"/>
        <v>0.9789882271435284</v>
      </c>
      <c r="D24" s="42">
        <v>42156</v>
      </c>
      <c r="E24" s="41">
        <v>21.704499999999999</v>
      </c>
      <c r="F24">
        <f>Table2[[#This Row],[AMZN]]/E23</f>
        <v>1.0113226009365608</v>
      </c>
    </row>
    <row r="25" spans="1:9" x14ac:dyDescent="0.35">
      <c r="A25" s="49">
        <v>42186</v>
      </c>
      <c r="B25" s="45">
        <v>2103.84</v>
      </c>
      <c r="C25">
        <f t="shared" si="0"/>
        <v>1.0197420399300086</v>
      </c>
      <c r="D25" s="42">
        <v>42186</v>
      </c>
      <c r="E25" s="41">
        <v>26.807500000000001</v>
      </c>
      <c r="F25">
        <f>Table2[[#This Row],[AMZN]]/E24</f>
        <v>1.2351125342670874</v>
      </c>
    </row>
    <row r="26" spans="1:9" x14ac:dyDescent="0.35">
      <c r="A26" s="48">
        <v>42217</v>
      </c>
      <c r="B26" s="44">
        <v>1972.18</v>
      </c>
      <c r="C26">
        <f t="shared" si="0"/>
        <v>0.93741919537607421</v>
      </c>
      <c r="D26" s="42">
        <v>42217</v>
      </c>
      <c r="E26" s="41">
        <v>25.644500000000001</v>
      </c>
      <c r="F26">
        <f>Table2[[#This Row],[AMZN]]/E25</f>
        <v>0.95661661848363333</v>
      </c>
    </row>
    <row r="27" spans="1:9" x14ac:dyDescent="0.35">
      <c r="A27" s="49">
        <v>42248</v>
      </c>
      <c r="B27" s="45">
        <v>1920.03</v>
      </c>
      <c r="C27">
        <f t="shared" si="0"/>
        <v>0.97355718037907291</v>
      </c>
      <c r="D27" s="42">
        <v>42248</v>
      </c>
      <c r="E27" s="41">
        <v>25.5945</v>
      </c>
      <c r="F27">
        <f>Table2[[#This Row],[AMZN]]/E26</f>
        <v>0.99805026418920229</v>
      </c>
    </row>
    <row r="28" spans="1:9" x14ac:dyDescent="0.35">
      <c r="A28" s="48">
        <v>42278</v>
      </c>
      <c r="B28" s="44">
        <v>2079.36</v>
      </c>
      <c r="C28">
        <f t="shared" si="0"/>
        <v>1.0829830783894003</v>
      </c>
      <c r="D28" s="42">
        <v>42278</v>
      </c>
      <c r="E28" s="41">
        <v>31.295000000000002</v>
      </c>
      <c r="F28">
        <f>Table2[[#This Row],[AMZN]]/E27</f>
        <v>1.222723632030319</v>
      </c>
    </row>
    <row r="29" spans="1:9" x14ac:dyDescent="0.35">
      <c r="A29" s="49">
        <v>42309</v>
      </c>
      <c r="B29" s="45">
        <v>2080.41</v>
      </c>
      <c r="C29">
        <f t="shared" si="0"/>
        <v>1.0005049630655585</v>
      </c>
      <c r="D29" s="42">
        <v>42309</v>
      </c>
      <c r="E29" s="41">
        <v>33.24</v>
      </c>
      <c r="F29">
        <f>Table2[[#This Row],[AMZN]]/E28</f>
        <v>1.0621505032752836</v>
      </c>
    </row>
    <row r="30" spans="1:9" x14ac:dyDescent="0.35">
      <c r="A30" s="48">
        <v>42339</v>
      </c>
      <c r="B30" s="44">
        <v>2043.94</v>
      </c>
      <c r="C30">
        <f t="shared" si="0"/>
        <v>0.98246980162564124</v>
      </c>
      <c r="D30" s="42">
        <v>42339</v>
      </c>
      <c r="E30" s="41">
        <v>33.794499999999999</v>
      </c>
      <c r="F30">
        <f>Table2[[#This Row],[AMZN]]/E29</f>
        <v>1.0166817087845967</v>
      </c>
    </row>
    <row r="31" spans="1:9" x14ac:dyDescent="0.35">
      <c r="A31" s="49">
        <v>42370</v>
      </c>
      <c r="B31" s="45">
        <v>1940.24</v>
      </c>
      <c r="C31">
        <f t="shared" si="0"/>
        <v>0.94926465551826378</v>
      </c>
      <c r="D31" s="42">
        <v>42370</v>
      </c>
      <c r="E31" s="41">
        <v>29.35</v>
      </c>
      <c r="F31">
        <f>Table2[[#This Row],[AMZN]]/E30</f>
        <v>0.86848451671129923</v>
      </c>
    </row>
    <row r="32" spans="1:9" x14ac:dyDescent="0.35">
      <c r="A32" s="48">
        <v>42401</v>
      </c>
      <c r="B32" s="44">
        <v>1932.23</v>
      </c>
      <c r="C32">
        <f t="shared" si="0"/>
        <v>0.99587164474498002</v>
      </c>
      <c r="D32" s="42">
        <v>42401</v>
      </c>
      <c r="E32" s="41">
        <v>27.626000000000001</v>
      </c>
      <c r="F32">
        <f>Table2[[#This Row],[AMZN]]/E31</f>
        <v>0.94126064735945481</v>
      </c>
    </row>
    <row r="33" spans="1:6" x14ac:dyDescent="0.35">
      <c r="A33" s="49">
        <v>42430</v>
      </c>
      <c r="B33" s="45">
        <v>2059.7399999999998</v>
      </c>
      <c r="C33">
        <f t="shared" si="0"/>
        <v>1.0659911087189411</v>
      </c>
      <c r="D33" s="42">
        <v>42430</v>
      </c>
      <c r="E33" s="41">
        <v>29.681999999999999</v>
      </c>
      <c r="F33">
        <f>Table2[[#This Row],[AMZN]]/E32</f>
        <v>1.0744226453341055</v>
      </c>
    </row>
    <row r="34" spans="1:6" x14ac:dyDescent="0.35">
      <c r="A34" s="48">
        <v>42461</v>
      </c>
      <c r="B34" s="44">
        <v>2065.3000000000002</v>
      </c>
      <c r="C34">
        <f t="shared" ref="C34:C65" si="1">B34/B33</f>
        <v>1.0026993698233759</v>
      </c>
      <c r="D34" s="42">
        <v>42461</v>
      </c>
      <c r="E34" s="41">
        <v>32.979500000000002</v>
      </c>
      <c r="F34">
        <f>Table2[[#This Row],[AMZN]]/E33</f>
        <v>1.1110942658850482</v>
      </c>
    </row>
    <row r="35" spans="1:6" x14ac:dyDescent="0.35">
      <c r="A35" s="49">
        <v>42491</v>
      </c>
      <c r="B35" s="45">
        <v>2096.9499999999998</v>
      </c>
      <c r="C35">
        <f t="shared" si="1"/>
        <v>1.0153246501718878</v>
      </c>
      <c r="D35" s="42">
        <v>42491</v>
      </c>
      <c r="E35" s="41">
        <v>36.139499999999998</v>
      </c>
      <c r="F35">
        <f>Table2[[#This Row],[AMZN]]/E34</f>
        <v>1.0958170985005835</v>
      </c>
    </row>
    <row r="36" spans="1:6" x14ac:dyDescent="0.35">
      <c r="A36" s="48">
        <v>42522</v>
      </c>
      <c r="B36" s="44">
        <v>2098.86</v>
      </c>
      <c r="C36">
        <f t="shared" si="1"/>
        <v>1.0009108467059302</v>
      </c>
      <c r="D36" s="42">
        <v>42522</v>
      </c>
      <c r="E36" s="41">
        <v>35.780999999999999</v>
      </c>
      <c r="F36">
        <f>Table2[[#This Row],[AMZN]]/E35</f>
        <v>0.99008010625492882</v>
      </c>
    </row>
    <row r="37" spans="1:6" x14ac:dyDescent="0.35">
      <c r="A37" s="49">
        <v>42552</v>
      </c>
      <c r="B37" s="45">
        <v>2173.6</v>
      </c>
      <c r="C37">
        <f t="shared" si="1"/>
        <v>1.0356098072286859</v>
      </c>
      <c r="D37" s="42">
        <v>42552</v>
      </c>
      <c r="E37" s="41">
        <v>37.9405</v>
      </c>
      <c r="F37">
        <f>Table2[[#This Row],[AMZN]]/E36</f>
        <v>1.0603532601101144</v>
      </c>
    </row>
    <row r="38" spans="1:6" x14ac:dyDescent="0.35">
      <c r="A38" s="48">
        <v>42583</v>
      </c>
      <c r="B38" s="44">
        <v>2170.9499999999998</v>
      </c>
      <c r="C38">
        <f t="shared" si="1"/>
        <v>0.99878082443871918</v>
      </c>
      <c r="D38" s="42">
        <v>42583</v>
      </c>
      <c r="E38" s="41">
        <v>38.457999999999998</v>
      </c>
      <c r="F38">
        <f>Table2[[#This Row],[AMZN]]/E37</f>
        <v>1.0136397780735624</v>
      </c>
    </row>
    <row r="39" spans="1:6" x14ac:dyDescent="0.35">
      <c r="A39" s="49">
        <v>42614</v>
      </c>
      <c r="B39" s="45">
        <v>2168.27</v>
      </c>
      <c r="C39">
        <f t="shared" si="1"/>
        <v>0.99876551740021657</v>
      </c>
      <c r="D39" s="42">
        <v>42614</v>
      </c>
      <c r="E39" s="41">
        <v>41.865499999999997</v>
      </c>
      <c r="F39">
        <f>Table2[[#This Row],[AMZN]]/E38</f>
        <v>1.088603151489937</v>
      </c>
    </row>
    <row r="40" spans="1:6" x14ac:dyDescent="0.35">
      <c r="A40" s="48">
        <v>42644</v>
      </c>
      <c r="B40" s="44">
        <v>2126.15</v>
      </c>
      <c r="C40">
        <f t="shared" si="1"/>
        <v>0.98057437496252775</v>
      </c>
      <c r="D40" s="42">
        <v>42644</v>
      </c>
      <c r="E40" s="41">
        <v>39.491</v>
      </c>
      <c r="F40">
        <f>Table2[[#This Row],[AMZN]]/E39</f>
        <v>0.94328265516953103</v>
      </c>
    </row>
    <row r="41" spans="1:6" x14ac:dyDescent="0.35">
      <c r="A41" s="49">
        <v>42675</v>
      </c>
      <c r="B41" s="45">
        <v>2198.81</v>
      </c>
      <c r="C41">
        <f t="shared" si="1"/>
        <v>1.0341744467699832</v>
      </c>
      <c r="D41" s="42">
        <v>42675</v>
      </c>
      <c r="E41" s="41">
        <v>37.528500000000001</v>
      </c>
      <c r="F41">
        <f>Table2[[#This Row],[AMZN]]/E40</f>
        <v>0.95030513281507178</v>
      </c>
    </row>
    <row r="42" spans="1:6" x14ac:dyDescent="0.35">
      <c r="A42" s="48">
        <v>42705</v>
      </c>
      <c r="B42" s="44">
        <v>2238.83</v>
      </c>
      <c r="C42">
        <f t="shared" si="1"/>
        <v>1.018200754044233</v>
      </c>
      <c r="D42" s="42">
        <v>42705</v>
      </c>
      <c r="E42" s="41">
        <v>37.493499999999997</v>
      </c>
      <c r="F42">
        <f>Table2[[#This Row],[AMZN]]/E41</f>
        <v>0.99906737546131597</v>
      </c>
    </row>
    <row r="43" spans="1:6" x14ac:dyDescent="0.35">
      <c r="A43" s="49">
        <v>42736</v>
      </c>
      <c r="B43" s="45">
        <v>2278.87</v>
      </c>
      <c r="C43">
        <f t="shared" si="1"/>
        <v>1.0178843413747358</v>
      </c>
      <c r="D43" s="42">
        <v>42736</v>
      </c>
      <c r="E43" s="41">
        <v>41.173999999999999</v>
      </c>
      <c r="F43">
        <f>Table2[[#This Row],[AMZN]]/E42</f>
        <v>1.0981636817048288</v>
      </c>
    </row>
    <row r="44" spans="1:6" x14ac:dyDescent="0.35">
      <c r="A44" s="48">
        <v>42767</v>
      </c>
      <c r="B44" s="44">
        <v>2363.64</v>
      </c>
      <c r="C44">
        <f t="shared" si="1"/>
        <v>1.0371982605414087</v>
      </c>
      <c r="D44" s="42">
        <v>42767</v>
      </c>
      <c r="E44" s="41">
        <v>42.252000000000002</v>
      </c>
      <c r="F44">
        <f>Table2[[#This Row],[AMZN]]/E43</f>
        <v>1.0261815708942537</v>
      </c>
    </row>
    <row r="45" spans="1:6" x14ac:dyDescent="0.35">
      <c r="A45" s="49">
        <v>42795</v>
      </c>
      <c r="B45" s="45">
        <v>2362.7199999999998</v>
      </c>
      <c r="C45">
        <f t="shared" si="1"/>
        <v>0.99961076982958486</v>
      </c>
      <c r="D45" s="42">
        <v>42795</v>
      </c>
      <c r="E45" s="41">
        <v>44.326999999999998</v>
      </c>
      <c r="F45">
        <f>Table2[[#This Row],[AMZN]]/E44</f>
        <v>1.0491101012969799</v>
      </c>
    </row>
    <row r="46" spans="1:6" x14ac:dyDescent="0.35">
      <c r="A46" s="48">
        <v>42826</v>
      </c>
      <c r="B46" s="44">
        <v>2384.1999999999998</v>
      </c>
      <c r="C46">
        <f t="shared" si="1"/>
        <v>1.009091216902553</v>
      </c>
      <c r="D46" s="42">
        <v>42826</v>
      </c>
      <c r="E46" s="41">
        <v>46.249499999999998</v>
      </c>
      <c r="F46">
        <f>Table2[[#This Row],[AMZN]]/E45</f>
        <v>1.0433708574909197</v>
      </c>
    </row>
    <row r="47" spans="1:6" x14ac:dyDescent="0.35">
      <c r="A47" s="49">
        <v>42856</v>
      </c>
      <c r="B47" s="45">
        <v>2411.8000000000002</v>
      </c>
      <c r="C47">
        <f t="shared" si="1"/>
        <v>1.0115762100494927</v>
      </c>
      <c r="D47" s="42">
        <v>42856</v>
      </c>
      <c r="E47" s="41">
        <v>49.731000000000002</v>
      </c>
      <c r="F47">
        <f>Table2[[#This Row],[AMZN]]/E46</f>
        <v>1.075276489475562</v>
      </c>
    </row>
    <row r="48" spans="1:6" x14ac:dyDescent="0.35">
      <c r="A48" s="48">
        <v>42887</v>
      </c>
      <c r="B48" s="44">
        <v>2423.41</v>
      </c>
      <c r="C48">
        <f t="shared" si="1"/>
        <v>1.0048138319927025</v>
      </c>
      <c r="D48" s="42">
        <v>42887</v>
      </c>
      <c r="E48" s="41">
        <v>48.4</v>
      </c>
      <c r="F48">
        <f>Table2[[#This Row],[AMZN]]/E47</f>
        <v>0.97323600973236002</v>
      </c>
    </row>
    <row r="49" spans="1:6" x14ac:dyDescent="0.35">
      <c r="A49" s="49">
        <v>42917</v>
      </c>
      <c r="B49" s="45">
        <v>2470.3000000000002</v>
      </c>
      <c r="C49">
        <f t="shared" si="1"/>
        <v>1.0193487688835154</v>
      </c>
      <c r="D49" s="42">
        <v>42917</v>
      </c>
      <c r="E49" s="41">
        <v>49.389000000000003</v>
      </c>
      <c r="F49">
        <f>Table2[[#This Row],[AMZN]]/E48</f>
        <v>1.0204338842975207</v>
      </c>
    </row>
    <row r="50" spans="1:6" x14ac:dyDescent="0.35">
      <c r="A50" s="48">
        <v>42948</v>
      </c>
      <c r="B50" s="44">
        <v>2471.65</v>
      </c>
      <c r="C50">
        <f t="shared" si="1"/>
        <v>1.0005464923288669</v>
      </c>
      <c r="D50" s="42">
        <v>42948</v>
      </c>
      <c r="E50" s="41">
        <v>49.03</v>
      </c>
      <c r="F50">
        <f>Table2[[#This Row],[AMZN]]/E49</f>
        <v>0.99273117495798657</v>
      </c>
    </row>
    <row r="51" spans="1:6" x14ac:dyDescent="0.35">
      <c r="A51" s="49">
        <v>42979</v>
      </c>
      <c r="B51" s="45">
        <v>2519.36</v>
      </c>
      <c r="C51">
        <f t="shared" si="1"/>
        <v>1.0193028948273422</v>
      </c>
      <c r="D51" s="42">
        <v>42979</v>
      </c>
      <c r="E51" s="41">
        <v>48.067500000000003</v>
      </c>
      <c r="F51">
        <f>Table2[[#This Row],[AMZN]]/E50</f>
        <v>0.9803691617377116</v>
      </c>
    </row>
    <row r="52" spans="1:6" x14ac:dyDescent="0.35">
      <c r="A52" s="48">
        <v>43009</v>
      </c>
      <c r="B52" s="44">
        <v>2575.2600000000002</v>
      </c>
      <c r="C52">
        <f t="shared" si="1"/>
        <v>1.022188174774546</v>
      </c>
      <c r="D52" s="42">
        <v>43009</v>
      </c>
      <c r="E52" s="41">
        <v>55.264000000000003</v>
      </c>
      <c r="F52">
        <f>Table2[[#This Row],[AMZN]]/E51</f>
        <v>1.1497165444427109</v>
      </c>
    </row>
    <row r="53" spans="1:6" x14ac:dyDescent="0.35">
      <c r="A53" s="49">
        <v>43040</v>
      </c>
      <c r="B53" s="45">
        <v>2647.58</v>
      </c>
      <c r="C53">
        <f t="shared" si="1"/>
        <v>1.0280826013684055</v>
      </c>
      <c r="D53" s="42">
        <v>43040</v>
      </c>
      <c r="E53" s="41">
        <v>58.837499999999999</v>
      </c>
      <c r="F53">
        <f>Table2[[#This Row],[AMZN]]/E52</f>
        <v>1.0646623480023161</v>
      </c>
    </row>
    <row r="54" spans="1:6" x14ac:dyDescent="0.35">
      <c r="A54" s="48">
        <v>43070</v>
      </c>
      <c r="B54" s="44">
        <v>2673.61</v>
      </c>
      <c r="C54">
        <f t="shared" si="1"/>
        <v>1.0098316198188535</v>
      </c>
      <c r="D54" s="42">
        <v>43070</v>
      </c>
      <c r="E54" s="41">
        <v>58.473500000000001</v>
      </c>
      <c r="F54">
        <f>Table2[[#This Row],[AMZN]]/E53</f>
        <v>0.99381346930104109</v>
      </c>
    </row>
    <row r="55" spans="1:6" x14ac:dyDescent="0.35">
      <c r="A55" s="49">
        <v>43101</v>
      </c>
      <c r="B55" s="45">
        <v>2823.81</v>
      </c>
      <c r="C55">
        <f t="shared" si="1"/>
        <v>1.0561787246457037</v>
      </c>
      <c r="D55" s="42">
        <v>43101</v>
      </c>
      <c r="E55" s="41">
        <v>72.544499999999999</v>
      </c>
      <c r="F55">
        <f>Table2[[#This Row],[AMZN]]/E54</f>
        <v>1.2406389219047944</v>
      </c>
    </row>
    <row r="56" spans="1:6" x14ac:dyDescent="0.35">
      <c r="A56" s="48">
        <v>43132</v>
      </c>
      <c r="B56" s="44">
        <v>2713.83</v>
      </c>
      <c r="C56">
        <f t="shared" si="1"/>
        <v>0.96105262039584816</v>
      </c>
      <c r="D56" s="42">
        <v>43132</v>
      </c>
      <c r="E56" s="41">
        <v>75.622500000000002</v>
      </c>
      <c r="F56">
        <f>Table2[[#This Row],[AMZN]]/E55</f>
        <v>1.042429129706594</v>
      </c>
    </row>
    <row r="57" spans="1:6" x14ac:dyDescent="0.35">
      <c r="A57" s="49">
        <v>43160</v>
      </c>
      <c r="B57" s="45">
        <v>2640.87</v>
      </c>
      <c r="C57">
        <f t="shared" si="1"/>
        <v>0.97311548623163568</v>
      </c>
      <c r="D57" s="42">
        <v>43160</v>
      </c>
      <c r="E57" s="41">
        <v>72.367000000000004</v>
      </c>
      <c r="F57">
        <f>Table2[[#This Row],[AMZN]]/E56</f>
        <v>0.95695064299646271</v>
      </c>
    </row>
    <row r="58" spans="1:6" x14ac:dyDescent="0.35">
      <c r="A58" s="48">
        <v>43191</v>
      </c>
      <c r="B58" s="44">
        <v>2648.05</v>
      </c>
      <c r="C58">
        <f t="shared" si="1"/>
        <v>1.0027188010011854</v>
      </c>
      <c r="D58" s="42">
        <v>43191</v>
      </c>
      <c r="E58" s="41">
        <v>78.3065</v>
      </c>
      <c r="F58">
        <f>Table2[[#This Row],[AMZN]]/E57</f>
        <v>1.0820747025577957</v>
      </c>
    </row>
    <row r="59" spans="1:6" x14ac:dyDescent="0.35">
      <c r="A59" s="49">
        <v>43221</v>
      </c>
      <c r="B59" s="45">
        <v>2705.27</v>
      </c>
      <c r="C59">
        <f t="shared" si="1"/>
        <v>1.0216083533165914</v>
      </c>
      <c r="D59" s="42">
        <v>43221</v>
      </c>
      <c r="E59" s="41">
        <v>81.480999999999995</v>
      </c>
      <c r="F59">
        <f>Table2[[#This Row],[AMZN]]/E58</f>
        <v>1.0405394188221921</v>
      </c>
    </row>
    <row r="60" spans="1:6" x14ac:dyDescent="0.35">
      <c r="A60" s="48">
        <v>43252</v>
      </c>
      <c r="B60" s="44">
        <v>2718.37</v>
      </c>
      <c r="C60">
        <f t="shared" si="1"/>
        <v>1.0048424002040461</v>
      </c>
      <c r="D60" s="42">
        <v>43252</v>
      </c>
      <c r="E60" s="41">
        <v>84.99</v>
      </c>
      <c r="F60">
        <f>Table2[[#This Row],[AMZN]]/E59</f>
        <v>1.0430652544765038</v>
      </c>
    </row>
    <row r="61" spans="1:6" x14ac:dyDescent="0.35">
      <c r="A61" s="49">
        <v>43282</v>
      </c>
      <c r="B61" s="45">
        <v>2816.29</v>
      </c>
      <c r="C61">
        <f t="shared" si="1"/>
        <v>1.0360215864654188</v>
      </c>
      <c r="D61" s="42">
        <v>43282</v>
      </c>
      <c r="E61" s="41">
        <v>88.872</v>
      </c>
      <c r="F61">
        <f>Table2[[#This Row],[AMZN]]/E60</f>
        <v>1.0456759618778682</v>
      </c>
    </row>
    <row r="62" spans="1:6" x14ac:dyDescent="0.35">
      <c r="A62" s="48">
        <v>43313</v>
      </c>
      <c r="B62" s="44">
        <v>2901.52</v>
      </c>
      <c r="C62">
        <f t="shared" si="1"/>
        <v>1.0302632186316041</v>
      </c>
      <c r="D62" s="42">
        <v>43313</v>
      </c>
      <c r="E62" s="41">
        <v>100.63549999999999</v>
      </c>
      <c r="F62">
        <f>Table2[[#This Row],[AMZN]]/E61</f>
        <v>1.1323645242596092</v>
      </c>
    </row>
    <row r="63" spans="1:6" x14ac:dyDescent="0.35">
      <c r="A63" s="49">
        <v>43344</v>
      </c>
      <c r="B63" s="45">
        <v>2913.98</v>
      </c>
      <c r="C63">
        <f t="shared" si="1"/>
        <v>1.0042943009181395</v>
      </c>
      <c r="D63" s="42">
        <v>43344</v>
      </c>
      <c r="E63" s="41">
        <v>100.15</v>
      </c>
      <c r="F63">
        <f>Table2[[#This Row],[AMZN]]/E62</f>
        <v>0.99517565868903135</v>
      </c>
    </row>
    <row r="64" spans="1:6" x14ac:dyDescent="0.35">
      <c r="A64" s="48">
        <v>43374</v>
      </c>
      <c r="B64" s="44">
        <v>2711.74</v>
      </c>
      <c r="C64">
        <f t="shared" si="1"/>
        <v>0.93059664102018536</v>
      </c>
      <c r="D64" s="42">
        <v>43374</v>
      </c>
      <c r="E64" s="41">
        <v>79.900499999999994</v>
      </c>
      <c r="F64">
        <f>Table2[[#This Row],[AMZN]]/E63</f>
        <v>0.79780828756864697</v>
      </c>
    </row>
    <row r="65" spans="1:6" x14ac:dyDescent="0.35">
      <c r="A65" s="49">
        <v>43405</v>
      </c>
      <c r="B65" s="45">
        <v>2760.17</v>
      </c>
      <c r="C65">
        <f t="shared" si="1"/>
        <v>1.0178593817991402</v>
      </c>
      <c r="D65" s="42">
        <v>43405</v>
      </c>
      <c r="E65" s="41">
        <v>84.508499999999998</v>
      </c>
      <c r="F65">
        <f>Table2[[#This Row],[AMZN]]/E64</f>
        <v>1.057671729213209</v>
      </c>
    </row>
    <row r="66" spans="1:6" x14ac:dyDescent="0.35">
      <c r="A66" s="48">
        <v>43435</v>
      </c>
      <c r="B66" s="44">
        <v>2506.85</v>
      </c>
      <c r="C66">
        <f t="shared" ref="C66:C97" si="2">B66/B65</f>
        <v>0.90822304423278266</v>
      </c>
      <c r="D66" s="42">
        <v>43435</v>
      </c>
      <c r="E66" s="41">
        <v>75.098500000000001</v>
      </c>
      <c r="F66">
        <f>Table2[[#This Row],[AMZN]]/E65</f>
        <v>0.88865025411644982</v>
      </c>
    </row>
    <row r="67" spans="1:6" x14ac:dyDescent="0.35">
      <c r="A67" s="49">
        <v>43466</v>
      </c>
      <c r="B67" s="45">
        <v>2704.1</v>
      </c>
      <c r="C67">
        <f t="shared" si="2"/>
        <v>1.0786844047310369</v>
      </c>
      <c r="D67" s="42">
        <v>43466</v>
      </c>
      <c r="E67" s="41">
        <v>85.936499999999995</v>
      </c>
      <c r="F67">
        <f>Table2[[#This Row],[AMZN]]/E66</f>
        <v>1.1443171301690445</v>
      </c>
    </row>
    <row r="68" spans="1:6" x14ac:dyDescent="0.35">
      <c r="A68" s="48">
        <v>43497</v>
      </c>
      <c r="B68" s="44">
        <v>2784.49</v>
      </c>
      <c r="C68">
        <f t="shared" si="2"/>
        <v>1.0297289301431161</v>
      </c>
      <c r="D68" s="42">
        <v>43497</v>
      </c>
      <c r="E68" s="41">
        <v>81.991500000000002</v>
      </c>
      <c r="F68">
        <f>Table2[[#This Row],[AMZN]]/E67</f>
        <v>0.95409401127576765</v>
      </c>
    </row>
    <row r="69" spans="1:6" x14ac:dyDescent="0.35">
      <c r="A69" s="49">
        <v>43525</v>
      </c>
      <c r="B69" s="45">
        <v>2834.4</v>
      </c>
      <c r="C69">
        <f t="shared" si="2"/>
        <v>1.0179242877510783</v>
      </c>
      <c r="D69" s="42">
        <v>43525</v>
      </c>
      <c r="E69" s="41">
        <v>89.037499999999994</v>
      </c>
      <c r="F69">
        <f>Table2[[#This Row],[AMZN]]/E68</f>
        <v>1.0859357372410554</v>
      </c>
    </row>
    <row r="70" spans="1:6" x14ac:dyDescent="0.35">
      <c r="A70" s="48">
        <v>43556</v>
      </c>
      <c r="B70" s="44">
        <v>2945.83</v>
      </c>
      <c r="C70">
        <f t="shared" si="2"/>
        <v>1.0393134349421393</v>
      </c>
      <c r="D70" s="42">
        <v>43556</v>
      </c>
      <c r="E70" s="41">
        <v>96.325999999999993</v>
      </c>
      <c r="F70">
        <f>Table2[[#This Row],[AMZN]]/E69</f>
        <v>1.0818587673732978</v>
      </c>
    </row>
    <row r="71" spans="1:6" x14ac:dyDescent="0.35">
      <c r="A71" s="49">
        <v>43586</v>
      </c>
      <c r="B71" s="45">
        <v>2752.06</v>
      </c>
      <c r="C71">
        <f t="shared" si="2"/>
        <v>0.93422227351883846</v>
      </c>
      <c r="D71" s="42">
        <v>43586</v>
      </c>
      <c r="E71" s="41">
        <v>88.753500000000003</v>
      </c>
      <c r="F71">
        <f>Table2[[#This Row],[AMZN]]/E70</f>
        <v>0.9213867491642963</v>
      </c>
    </row>
    <row r="72" spans="1:6" x14ac:dyDescent="0.35">
      <c r="A72" s="48">
        <v>43617</v>
      </c>
      <c r="B72" s="44">
        <v>2941.76</v>
      </c>
      <c r="C72">
        <f t="shared" si="2"/>
        <v>1.068930183208215</v>
      </c>
      <c r="D72" s="42">
        <v>43617</v>
      </c>
      <c r="E72" s="41">
        <v>94.6815</v>
      </c>
      <c r="F72">
        <f>Table2[[#This Row],[AMZN]]/E71</f>
        <v>1.0667917321570417</v>
      </c>
    </row>
    <row r="73" spans="1:6" x14ac:dyDescent="0.35">
      <c r="A73" s="49">
        <v>43647</v>
      </c>
      <c r="B73" s="45">
        <v>2980.38</v>
      </c>
      <c r="C73">
        <f t="shared" si="2"/>
        <v>1.0131281953660394</v>
      </c>
      <c r="D73" s="42">
        <v>43647</v>
      </c>
      <c r="E73" s="41">
        <v>93.338999999999999</v>
      </c>
      <c r="F73">
        <f>Table2[[#This Row],[AMZN]]/E72</f>
        <v>0.98582088369956111</v>
      </c>
    </row>
    <row r="74" spans="1:6" x14ac:dyDescent="0.35">
      <c r="A74" s="48">
        <v>43678</v>
      </c>
      <c r="B74" s="44">
        <v>2926.46</v>
      </c>
      <c r="C74">
        <f t="shared" si="2"/>
        <v>0.98190834725773224</v>
      </c>
      <c r="D74" s="42">
        <v>43678</v>
      </c>
      <c r="E74" s="41">
        <v>88.814499999999995</v>
      </c>
      <c r="F74">
        <f>Table2[[#This Row],[AMZN]]/E73</f>
        <v>0.9515261573404471</v>
      </c>
    </row>
    <row r="75" spans="1:6" x14ac:dyDescent="0.35">
      <c r="A75" s="49">
        <v>43709</v>
      </c>
      <c r="B75" s="45">
        <v>2976.74</v>
      </c>
      <c r="C75">
        <f t="shared" si="2"/>
        <v>1.0171811676906568</v>
      </c>
      <c r="D75" s="42">
        <v>43709</v>
      </c>
      <c r="E75" s="41">
        <v>86.795500000000004</v>
      </c>
      <c r="F75">
        <f>Table2[[#This Row],[AMZN]]/E74</f>
        <v>0.97726722550934819</v>
      </c>
    </row>
    <row r="76" spans="1:6" x14ac:dyDescent="0.35">
      <c r="A76" s="48">
        <v>43739</v>
      </c>
      <c r="B76" s="44">
        <v>3037.56</v>
      </c>
      <c r="C76">
        <f t="shared" si="2"/>
        <v>1.0204317474821449</v>
      </c>
      <c r="D76" s="42">
        <v>43739</v>
      </c>
      <c r="E76" s="41">
        <v>88.832999999999998</v>
      </c>
      <c r="F76">
        <f>Table2[[#This Row],[AMZN]]/E75</f>
        <v>1.023474719311485</v>
      </c>
    </row>
    <row r="77" spans="1:6" x14ac:dyDescent="0.35">
      <c r="A77" s="49">
        <v>43770</v>
      </c>
      <c r="B77" s="45">
        <v>3140.98</v>
      </c>
      <c r="C77">
        <f t="shared" si="2"/>
        <v>1.0340470640909152</v>
      </c>
      <c r="D77" s="42">
        <v>43770</v>
      </c>
      <c r="E77" s="41">
        <v>90.04</v>
      </c>
      <c r="F77">
        <f>Table2[[#This Row],[AMZN]]/E76</f>
        <v>1.0135872930104803</v>
      </c>
    </row>
    <row r="78" spans="1:6" x14ac:dyDescent="0.35">
      <c r="A78" s="48">
        <v>43800</v>
      </c>
      <c r="B78" s="44">
        <v>3230.78</v>
      </c>
      <c r="C78">
        <f t="shared" si="2"/>
        <v>1.0285898031824463</v>
      </c>
      <c r="D78" s="42">
        <v>43800</v>
      </c>
      <c r="E78" s="41">
        <v>92.391999999999996</v>
      </c>
      <c r="F78">
        <f>Table2[[#This Row],[AMZN]]/E77</f>
        <v>1.0261217236783651</v>
      </c>
    </row>
    <row r="79" spans="1:6" x14ac:dyDescent="0.35">
      <c r="A79" s="49">
        <v>43831</v>
      </c>
      <c r="B79" s="45">
        <v>3225.52</v>
      </c>
      <c r="C79">
        <f t="shared" si="2"/>
        <v>0.99837191018887073</v>
      </c>
      <c r="D79" s="42">
        <v>43831</v>
      </c>
      <c r="E79" s="41">
        <v>100.43600000000001</v>
      </c>
      <c r="F79">
        <f>Table2[[#This Row],[AMZN]]/E78</f>
        <v>1.087063815048922</v>
      </c>
    </row>
    <row r="80" spans="1:6" x14ac:dyDescent="0.35">
      <c r="A80" s="48">
        <v>43862</v>
      </c>
      <c r="B80" s="44">
        <v>2954.22</v>
      </c>
      <c r="C80">
        <f t="shared" si="2"/>
        <v>0.91588953099035186</v>
      </c>
      <c r="D80" s="42">
        <v>43862</v>
      </c>
      <c r="E80" s="41">
        <v>94.1875</v>
      </c>
      <c r="F80">
        <f>Table2[[#This Row],[AMZN]]/E79</f>
        <v>0.93778625194153487</v>
      </c>
    </row>
    <row r="81" spans="1:6" x14ac:dyDescent="0.35">
      <c r="A81" s="49">
        <v>43891</v>
      </c>
      <c r="B81" s="45">
        <v>2584.59</v>
      </c>
      <c r="C81">
        <f t="shared" si="2"/>
        <v>0.87488067916404344</v>
      </c>
      <c r="D81" s="42">
        <v>43891</v>
      </c>
      <c r="E81" s="41">
        <v>97.486000000000004</v>
      </c>
      <c r="F81">
        <f>Table2[[#This Row],[AMZN]]/E80</f>
        <v>1.0350205706702058</v>
      </c>
    </row>
    <row r="82" spans="1:6" x14ac:dyDescent="0.35">
      <c r="A82" s="48">
        <v>43922</v>
      </c>
      <c r="B82" s="44">
        <v>2912.43</v>
      </c>
      <c r="C82">
        <f t="shared" si="2"/>
        <v>1.1268441029331537</v>
      </c>
      <c r="D82" s="42">
        <v>43922</v>
      </c>
      <c r="E82" s="41">
        <v>123.7</v>
      </c>
      <c r="F82">
        <f>Table2[[#This Row],[AMZN]]/E81</f>
        <v>1.2689001497650945</v>
      </c>
    </row>
    <row r="83" spans="1:6" x14ac:dyDescent="0.35">
      <c r="A83" s="49">
        <v>43952</v>
      </c>
      <c r="B83" s="45">
        <v>3044.31</v>
      </c>
      <c r="C83">
        <f t="shared" si="2"/>
        <v>1.0452817750126184</v>
      </c>
      <c r="D83" s="42">
        <v>43952</v>
      </c>
      <c r="E83" s="41">
        <v>122.1185</v>
      </c>
      <c r="F83">
        <f>Table2[[#This Row],[AMZN]]/E82</f>
        <v>0.98721503637833463</v>
      </c>
    </row>
    <row r="84" spans="1:6" x14ac:dyDescent="0.35">
      <c r="A84" s="48">
        <v>43983</v>
      </c>
      <c r="B84" s="44">
        <v>3100.29</v>
      </c>
      <c r="C84">
        <f t="shared" si="2"/>
        <v>1.0183884032835027</v>
      </c>
      <c r="D84" s="42">
        <v>43983</v>
      </c>
      <c r="E84" s="41">
        <v>137.941</v>
      </c>
      <c r="F84">
        <f>Table2[[#This Row],[AMZN]]/E83</f>
        <v>1.1295667732571233</v>
      </c>
    </row>
    <row r="85" spans="1:6" x14ac:dyDescent="0.35">
      <c r="A85" s="49">
        <v>44013</v>
      </c>
      <c r="B85" s="45">
        <v>3271.12</v>
      </c>
      <c r="C85">
        <f t="shared" si="2"/>
        <v>1.0551012969754443</v>
      </c>
      <c r="D85" s="42">
        <v>44013</v>
      </c>
      <c r="E85" s="41">
        <v>158.23400000000001</v>
      </c>
      <c r="F85">
        <f>Table2[[#This Row],[AMZN]]/E84</f>
        <v>1.1471136210408799</v>
      </c>
    </row>
    <row r="86" spans="1:6" x14ac:dyDescent="0.35">
      <c r="A86" s="48">
        <v>44044</v>
      </c>
      <c r="B86" s="44">
        <v>3500.31</v>
      </c>
      <c r="C86">
        <f t="shared" si="2"/>
        <v>1.0700646873242192</v>
      </c>
      <c r="D86" s="42">
        <v>44044</v>
      </c>
      <c r="E86" s="41">
        <v>172.548</v>
      </c>
      <c r="F86">
        <f>Table2[[#This Row],[AMZN]]/E85</f>
        <v>1.0904609628777633</v>
      </c>
    </row>
    <row r="87" spans="1:6" x14ac:dyDescent="0.35">
      <c r="A87" s="49">
        <v>44075</v>
      </c>
      <c r="B87" s="45">
        <v>3363</v>
      </c>
      <c r="C87">
        <f t="shared" si="2"/>
        <v>0.9607720459045056</v>
      </c>
      <c r="D87" s="42">
        <v>44075</v>
      </c>
      <c r="E87" s="41">
        <v>157.4365</v>
      </c>
      <c r="F87">
        <f>Table2[[#This Row],[AMZN]]/E86</f>
        <v>0.91242147112687477</v>
      </c>
    </row>
    <row r="88" spans="1:6" x14ac:dyDescent="0.35">
      <c r="A88" s="48">
        <v>44105</v>
      </c>
      <c r="B88" s="44">
        <v>3269.96</v>
      </c>
      <c r="C88">
        <f t="shared" si="2"/>
        <v>0.9723342253939935</v>
      </c>
      <c r="D88" s="42">
        <v>44105</v>
      </c>
      <c r="E88" s="41">
        <v>151.8075</v>
      </c>
      <c r="F88">
        <f>Table2[[#This Row],[AMZN]]/E87</f>
        <v>0.96424590231617202</v>
      </c>
    </row>
    <row r="89" spans="1:6" x14ac:dyDescent="0.35">
      <c r="A89" s="49">
        <v>44136</v>
      </c>
      <c r="B89" s="45">
        <v>3621.63</v>
      </c>
      <c r="C89">
        <f t="shared" si="2"/>
        <v>1.1075456580508631</v>
      </c>
      <c r="D89" s="42">
        <v>44136</v>
      </c>
      <c r="E89" s="41">
        <v>158.40199999999999</v>
      </c>
      <c r="F89">
        <f>Table2[[#This Row],[AMZN]]/E88</f>
        <v>1.043439882746241</v>
      </c>
    </row>
    <row r="90" spans="1:6" x14ac:dyDescent="0.35">
      <c r="A90" s="48">
        <v>44166</v>
      </c>
      <c r="B90" s="44">
        <v>3756.07</v>
      </c>
      <c r="C90">
        <f t="shared" si="2"/>
        <v>1.0371214066594323</v>
      </c>
      <c r="D90" s="42">
        <v>44166</v>
      </c>
      <c r="E90" s="41">
        <v>162.84649999999999</v>
      </c>
      <c r="F90">
        <f>Table2[[#This Row],[AMZN]]/E89</f>
        <v>1.028058357849017</v>
      </c>
    </row>
    <row r="91" spans="1:6" x14ac:dyDescent="0.35">
      <c r="A91" s="49">
        <v>44197</v>
      </c>
      <c r="B91" s="45">
        <v>3714.24</v>
      </c>
      <c r="C91">
        <f t="shared" si="2"/>
        <v>0.98886335984153639</v>
      </c>
      <c r="D91" s="42">
        <v>44197</v>
      </c>
      <c r="E91" s="41">
        <v>160.31</v>
      </c>
      <c r="F91">
        <f>Table2[[#This Row],[AMZN]]/E90</f>
        <v>0.98442398209356674</v>
      </c>
    </row>
    <row r="92" spans="1:6" x14ac:dyDescent="0.35">
      <c r="A92" s="48">
        <v>44228</v>
      </c>
      <c r="B92" s="44">
        <v>3811.15</v>
      </c>
      <c r="C92">
        <f t="shared" si="2"/>
        <v>1.0260914749719998</v>
      </c>
      <c r="D92" s="42">
        <v>44228</v>
      </c>
      <c r="E92" s="41">
        <v>154.6465</v>
      </c>
      <c r="F92">
        <f>Table2[[#This Row],[AMZN]]/E91</f>
        <v>0.96467157382571267</v>
      </c>
    </row>
    <row r="93" spans="1:6" x14ac:dyDescent="0.35">
      <c r="A93" s="49">
        <v>44256</v>
      </c>
      <c r="B93" s="45">
        <v>3972.89</v>
      </c>
      <c r="C93">
        <f t="shared" si="2"/>
        <v>1.0424386340081078</v>
      </c>
      <c r="D93" s="42">
        <v>44256</v>
      </c>
      <c r="E93" s="41">
        <v>154.70400000000001</v>
      </c>
      <c r="F93">
        <f>Table2[[#This Row],[AMZN]]/E92</f>
        <v>1.0003718157216621</v>
      </c>
    </row>
    <row r="94" spans="1:6" x14ac:dyDescent="0.35">
      <c r="A94" s="48">
        <v>44287</v>
      </c>
      <c r="B94" s="44">
        <v>4181.17</v>
      </c>
      <c r="C94">
        <f t="shared" si="2"/>
        <v>1.0524253125558474</v>
      </c>
      <c r="D94" s="42">
        <v>44287</v>
      </c>
      <c r="E94" s="41">
        <v>173.37100000000001</v>
      </c>
      <c r="F94">
        <f>Table2[[#This Row],[AMZN]]/E93</f>
        <v>1.1206626848691694</v>
      </c>
    </row>
    <row r="95" spans="1:6" x14ac:dyDescent="0.35">
      <c r="A95" s="49">
        <v>44317</v>
      </c>
      <c r="B95" s="45">
        <v>4204.1099999999997</v>
      </c>
      <c r="C95">
        <f t="shared" si="2"/>
        <v>1.0054865025818132</v>
      </c>
      <c r="D95" s="42">
        <v>44317</v>
      </c>
      <c r="E95" s="41">
        <v>161.15350000000001</v>
      </c>
      <c r="F95">
        <f>Table2[[#This Row],[AMZN]]/E94</f>
        <v>0.92952973680719386</v>
      </c>
    </row>
    <row r="96" spans="1:6" x14ac:dyDescent="0.35">
      <c r="A96" s="48">
        <v>44348</v>
      </c>
      <c r="B96" s="44">
        <v>4297.5</v>
      </c>
      <c r="C96">
        <f t="shared" si="2"/>
        <v>1.0222139763231695</v>
      </c>
      <c r="D96" s="42">
        <v>44348</v>
      </c>
      <c r="E96" s="41">
        <v>172.00800000000001</v>
      </c>
      <c r="F96">
        <f>Table2[[#This Row],[AMZN]]/E95</f>
        <v>1.0673550372781231</v>
      </c>
    </row>
    <row r="97" spans="1:6" x14ac:dyDescent="0.35">
      <c r="A97" s="49">
        <v>44378</v>
      </c>
      <c r="B97" s="45">
        <v>4395.26</v>
      </c>
      <c r="C97">
        <f t="shared" si="2"/>
        <v>1.0227481093659105</v>
      </c>
      <c r="D97" s="42">
        <v>44378</v>
      </c>
      <c r="E97" s="41">
        <v>166.37950000000001</v>
      </c>
      <c r="F97">
        <f>Table2[[#This Row],[AMZN]]/E96</f>
        <v>0.96727768475884846</v>
      </c>
    </row>
    <row r="98" spans="1:6" x14ac:dyDescent="0.35">
      <c r="A98" s="48">
        <v>44409</v>
      </c>
      <c r="B98" s="44">
        <v>4522.68</v>
      </c>
      <c r="C98">
        <f t="shared" ref="C98:C121" si="3">B98/B97</f>
        <v>1.0289903213916811</v>
      </c>
      <c r="D98" s="42">
        <v>44409</v>
      </c>
      <c r="E98" s="41">
        <v>173.5395</v>
      </c>
      <c r="F98">
        <f>Table2[[#This Row],[AMZN]]/E97</f>
        <v>1.0430341478367227</v>
      </c>
    </row>
    <row r="99" spans="1:6" x14ac:dyDescent="0.35">
      <c r="A99" s="49">
        <v>44440</v>
      </c>
      <c r="B99" s="45">
        <v>4307.54</v>
      </c>
      <c r="C99">
        <f t="shared" si="3"/>
        <v>0.95243085957883367</v>
      </c>
      <c r="D99" s="42">
        <v>44440</v>
      </c>
      <c r="E99" s="41">
        <v>164.25200000000001</v>
      </c>
      <c r="F99">
        <f>Table2[[#This Row],[AMZN]]/E98</f>
        <v>0.94648192486436811</v>
      </c>
    </row>
    <row r="100" spans="1:6" x14ac:dyDescent="0.35">
      <c r="A100" s="48">
        <v>44470</v>
      </c>
      <c r="B100" s="44">
        <v>4605.38</v>
      </c>
      <c r="C100">
        <f t="shared" si="3"/>
        <v>1.0691438733012346</v>
      </c>
      <c r="D100" s="42">
        <v>44470</v>
      </c>
      <c r="E100" s="41">
        <v>168.6215</v>
      </c>
      <c r="F100">
        <f>Table2[[#This Row],[AMZN]]/E99</f>
        <v>1.0266024158001119</v>
      </c>
    </row>
    <row r="101" spans="1:6" x14ac:dyDescent="0.35">
      <c r="A101" s="49">
        <v>44501</v>
      </c>
      <c r="B101" s="45">
        <v>4567</v>
      </c>
      <c r="C101">
        <f t="shared" si="3"/>
        <v>0.99166626858152851</v>
      </c>
      <c r="D101" s="42">
        <v>44501</v>
      </c>
      <c r="E101" s="41">
        <v>175.3535</v>
      </c>
      <c r="F101">
        <f>Table2[[#This Row],[AMZN]]/E100</f>
        <v>1.0399237345178403</v>
      </c>
    </row>
    <row r="102" spans="1:6" x14ac:dyDescent="0.35">
      <c r="A102" s="48">
        <v>44531</v>
      </c>
      <c r="B102" s="44">
        <v>4766.18</v>
      </c>
      <c r="C102">
        <f t="shared" si="3"/>
        <v>1.0436128749726299</v>
      </c>
      <c r="D102" s="42">
        <v>44531</v>
      </c>
      <c r="E102" s="41">
        <v>166.71700000000001</v>
      </c>
      <c r="F102">
        <f>Table2[[#This Row],[AMZN]]/E101</f>
        <v>0.95074806034667125</v>
      </c>
    </row>
    <row r="103" spans="1:6" x14ac:dyDescent="0.35">
      <c r="A103" s="49">
        <v>44562</v>
      </c>
      <c r="B103" s="45">
        <v>4515.55</v>
      </c>
      <c r="C103">
        <f t="shared" si="3"/>
        <v>0.94741491089300023</v>
      </c>
      <c r="D103" s="42">
        <v>44562</v>
      </c>
      <c r="E103" s="41">
        <v>149.5735</v>
      </c>
      <c r="F103">
        <f>Table2[[#This Row],[AMZN]]/E102</f>
        <v>0.89717005464349753</v>
      </c>
    </row>
    <row r="104" spans="1:6" x14ac:dyDescent="0.35">
      <c r="A104" s="48">
        <v>44593</v>
      </c>
      <c r="B104" s="44">
        <v>4373.9399999999996</v>
      </c>
      <c r="C104">
        <f t="shared" si="3"/>
        <v>0.96863947913321735</v>
      </c>
      <c r="D104" s="42">
        <v>44593</v>
      </c>
      <c r="E104" s="41">
        <v>153.56299999999999</v>
      </c>
      <c r="F104">
        <f>Table2[[#This Row],[AMZN]]/E103</f>
        <v>1.0266725054906116</v>
      </c>
    </row>
    <row r="105" spans="1:6" x14ac:dyDescent="0.35">
      <c r="A105" s="49">
        <v>44621</v>
      </c>
      <c r="B105" s="45">
        <v>4530.41</v>
      </c>
      <c r="C105">
        <f t="shared" si="3"/>
        <v>1.0357732387732801</v>
      </c>
      <c r="D105" s="42">
        <v>44621</v>
      </c>
      <c r="E105" s="41">
        <v>162.9975</v>
      </c>
      <c r="F105">
        <f>Table2[[#This Row],[AMZN]]/E104</f>
        <v>1.0614373253973941</v>
      </c>
    </row>
    <row r="106" spans="1:6" x14ac:dyDescent="0.35">
      <c r="A106" s="48">
        <v>44652</v>
      </c>
      <c r="B106" s="44">
        <v>4131.93</v>
      </c>
      <c r="C106">
        <f t="shared" si="3"/>
        <v>0.91204328085096065</v>
      </c>
      <c r="D106" s="42">
        <v>44652</v>
      </c>
      <c r="E106" s="41">
        <v>124.28149999999999</v>
      </c>
      <c r="F106">
        <f>Table2[[#This Row],[AMZN]]/E105</f>
        <v>0.76247488458411938</v>
      </c>
    </row>
    <row r="107" spans="1:6" x14ac:dyDescent="0.35">
      <c r="A107" s="49">
        <v>44682</v>
      </c>
      <c r="B107" s="45">
        <v>4132.1499999999996</v>
      </c>
      <c r="C107">
        <f t="shared" si="3"/>
        <v>1.0000532438836087</v>
      </c>
      <c r="D107" s="42">
        <v>44682</v>
      </c>
      <c r="E107" s="41">
        <v>120.20950000000001</v>
      </c>
      <c r="F107">
        <f>Table2[[#This Row],[AMZN]]/E106</f>
        <v>0.96723567063480897</v>
      </c>
    </row>
    <row r="108" spans="1:6" x14ac:dyDescent="0.35">
      <c r="A108" s="48">
        <v>44713</v>
      </c>
      <c r="B108" s="44">
        <v>3785.38</v>
      </c>
      <c r="C108">
        <f t="shared" si="3"/>
        <v>0.91608000677613355</v>
      </c>
      <c r="D108" s="42">
        <v>44713</v>
      </c>
      <c r="E108" s="41">
        <v>106.21</v>
      </c>
      <c r="F108">
        <f>Table2[[#This Row],[AMZN]]/E107</f>
        <v>0.88354081832134723</v>
      </c>
    </row>
    <row r="109" spans="1:6" x14ac:dyDescent="0.35">
      <c r="A109" s="49">
        <v>44743</v>
      </c>
      <c r="B109" s="45">
        <v>4130.29</v>
      </c>
      <c r="C109">
        <f t="shared" si="3"/>
        <v>1.0911163476322059</v>
      </c>
      <c r="D109" s="42">
        <v>44743</v>
      </c>
      <c r="E109" s="41">
        <v>134.94999999999999</v>
      </c>
      <c r="F109">
        <f>Table2[[#This Row],[AMZN]]/E108</f>
        <v>1.2705959890782412</v>
      </c>
    </row>
    <row r="110" spans="1:6" x14ac:dyDescent="0.35">
      <c r="A110" s="48">
        <v>44774</v>
      </c>
      <c r="B110" s="44">
        <v>3955</v>
      </c>
      <c r="C110">
        <f t="shared" si="3"/>
        <v>0.95755988078318954</v>
      </c>
      <c r="D110" s="42">
        <v>44774</v>
      </c>
      <c r="E110" s="41">
        <v>126.77</v>
      </c>
      <c r="F110">
        <f>Table2[[#This Row],[AMZN]]/E109</f>
        <v>0.93938495739162653</v>
      </c>
    </row>
    <row r="111" spans="1:6" x14ac:dyDescent="0.35">
      <c r="A111" s="49">
        <v>44805</v>
      </c>
      <c r="B111" s="45">
        <v>3585.62</v>
      </c>
      <c r="C111">
        <f t="shared" si="3"/>
        <v>0.90660429835651068</v>
      </c>
      <c r="D111" s="42">
        <v>44805</v>
      </c>
      <c r="E111" s="41">
        <v>113</v>
      </c>
      <c r="F111">
        <f>Table2[[#This Row],[AMZN]]/E110</f>
        <v>0.89137808629802007</v>
      </c>
    </row>
    <row r="112" spans="1:6" x14ac:dyDescent="0.35">
      <c r="A112" s="48">
        <v>44835</v>
      </c>
      <c r="B112" s="44">
        <v>3871.98</v>
      </c>
      <c r="C112">
        <f t="shared" si="3"/>
        <v>1.0798634545768933</v>
      </c>
      <c r="D112" s="42">
        <v>44835</v>
      </c>
      <c r="E112" s="41">
        <v>102.44</v>
      </c>
      <c r="F112">
        <f>Table2[[#This Row],[AMZN]]/E111</f>
        <v>0.90654867256637162</v>
      </c>
    </row>
    <row r="113" spans="1:6" x14ac:dyDescent="0.35">
      <c r="A113" s="49">
        <v>44866</v>
      </c>
      <c r="B113" s="45">
        <v>4080.11</v>
      </c>
      <c r="C113">
        <f t="shared" si="3"/>
        <v>1.0537528602936999</v>
      </c>
      <c r="D113" s="42">
        <v>44866</v>
      </c>
      <c r="E113" s="41">
        <v>96.54</v>
      </c>
      <c r="F113">
        <f>Table2[[#This Row],[AMZN]]/E112</f>
        <v>0.94240531042561504</v>
      </c>
    </row>
    <row r="114" spans="1:6" x14ac:dyDescent="0.35">
      <c r="A114" s="48">
        <v>44896</v>
      </c>
      <c r="B114" s="44">
        <v>3839.5</v>
      </c>
      <c r="C114">
        <f t="shared" si="3"/>
        <v>0.94102855070083891</v>
      </c>
      <c r="D114" s="42">
        <v>44896</v>
      </c>
      <c r="E114" s="41">
        <v>84</v>
      </c>
      <c r="F114">
        <f>Table2[[#This Row],[AMZN]]/E113</f>
        <v>0.8701056556867619</v>
      </c>
    </row>
    <row r="115" spans="1:6" x14ac:dyDescent="0.35">
      <c r="A115" s="49">
        <v>44927</v>
      </c>
      <c r="B115" s="45">
        <v>4076.6</v>
      </c>
      <c r="C115">
        <f t="shared" si="3"/>
        <v>1.061752832400052</v>
      </c>
      <c r="D115" s="42">
        <v>44927</v>
      </c>
      <c r="E115" s="41">
        <v>103.13</v>
      </c>
      <c r="F115">
        <f>Table2[[#This Row],[AMZN]]/E114</f>
        <v>1.2277380952380952</v>
      </c>
    </row>
    <row r="116" spans="1:6" x14ac:dyDescent="0.35">
      <c r="A116" s="48">
        <v>44958</v>
      </c>
      <c r="B116" s="44">
        <v>3970.15</v>
      </c>
      <c r="C116">
        <f t="shared" si="3"/>
        <v>0.9738875533532847</v>
      </c>
      <c r="D116" s="42">
        <v>44958</v>
      </c>
      <c r="E116" s="41">
        <v>94.23</v>
      </c>
      <c r="F116">
        <f>Table2[[#This Row],[AMZN]]/E115</f>
        <v>0.91370115388344819</v>
      </c>
    </row>
    <row r="117" spans="1:6" x14ac:dyDescent="0.35">
      <c r="A117" s="49">
        <v>44986</v>
      </c>
      <c r="B117" s="45">
        <v>4109.3100000000004</v>
      </c>
      <c r="C117">
        <f t="shared" si="3"/>
        <v>1.035051572358727</v>
      </c>
      <c r="D117" s="42">
        <v>44986</v>
      </c>
      <c r="E117" s="41">
        <v>103.29</v>
      </c>
      <c r="F117">
        <f>Table2[[#This Row],[AMZN]]/E116</f>
        <v>1.0961477236548871</v>
      </c>
    </row>
    <row r="118" spans="1:6" x14ac:dyDescent="0.35">
      <c r="A118" s="48">
        <v>45017</v>
      </c>
      <c r="B118" s="44">
        <v>4169.4799999999996</v>
      </c>
      <c r="C118">
        <f t="shared" si="3"/>
        <v>1.0146423608829704</v>
      </c>
      <c r="D118" s="42">
        <v>45017</v>
      </c>
      <c r="E118" s="41">
        <v>105.45</v>
      </c>
      <c r="F118">
        <f>Table2[[#This Row],[AMZN]]/E117</f>
        <v>1.0209119953528898</v>
      </c>
    </row>
    <row r="119" spans="1:6" x14ac:dyDescent="0.35">
      <c r="A119" s="49">
        <v>45047</v>
      </c>
      <c r="B119" s="45">
        <v>4179.83</v>
      </c>
      <c r="C119">
        <f t="shared" si="3"/>
        <v>1.0024823239348792</v>
      </c>
      <c r="D119" s="42">
        <v>45047</v>
      </c>
      <c r="E119" s="41">
        <v>120.58</v>
      </c>
      <c r="F119">
        <f>Table2[[#This Row],[AMZN]]/E118</f>
        <v>1.1434803224276908</v>
      </c>
    </row>
    <row r="120" spans="1:6" x14ac:dyDescent="0.35">
      <c r="A120" s="48">
        <v>45078</v>
      </c>
      <c r="B120" s="44">
        <v>4450.38</v>
      </c>
      <c r="C120">
        <f t="shared" si="3"/>
        <v>1.0647275128414313</v>
      </c>
      <c r="D120" s="42">
        <v>45078</v>
      </c>
      <c r="E120" s="41">
        <v>130.36000000000001</v>
      </c>
      <c r="F120">
        <f>Table2[[#This Row],[AMZN]]/E119</f>
        <v>1.0811079781058219</v>
      </c>
    </row>
    <row r="121" spans="1:6" x14ac:dyDescent="0.35">
      <c r="A121" s="49">
        <v>45108</v>
      </c>
      <c r="B121" s="45">
        <v>4398.95</v>
      </c>
      <c r="C121">
        <f t="shared" si="3"/>
        <v>0.98844368346073808</v>
      </c>
      <c r="D121" s="42">
        <v>45108</v>
      </c>
      <c r="E121" s="41">
        <v>129.78</v>
      </c>
      <c r="F121">
        <f>Table2[[#This Row],[AMZN]]/E120</f>
        <v>0.99555078244860373</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A4A79-52FE-44FF-966E-6BCA21683D36}">
  <dimension ref="A1:I18"/>
  <sheetViews>
    <sheetView workbookViewId="0">
      <selection activeCell="K12" sqref="K12"/>
    </sheetView>
  </sheetViews>
  <sheetFormatPr defaultRowHeight="14.5" x14ac:dyDescent="0.35"/>
  <cols>
    <col min="1" max="1" width="27.54296875" customWidth="1"/>
  </cols>
  <sheetData>
    <row r="1" spans="1:9" x14ac:dyDescent="0.35">
      <c r="A1" s="41" t="s">
        <v>164</v>
      </c>
      <c r="B1" s="41"/>
      <c r="C1" s="41"/>
      <c r="D1" s="41"/>
      <c r="E1" s="41"/>
      <c r="F1" s="41"/>
      <c r="G1" s="41"/>
      <c r="H1" s="41"/>
      <c r="I1" s="41"/>
    </row>
    <row r="2" spans="1:9" x14ac:dyDescent="0.35">
      <c r="A2" s="41"/>
      <c r="B2" s="41"/>
      <c r="C2" s="41"/>
      <c r="D2" s="41"/>
      <c r="E2" s="41"/>
      <c r="F2" s="41"/>
      <c r="G2" s="41"/>
      <c r="H2" s="41"/>
      <c r="I2" s="41"/>
    </row>
    <row r="3" spans="1:9" x14ac:dyDescent="0.35">
      <c r="A3" s="50" t="s">
        <v>165</v>
      </c>
      <c r="B3" s="51"/>
      <c r="C3" s="41"/>
      <c r="D3" s="41"/>
      <c r="E3" s="41"/>
      <c r="F3" s="41"/>
      <c r="G3" s="41"/>
      <c r="H3" s="41"/>
      <c r="I3" s="41"/>
    </row>
    <row r="4" spans="1:9" x14ac:dyDescent="0.35">
      <c r="A4" s="41" t="s">
        <v>166</v>
      </c>
      <c r="B4" s="41">
        <v>0.62123099999999998</v>
      </c>
      <c r="C4" s="41"/>
      <c r="D4" s="41"/>
      <c r="E4" s="41"/>
      <c r="F4" s="41"/>
      <c r="G4" s="41"/>
      <c r="H4" s="41"/>
      <c r="I4" s="41"/>
    </row>
    <row r="5" spans="1:9" x14ac:dyDescent="0.35">
      <c r="A5" s="41" t="s">
        <v>167</v>
      </c>
      <c r="B5" s="41">
        <v>0.38592700000000002</v>
      </c>
      <c r="C5" s="41"/>
      <c r="D5" s="41"/>
      <c r="E5" s="41"/>
      <c r="F5" s="41"/>
      <c r="G5" s="41"/>
      <c r="H5" s="41"/>
      <c r="I5" s="41"/>
    </row>
    <row r="6" spans="1:9" x14ac:dyDescent="0.35">
      <c r="A6" s="41" t="s">
        <v>168</v>
      </c>
      <c r="B6" s="41">
        <v>0.38067899999999999</v>
      </c>
      <c r="C6" s="41"/>
      <c r="D6" s="41"/>
      <c r="E6" s="41"/>
      <c r="F6" s="41"/>
      <c r="G6" s="41"/>
      <c r="H6" s="41"/>
      <c r="I6" s="41"/>
    </row>
    <row r="7" spans="1:9" x14ac:dyDescent="0.35">
      <c r="A7" s="41" t="s">
        <v>169</v>
      </c>
      <c r="B7" s="41">
        <v>3.3804000000000001E-2</v>
      </c>
      <c r="C7" s="41"/>
      <c r="D7" s="41"/>
      <c r="E7" s="41"/>
      <c r="F7" s="41"/>
      <c r="G7" s="41"/>
      <c r="H7" s="41"/>
      <c r="I7" s="41"/>
    </row>
    <row r="8" spans="1:9" x14ac:dyDescent="0.35">
      <c r="A8" s="52" t="s">
        <v>170</v>
      </c>
      <c r="B8" s="52">
        <v>119</v>
      </c>
      <c r="C8" s="41"/>
      <c r="D8" s="41"/>
      <c r="E8" s="41"/>
      <c r="F8" s="41"/>
      <c r="G8" s="41"/>
      <c r="H8" s="41"/>
      <c r="I8" s="41"/>
    </row>
    <row r="9" spans="1:9" x14ac:dyDescent="0.35">
      <c r="A9" s="41"/>
      <c r="B9" s="41"/>
      <c r="C9" s="41"/>
      <c r="D9" s="41"/>
      <c r="E9" s="41"/>
      <c r="F9" s="41"/>
      <c r="G9" s="41"/>
      <c r="H9" s="41"/>
      <c r="I9" s="41"/>
    </row>
    <row r="10" spans="1:9" x14ac:dyDescent="0.35">
      <c r="A10" s="41" t="s">
        <v>171</v>
      </c>
      <c r="B10" s="41"/>
      <c r="C10" s="41"/>
      <c r="D10" s="41"/>
      <c r="E10" s="41"/>
      <c r="F10" s="41"/>
      <c r="G10" s="41"/>
      <c r="H10" s="41"/>
      <c r="I10" s="41"/>
    </row>
    <row r="11" spans="1:9" x14ac:dyDescent="0.35">
      <c r="A11" s="50" t="s">
        <v>6</v>
      </c>
      <c r="B11" s="50" t="s">
        <v>172</v>
      </c>
      <c r="C11" s="50" t="s">
        <v>173</v>
      </c>
      <c r="D11" s="50" t="s">
        <v>174</v>
      </c>
      <c r="E11" s="50" t="s">
        <v>175</v>
      </c>
      <c r="F11" s="50" t="s">
        <v>176</v>
      </c>
      <c r="G11" s="41"/>
      <c r="H11" s="41"/>
      <c r="I11" s="41"/>
    </row>
    <row r="12" spans="1:9" x14ac:dyDescent="0.35">
      <c r="A12" s="41" t="s">
        <v>177</v>
      </c>
      <c r="B12" s="41">
        <v>1</v>
      </c>
      <c r="C12" s="41">
        <v>8.4026000000000003E-2</v>
      </c>
      <c r="D12" s="41">
        <v>8.4026000000000003E-2</v>
      </c>
      <c r="E12" s="41">
        <v>73.531229999999994</v>
      </c>
      <c r="F12" s="43">
        <v>4.7700000000000001E-14</v>
      </c>
      <c r="G12" s="41"/>
      <c r="H12" s="41"/>
      <c r="I12" s="41"/>
    </row>
    <row r="13" spans="1:9" x14ac:dyDescent="0.35">
      <c r="A13" s="41" t="s">
        <v>178</v>
      </c>
      <c r="B13" s="41">
        <v>117</v>
      </c>
      <c r="C13" s="41">
        <v>0.13369900000000001</v>
      </c>
      <c r="D13" s="41">
        <v>1.1429999999999999E-3</v>
      </c>
      <c r="E13" s="41"/>
      <c r="F13" s="41"/>
      <c r="G13" s="41"/>
      <c r="H13" s="41"/>
      <c r="I13" s="41"/>
    </row>
    <row r="14" spans="1:9" x14ac:dyDescent="0.35">
      <c r="A14" s="52" t="s">
        <v>179</v>
      </c>
      <c r="B14" s="52">
        <v>118</v>
      </c>
      <c r="C14" s="52">
        <v>0.217725</v>
      </c>
      <c r="D14" s="52" t="s">
        <v>6</v>
      </c>
      <c r="E14" s="52" t="s">
        <v>6</v>
      </c>
      <c r="F14" s="52" t="s">
        <v>6</v>
      </c>
      <c r="G14" s="41"/>
      <c r="H14" s="41"/>
      <c r="I14" s="41"/>
    </row>
    <row r="15" spans="1:9" x14ac:dyDescent="0.35">
      <c r="A15" s="41"/>
      <c r="B15" s="41"/>
      <c r="C15" s="41"/>
      <c r="D15" s="41"/>
      <c r="E15" s="41"/>
      <c r="F15" s="41"/>
      <c r="G15" s="41"/>
      <c r="H15" s="41"/>
      <c r="I15" s="41"/>
    </row>
    <row r="16" spans="1:9" x14ac:dyDescent="0.35">
      <c r="A16" s="50" t="s">
        <v>6</v>
      </c>
      <c r="B16" s="50" t="s">
        <v>180</v>
      </c>
      <c r="C16" s="50" t="s">
        <v>169</v>
      </c>
      <c r="D16" s="50" t="s">
        <v>181</v>
      </c>
      <c r="E16" s="50" t="s">
        <v>182</v>
      </c>
      <c r="F16" s="50" t="s">
        <v>183</v>
      </c>
      <c r="G16" s="50" t="s">
        <v>184</v>
      </c>
      <c r="H16" s="50" t="s">
        <v>185</v>
      </c>
      <c r="I16" s="50" t="s">
        <v>186</v>
      </c>
    </row>
    <row r="17" spans="1:9" x14ac:dyDescent="0.35">
      <c r="A17" s="41" t="s">
        <v>187</v>
      </c>
      <c r="B17" s="41">
        <v>0.71147899999999997</v>
      </c>
      <c r="C17" s="41">
        <v>3.4867000000000002E-2</v>
      </c>
      <c r="D17" s="41">
        <v>20.40549</v>
      </c>
      <c r="E17" s="43">
        <v>2.3800000000000001E-40</v>
      </c>
      <c r="F17" s="41">
        <v>0.64242699999999997</v>
      </c>
      <c r="G17" s="41">
        <v>0.780532</v>
      </c>
      <c r="H17" s="41">
        <v>0.64242699999999997</v>
      </c>
      <c r="I17" s="41">
        <v>0.780532</v>
      </c>
    </row>
    <row r="18" spans="1:9" x14ac:dyDescent="0.35">
      <c r="A18" s="52" t="s">
        <v>188</v>
      </c>
      <c r="B18" s="52">
        <v>0.291132</v>
      </c>
      <c r="C18" s="52">
        <v>3.3951000000000002E-2</v>
      </c>
      <c r="D18" s="52">
        <v>8.5750349999999997</v>
      </c>
      <c r="E18" s="53">
        <v>4.7700000000000001E-14</v>
      </c>
      <c r="F18" s="52">
        <v>0.22389400000000001</v>
      </c>
      <c r="G18" s="52">
        <v>0.358371</v>
      </c>
      <c r="H18" s="52">
        <v>0.22389400000000001</v>
      </c>
      <c r="I18" s="52">
        <v>0.358371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workbookViewId="0">
      <selection activeCell="B2" sqref="B2"/>
    </sheetView>
  </sheetViews>
  <sheetFormatPr defaultRowHeight="14.5" x14ac:dyDescent="0.35"/>
  <cols>
    <col min="1" max="1" width="44" customWidth="1"/>
    <col min="2" max="2" width="80" customWidth="1"/>
    <col min="3" max="3" width="14" customWidth="1"/>
    <col min="4" max="4" width="17" customWidth="1"/>
  </cols>
  <sheetData>
    <row r="1" spans="1:4" x14ac:dyDescent="0.35">
      <c r="A1" s="110" t="s">
        <v>0</v>
      </c>
      <c r="B1" s="2" t="s">
        <v>1</v>
      </c>
    </row>
    <row r="2" spans="1:4" x14ac:dyDescent="0.35">
      <c r="A2" s="111"/>
      <c r="B2" s="2" t="s">
        <v>2</v>
      </c>
      <c r="C2" s="2" t="s">
        <v>3</v>
      </c>
      <c r="D2" s="2" t="s">
        <v>4</v>
      </c>
    </row>
    <row r="3" spans="1:4" x14ac:dyDescent="0.35">
      <c r="A3" s="3" t="s">
        <v>5</v>
      </c>
      <c r="B3" s="4" t="s">
        <v>6</v>
      </c>
      <c r="C3" s="4" t="s">
        <v>6</v>
      </c>
      <c r="D3" s="4" t="s">
        <v>6</v>
      </c>
    </row>
    <row r="4" spans="1:4" x14ac:dyDescent="0.35">
      <c r="A4" s="4" t="s">
        <v>7</v>
      </c>
      <c r="B4" s="4" t="s">
        <v>8</v>
      </c>
      <c r="C4" s="4" t="s">
        <v>6</v>
      </c>
      <c r="D4" s="4" t="s">
        <v>6</v>
      </c>
    </row>
    <row r="5" spans="1:4" x14ac:dyDescent="0.35">
      <c r="A5" s="4" t="s">
        <v>9</v>
      </c>
      <c r="B5" s="4" t="s">
        <v>10</v>
      </c>
      <c r="C5" s="4" t="s">
        <v>6</v>
      </c>
      <c r="D5" s="4" t="s">
        <v>6</v>
      </c>
    </row>
    <row r="6" spans="1:4" x14ac:dyDescent="0.35">
      <c r="A6" s="4" t="s">
        <v>11</v>
      </c>
      <c r="B6" s="4" t="s">
        <v>12</v>
      </c>
      <c r="C6" s="4" t="s">
        <v>6</v>
      </c>
      <c r="D6" s="4" t="s">
        <v>6</v>
      </c>
    </row>
    <row r="7" spans="1:4" x14ac:dyDescent="0.35">
      <c r="A7" s="4" t="s">
        <v>13</v>
      </c>
      <c r="B7" s="4" t="s">
        <v>14</v>
      </c>
      <c r="C7" s="4" t="s">
        <v>6</v>
      </c>
      <c r="D7" s="4" t="s">
        <v>6</v>
      </c>
    </row>
    <row r="8" spans="1:4" x14ac:dyDescent="0.35">
      <c r="A8" s="4" t="s">
        <v>15</v>
      </c>
      <c r="B8" s="4" t="s">
        <v>16</v>
      </c>
      <c r="C8" s="4" t="s">
        <v>6</v>
      </c>
      <c r="D8" s="4" t="s">
        <v>6</v>
      </c>
    </row>
    <row r="9" spans="1:4" x14ac:dyDescent="0.35">
      <c r="A9" s="4" t="s">
        <v>17</v>
      </c>
      <c r="B9" s="4" t="s">
        <v>18</v>
      </c>
      <c r="C9" s="4" t="s">
        <v>6</v>
      </c>
      <c r="D9" s="4" t="s">
        <v>6</v>
      </c>
    </row>
    <row r="10" spans="1:4" x14ac:dyDescent="0.35">
      <c r="A10" s="4" t="s">
        <v>19</v>
      </c>
      <c r="B10" s="4" t="s">
        <v>20</v>
      </c>
      <c r="C10" s="4" t="s">
        <v>6</v>
      </c>
      <c r="D10" s="4" t="s">
        <v>6</v>
      </c>
    </row>
    <row r="11" spans="1:4" x14ac:dyDescent="0.35">
      <c r="A11" s="4" t="s">
        <v>21</v>
      </c>
      <c r="B11" s="4" t="s">
        <v>22</v>
      </c>
      <c r="C11" s="4" t="s">
        <v>6</v>
      </c>
      <c r="D11" s="4" t="s">
        <v>6</v>
      </c>
    </row>
    <row r="12" spans="1:4" x14ac:dyDescent="0.35">
      <c r="A12" s="4" t="s">
        <v>23</v>
      </c>
      <c r="B12" s="4" t="s">
        <v>24</v>
      </c>
      <c r="C12" s="4" t="s">
        <v>6</v>
      </c>
      <c r="D12" s="4" t="s">
        <v>6</v>
      </c>
    </row>
    <row r="13" spans="1:4" x14ac:dyDescent="0.35">
      <c r="A13" s="4" t="s">
        <v>25</v>
      </c>
      <c r="B13" s="4" t="s">
        <v>26</v>
      </c>
      <c r="C13" s="4" t="s">
        <v>6</v>
      </c>
      <c r="D13" s="4" t="s">
        <v>6</v>
      </c>
    </row>
    <row r="14" spans="1:4" x14ac:dyDescent="0.35">
      <c r="A14" s="4" t="s">
        <v>27</v>
      </c>
      <c r="B14" s="4" t="s">
        <v>28</v>
      </c>
      <c r="C14" s="4" t="s">
        <v>6</v>
      </c>
      <c r="D14" s="4" t="s">
        <v>6</v>
      </c>
    </row>
    <row r="15" spans="1:4" x14ac:dyDescent="0.35">
      <c r="A15" s="4" t="s">
        <v>29</v>
      </c>
      <c r="B15" s="4" t="s">
        <v>30</v>
      </c>
      <c r="C15" s="4" t="s">
        <v>6</v>
      </c>
      <c r="D15" s="4" t="s">
        <v>6</v>
      </c>
    </row>
    <row r="16" spans="1:4" x14ac:dyDescent="0.35">
      <c r="A16" s="4" t="s">
        <v>31</v>
      </c>
      <c r="B16" s="4" t="s">
        <v>32</v>
      </c>
      <c r="C16" s="4" t="s">
        <v>6</v>
      </c>
      <c r="D16" s="4" t="s">
        <v>6</v>
      </c>
    </row>
    <row r="17" spans="1:4" x14ac:dyDescent="0.35">
      <c r="A17" s="4" t="s">
        <v>33</v>
      </c>
      <c r="B17" s="4" t="s">
        <v>34</v>
      </c>
      <c r="C17" s="4" t="s">
        <v>6</v>
      </c>
      <c r="D17" s="4" t="s">
        <v>6</v>
      </c>
    </row>
    <row r="18" spans="1:4" x14ac:dyDescent="0.35">
      <c r="A18" s="4" t="s">
        <v>35</v>
      </c>
      <c r="B18" s="4" t="s">
        <v>36</v>
      </c>
      <c r="C18" s="4" t="s">
        <v>6</v>
      </c>
      <c r="D18" s="4" t="s">
        <v>6</v>
      </c>
    </row>
    <row r="19" spans="1:4" x14ac:dyDescent="0.35">
      <c r="A19" s="4" t="s">
        <v>37</v>
      </c>
      <c r="B19" s="4" t="s">
        <v>38</v>
      </c>
      <c r="C19" s="4" t="s">
        <v>6</v>
      </c>
      <c r="D19" s="4" t="s">
        <v>6</v>
      </c>
    </row>
    <row r="20" spans="1:4" x14ac:dyDescent="0.35">
      <c r="A20" s="4" t="s">
        <v>39</v>
      </c>
      <c r="B20" s="4" t="s">
        <v>40</v>
      </c>
      <c r="C20" s="4" t="s">
        <v>6</v>
      </c>
      <c r="D20" s="4" t="s">
        <v>6</v>
      </c>
    </row>
    <row r="21" spans="1:4" x14ac:dyDescent="0.35">
      <c r="A21" s="4" t="s">
        <v>41</v>
      </c>
      <c r="B21" s="4" t="s">
        <v>42</v>
      </c>
      <c r="C21" s="4" t="s">
        <v>6</v>
      </c>
      <c r="D21" s="4" t="s">
        <v>6</v>
      </c>
    </row>
    <row r="22" spans="1:4" x14ac:dyDescent="0.35">
      <c r="A22" s="4" t="s">
        <v>43</v>
      </c>
      <c r="B22" s="4" t="s">
        <v>44</v>
      </c>
      <c r="C22" s="4" t="s">
        <v>6</v>
      </c>
      <c r="D22" s="4" t="s">
        <v>6</v>
      </c>
    </row>
    <row r="23" spans="1:4" x14ac:dyDescent="0.35">
      <c r="A23" s="4" t="s">
        <v>45</v>
      </c>
      <c r="B23" s="4" t="s">
        <v>46</v>
      </c>
      <c r="C23" s="4" t="s">
        <v>6</v>
      </c>
      <c r="D23" s="4" t="s">
        <v>6</v>
      </c>
    </row>
    <row r="24" spans="1:4" x14ac:dyDescent="0.35">
      <c r="A24" s="4" t="s">
        <v>47</v>
      </c>
      <c r="B24" s="4" t="s">
        <v>44</v>
      </c>
      <c r="C24" s="4" t="s">
        <v>6</v>
      </c>
      <c r="D24" s="4" t="s">
        <v>6</v>
      </c>
    </row>
    <row r="25" spans="1:4" x14ac:dyDescent="0.35">
      <c r="A25" s="4" t="s">
        <v>48</v>
      </c>
      <c r="B25" s="4" t="s">
        <v>44</v>
      </c>
      <c r="C25" s="4" t="s">
        <v>6</v>
      </c>
      <c r="D25" s="4" t="s">
        <v>6</v>
      </c>
    </row>
    <row r="26" spans="1:4" x14ac:dyDescent="0.35">
      <c r="A26" s="4" t="s">
        <v>49</v>
      </c>
      <c r="B26" s="4" t="s">
        <v>50</v>
      </c>
      <c r="C26" s="4" t="s">
        <v>6</v>
      </c>
      <c r="D26" s="4" t="s">
        <v>6</v>
      </c>
    </row>
    <row r="27" spans="1:4" x14ac:dyDescent="0.35">
      <c r="A27" s="4" t="s">
        <v>51</v>
      </c>
      <c r="B27" s="4" t="s">
        <v>16</v>
      </c>
      <c r="C27" s="4" t="s">
        <v>6</v>
      </c>
      <c r="D27" s="4" t="s">
        <v>6</v>
      </c>
    </row>
    <row r="28" spans="1:4" x14ac:dyDescent="0.35">
      <c r="A28" s="4" t="s">
        <v>52</v>
      </c>
      <c r="B28" s="4" t="s">
        <v>16</v>
      </c>
      <c r="C28" s="4" t="s">
        <v>6</v>
      </c>
      <c r="D28" s="4" t="s">
        <v>6</v>
      </c>
    </row>
    <row r="29" spans="1:4" x14ac:dyDescent="0.35">
      <c r="A29" s="4" t="s">
        <v>53</v>
      </c>
      <c r="B29" s="4" t="s">
        <v>10</v>
      </c>
      <c r="C29" s="4" t="s">
        <v>6</v>
      </c>
      <c r="D29" s="4" t="s">
        <v>6</v>
      </c>
    </row>
    <row r="30" spans="1:4" x14ac:dyDescent="0.35">
      <c r="A30" s="4" t="s">
        <v>54</v>
      </c>
      <c r="B30" s="4" t="s">
        <v>16</v>
      </c>
      <c r="C30" s="4" t="s">
        <v>6</v>
      </c>
      <c r="D30" s="4" t="s">
        <v>6</v>
      </c>
    </row>
    <row r="31" spans="1:4" x14ac:dyDescent="0.35">
      <c r="A31" s="4" t="s">
        <v>55</v>
      </c>
      <c r="B31" s="4" t="s">
        <v>6</v>
      </c>
      <c r="C31" s="4" t="s">
        <v>6</v>
      </c>
      <c r="D31" s="5">
        <v>944744113598</v>
      </c>
    </row>
    <row r="32" spans="1:4" x14ac:dyDescent="0.35">
      <c r="A32" s="4" t="s">
        <v>56</v>
      </c>
      <c r="B32" s="4" t="s">
        <v>6</v>
      </c>
      <c r="C32" s="6">
        <v>10247259757</v>
      </c>
      <c r="D32" s="4" t="s">
        <v>6</v>
      </c>
    </row>
    <row r="33" spans="1:4" ht="72.5" x14ac:dyDescent="0.35">
      <c r="A33" s="4" t="s">
        <v>57</v>
      </c>
      <c r="B33" s="4" t="s">
        <v>58</v>
      </c>
      <c r="C33" s="4" t="s">
        <v>6</v>
      </c>
      <c r="D33" s="4" t="s">
        <v>6</v>
      </c>
    </row>
    <row r="34" spans="1:4" x14ac:dyDescent="0.35">
      <c r="A34" s="4" t="s">
        <v>59</v>
      </c>
      <c r="B34" s="4" t="s">
        <v>16</v>
      </c>
      <c r="C34" s="4" t="s">
        <v>6</v>
      </c>
      <c r="D34" s="4" t="s">
        <v>6</v>
      </c>
    </row>
    <row r="35" spans="1:4" x14ac:dyDescent="0.35">
      <c r="A35" s="4" t="s">
        <v>60</v>
      </c>
      <c r="B35" s="4" t="s">
        <v>61</v>
      </c>
      <c r="C35" s="4" t="s">
        <v>6</v>
      </c>
      <c r="D35" s="4" t="s">
        <v>6</v>
      </c>
    </row>
    <row r="36" spans="1:4" x14ac:dyDescent="0.35">
      <c r="A36" s="4" t="s">
        <v>62</v>
      </c>
      <c r="B36" s="4" t="s">
        <v>63</v>
      </c>
      <c r="C36" s="4" t="s">
        <v>6</v>
      </c>
      <c r="D36" s="4" t="s">
        <v>6</v>
      </c>
    </row>
    <row r="37" spans="1:4" x14ac:dyDescent="0.35">
      <c r="A37" s="4" t="s">
        <v>64</v>
      </c>
      <c r="B37" s="4" t="s">
        <v>65</v>
      </c>
      <c r="C37" s="4" t="s">
        <v>6</v>
      </c>
      <c r="D37" s="4" t="s">
        <v>6</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9"/>
  <sheetViews>
    <sheetView zoomScale="130" zoomScaleNormal="130" workbookViewId="0">
      <selection activeCell="B14" sqref="B14"/>
    </sheetView>
  </sheetViews>
  <sheetFormatPr defaultRowHeight="14.5" x14ac:dyDescent="0.35"/>
  <cols>
    <col min="1" max="1" width="80" customWidth="1"/>
    <col min="2" max="2" width="16" customWidth="1"/>
    <col min="3" max="4" width="14" customWidth="1"/>
    <col min="5" max="6" width="14.26953125" customWidth="1"/>
  </cols>
  <sheetData>
    <row r="1" spans="1:6" x14ac:dyDescent="0.35">
      <c r="A1" s="110" t="s">
        <v>189</v>
      </c>
      <c r="B1" s="112" t="s">
        <v>1</v>
      </c>
      <c r="C1" s="112"/>
      <c r="D1" s="112"/>
      <c r="E1" s="112"/>
      <c r="F1" s="112"/>
    </row>
    <row r="2" spans="1:6" x14ac:dyDescent="0.35">
      <c r="A2" s="111"/>
      <c r="B2" s="2" t="s">
        <v>2</v>
      </c>
      <c r="C2" s="2" t="s">
        <v>71</v>
      </c>
      <c r="D2" s="2" t="s">
        <v>70</v>
      </c>
      <c r="E2" s="2" t="s">
        <v>69</v>
      </c>
      <c r="F2" s="2" t="s">
        <v>68</v>
      </c>
    </row>
    <row r="3" spans="1:6" x14ac:dyDescent="0.35">
      <c r="A3" s="11" t="s">
        <v>190</v>
      </c>
      <c r="B3" s="12">
        <v>513983</v>
      </c>
      <c r="C3" s="12">
        <v>469822</v>
      </c>
      <c r="D3" s="12">
        <v>386064</v>
      </c>
      <c r="E3" s="12">
        <v>280522</v>
      </c>
      <c r="F3" s="12">
        <v>232887</v>
      </c>
    </row>
    <row r="4" spans="1:6" x14ac:dyDescent="0.35">
      <c r="A4" s="11" t="s">
        <v>73</v>
      </c>
      <c r="B4" s="13">
        <v>288831</v>
      </c>
      <c r="C4" s="13">
        <v>272344</v>
      </c>
      <c r="D4" s="13">
        <v>233307</v>
      </c>
      <c r="E4" s="13">
        <v>165536</v>
      </c>
      <c r="F4" s="13">
        <v>139156</v>
      </c>
    </row>
    <row r="5" spans="1:6" x14ac:dyDescent="0.35">
      <c r="A5" s="3" t="s">
        <v>191</v>
      </c>
      <c r="B5" s="4" t="s">
        <v>6</v>
      </c>
      <c r="C5" s="4" t="s">
        <v>6</v>
      </c>
      <c r="D5" s="4" t="s">
        <v>6</v>
      </c>
    </row>
    <row r="6" spans="1:6" x14ac:dyDescent="0.35">
      <c r="A6" s="4" t="s">
        <v>84</v>
      </c>
      <c r="B6" s="6">
        <v>84299</v>
      </c>
      <c r="C6" s="6">
        <v>75111</v>
      </c>
      <c r="D6" s="6">
        <v>58517</v>
      </c>
      <c r="E6" s="6">
        <v>40232</v>
      </c>
      <c r="F6" s="6">
        <v>34027</v>
      </c>
    </row>
    <row r="7" spans="1:6" x14ac:dyDescent="0.35">
      <c r="A7" s="4" t="s">
        <v>85</v>
      </c>
      <c r="B7" s="6">
        <v>73213</v>
      </c>
      <c r="C7" s="6">
        <v>56052</v>
      </c>
      <c r="D7" s="6">
        <v>42740</v>
      </c>
      <c r="E7" s="6">
        <v>35931</v>
      </c>
      <c r="F7" s="6">
        <v>28837</v>
      </c>
    </row>
    <row r="8" spans="1:6" x14ac:dyDescent="0.35">
      <c r="A8" s="4" t="s">
        <v>86</v>
      </c>
      <c r="B8" s="6">
        <v>42238</v>
      </c>
      <c r="C8" s="6">
        <v>32551</v>
      </c>
      <c r="D8" s="6">
        <v>22008</v>
      </c>
      <c r="E8" s="6">
        <v>18878</v>
      </c>
      <c r="F8" s="6">
        <v>13814</v>
      </c>
    </row>
    <row r="9" spans="1:6" x14ac:dyDescent="0.35">
      <c r="A9" s="4" t="s">
        <v>87</v>
      </c>
      <c r="B9" s="6">
        <v>11891</v>
      </c>
      <c r="C9" s="6">
        <v>8823</v>
      </c>
      <c r="D9" s="6">
        <v>6668</v>
      </c>
      <c r="E9" s="6">
        <v>5203</v>
      </c>
      <c r="F9" s="6">
        <v>4336</v>
      </c>
    </row>
    <row r="10" spans="1:6" x14ac:dyDescent="0.35">
      <c r="A10" s="4" t="s">
        <v>88</v>
      </c>
      <c r="B10" s="6">
        <v>1263</v>
      </c>
      <c r="C10" s="6">
        <v>62</v>
      </c>
      <c r="D10" s="6">
        <v>-75</v>
      </c>
      <c r="E10" s="6">
        <v>201</v>
      </c>
      <c r="F10" s="6">
        <v>296</v>
      </c>
    </row>
    <row r="11" spans="1:6" x14ac:dyDescent="0.35">
      <c r="A11" s="11" t="s">
        <v>74</v>
      </c>
      <c r="B11" s="13">
        <v>501735</v>
      </c>
      <c r="C11" s="13">
        <v>444943</v>
      </c>
      <c r="D11" s="13">
        <v>363165</v>
      </c>
      <c r="E11" s="13">
        <v>265981</v>
      </c>
      <c r="F11" s="13">
        <v>220466</v>
      </c>
    </row>
    <row r="12" spans="1:6" x14ac:dyDescent="0.35">
      <c r="A12" s="11" t="s">
        <v>75</v>
      </c>
      <c r="B12" s="13">
        <v>12248</v>
      </c>
      <c r="C12" s="13">
        <v>24879</v>
      </c>
      <c r="D12" s="13">
        <v>22899</v>
      </c>
      <c r="E12" s="13">
        <v>14541</v>
      </c>
      <c r="F12" s="13">
        <v>12421</v>
      </c>
    </row>
    <row r="13" spans="1:6" x14ac:dyDescent="0.35">
      <c r="A13" s="4" t="s">
        <v>192</v>
      </c>
      <c r="B13" s="6">
        <v>989</v>
      </c>
      <c r="C13" s="6">
        <v>448</v>
      </c>
      <c r="D13" s="6">
        <v>555</v>
      </c>
      <c r="E13" s="6">
        <v>832</v>
      </c>
      <c r="F13" s="6">
        <v>440</v>
      </c>
    </row>
    <row r="14" spans="1:6" x14ac:dyDescent="0.35">
      <c r="A14" s="4" t="s">
        <v>193</v>
      </c>
      <c r="B14" s="6">
        <v>-2367</v>
      </c>
      <c r="C14" s="6">
        <v>-1809</v>
      </c>
      <c r="D14" s="6">
        <v>-1647</v>
      </c>
      <c r="E14" s="6">
        <v>-1600</v>
      </c>
      <c r="F14" s="6">
        <v>-1417</v>
      </c>
    </row>
    <row r="15" spans="1:6" x14ac:dyDescent="0.35">
      <c r="A15" s="4" t="s">
        <v>194</v>
      </c>
      <c r="B15" s="6">
        <v>-16806</v>
      </c>
      <c r="C15" s="6">
        <v>14633</v>
      </c>
      <c r="D15" s="6">
        <v>2371</v>
      </c>
      <c r="E15" s="6">
        <v>203</v>
      </c>
      <c r="F15" s="6">
        <v>-183</v>
      </c>
    </row>
    <row r="16" spans="1:6" x14ac:dyDescent="0.35">
      <c r="A16" s="4" t="s">
        <v>195</v>
      </c>
      <c r="B16" s="6">
        <v>-18184</v>
      </c>
      <c r="C16" s="6">
        <v>13272</v>
      </c>
      <c r="D16" s="6">
        <v>1279</v>
      </c>
      <c r="E16" s="6">
        <v>-565</v>
      </c>
      <c r="F16" s="6">
        <v>-1160</v>
      </c>
    </row>
    <row r="17" spans="1:6" x14ac:dyDescent="0.35">
      <c r="A17" s="4" t="s">
        <v>196</v>
      </c>
      <c r="B17" s="6">
        <v>-5936</v>
      </c>
      <c r="C17" s="6">
        <v>38151</v>
      </c>
      <c r="D17" s="6">
        <v>24178</v>
      </c>
      <c r="E17" s="6">
        <v>13976</v>
      </c>
      <c r="F17" s="6">
        <v>11261</v>
      </c>
    </row>
    <row r="18" spans="1:6" x14ac:dyDescent="0.35">
      <c r="A18" s="4" t="s">
        <v>197</v>
      </c>
      <c r="B18" s="6">
        <v>3217</v>
      </c>
      <c r="C18" s="6">
        <v>-4791</v>
      </c>
      <c r="D18" s="6">
        <v>-2863</v>
      </c>
      <c r="E18" s="6">
        <v>-2374</v>
      </c>
      <c r="F18" s="6">
        <v>-1197</v>
      </c>
    </row>
    <row r="19" spans="1:6" x14ac:dyDescent="0.35">
      <c r="A19" s="4" t="s">
        <v>198</v>
      </c>
      <c r="B19" s="6">
        <v>-3</v>
      </c>
      <c r="C19" s="6">
        <v>4</v>
      </c>
      <c r="D19" s="6">
        <v>16</v>
      </c>
      <c r="E19" s="6">
        <v>-14</v>
      </c>
      <c r="F19" s="6">
        <v>9</v>
      </c>
    </row>
    <row r="20" spans="1:6" x14ac:dyDescent="0.35">
      <c r="A20" s="4" t="s">
        <v>199</v>
      </c>
      <c r="B20" s="5">
        <v>-2722</v>
      </c>
      <c r="C20" s="5">
        <v>33364</v>
      </c>
      <c r="D20" s="5">
        <v>21331</v>
      </c>
      <c r="E20" s="5">
        <v>11588</v>
      </c>
      <c r="F20" s="5">
        <v>10073</v>
      </c>
    </row>
    <row r="21" spans="1:6" x14ac:dyDescent="0.35">
      <c r="A21" s="4" t="s">
        <v>200</v>
      </c>
      <c r="B21" s="7">
        <v>-0.27</v>
      </c>
      <c r="C21" s="7">
        <v>3.3</v>
      </c>
      <c r="D21" s="7">
        <v>2.13</v>
      </c>
      <c r="E21" s="7">
        <v>23.46</v>
      </c>
      <c r="F21" s="7">
        <v>20.68</v>
      </c>
    </row>
    <row r="22" spans="1:6" x14ac:dyDescent="0.35">
      <c r="A22" s="4" t="s">
        <v>201</v>
      </c>
      <c r="B22" s="7">
        <v>-0.27</v>
      </c>
      <c r="C22" s="7">
        <v>3.24</v>
      </c>
      <c r="D22" s="7">
        <v>2.09</v>
      </c>
      <c r="E22" s="7">
        <v>23.01</v>
      </c>
      <c r="F22" s="7">
        <v>20.14</v>
      </c>
    </row>
    <row r="23" spans="1:6" x14ac:dyDescent="0.35">
      <c r="A23" s="3" t="s">
        <v>202</v>
      </c>
      <c r="B23" s="4" t="s">
        <v>6</v>
      </c>
      <c r="C23" s="4" t="s">
        <v>6</v>
      </c>
      <c r="D23" s="4" t="s">
        <v>6</v>
      </c>
    </row>
    <row r="24" spans="1:6" x14ac:dyDescent="0.35">
      <c r="A24" s="4" t="s">
        <v>203</v>
      </c>
      <c r="B24" s="6">
        <v>10189</v>
      </c>
      <c r="C24" s="6">
        <v>10117</v>
      </c>
      <c r="D24" s="6">
        <v>10005</v>
      </c>
      <c r="E24" s="6">
        <v>494</v>
      </c>
      <c r="F24" s="6">
        <v>487</v>
      </c>
    </row>
    <row r="25" spans="1:6" x14ac:dyDescent="0.35">
      <c r="A25" s="4" t="s">
        <v>204</v>
      </c>
      <c r="B25" s="6">
        <v>10189</v>
      </c>
      <c r="C25" s="6">
        <v>10296</v>
      </c>
      <c r="D25" s="6">
        <v>10198</v>
      </c>
      <c r="E25" s="6">
        <v>504</v>
      </c>
      <c r="F25" s="6">
        <v>500</v>
      </c>
    </row>
    <row r="26" spans="1:6" x14ac:dyDescent="0.35">
      <c r="A26" s="4" t="s">
        <v>205</v>
      </c>
      <c r="B26" s="4" t="s">
        <v>6</v>
      </c>
      <c r="C26" s="4" t="s">
        <v>6</v>
      </c>
      <c r="D26" s="4" t="s">
        <v>6</v>
      </c>
    </row>
    <row r="27" spans="1:6" x14ac:dyDescent="0.35">
      <c r="A27" s="4" t="s">
        <v>190</v>
      </c>
      <c r="B27" s="5">
        <v>242901</v>
      </c>
      <c r="C27" s="5">
        <v>241787</v>
      </c>
      <c r="D27" s="5">
        <v>215915</v>
      </c>
      <c r="E27" s="5">
        <v>160408</v>
      </c>
      <c r="F27" s="5">
        <v>141915</v>
      </c>
    </row>
    <row r="28" spans="1:6" x14ac:dyDescent="0.35">
      <c r="A28" s="4" t="s">
        <v>206</v>
      </c>
      <c r="B28" s="4" t="s">
        <v>6</v>
      </c>
      <c r="C28" s="4" t="s">
        <v>6</v>
      </c>
      <c r="D28" s="4" t="s">
        <v>6</v>
      </c>
    </row>
    <row r="29" spans="1:6" x14ac:dyDescent="0.35">
      <c r="A29" s="4" t="s">
        <v>190</v>
      </c>
      <c r="B29" s="5">
        <v>271082</v>
      </c>
      <c r="C29" s="5">
        <v>228035</v>
      </c>
      <c r="D29" s="5">
        <v>170149</v>
      </c>
      <c r="E29" s="5">
        <v>120114</v>
      </c>
      <c r="F29" s="5">
        <v>90972</v>
      </c>
    </row>
  </sheetData>
  <mergeCells count="2">
    <mergeCell ref="A1:A2"/>
    <mergeCell ref="B1:F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
  <sheetViews>
    <sheetView zoomScale="115" zoomScaleNormal="115" workbookViewId="0">
      <selection activeCell="E9" sqref="E9"/>
    </sheetView>
  </sheetViews>
  <sheetFormatPr defaultRowHeight="14.5" x14ac:dyDescent="0.35"/>
  <cols>
    <col min="1" max="1" width="80" customWidth="1"/>
    <col min="2" max="3" width="14" customWidth="1"/>
    <col min="4" max="5" width="12.54296875" customWidth="1"/>
  </cols>
  <sheetData>
    <row r="1" spans="1:5" x14ac:dyDescent="0.35">
      <c r="A1" s="1" t="s">
        <v>207</v>
      </c>
      <c r="B1" s="2" t="s">
        <v>2</v>
      </c>
      <c r="C1" s="2" t="s">
        <v>71</v>
      </c>
      <c r="D1" s="2" t="s">
        <v>70</v>
      </c>
      <c r="E1" s="2" t="s">
        <v>69</v>
      </c>
    </row>
    <row r="2" spans="1:5" x14ac:dyDescent="0.35">
      <c r="A2" s="3" t="s">
        <v>208</v>
      </c>
      <c r="B2" s="4" t="s">
        <v>6</v>
      </c>
      <c r="C2" s="4" t="s">
        <v>6</v>
      </c>
    </row>
    <row r="3" spans="1:5" x14ac:dyDescent="0.35">
      <c r="A3" s="4" t="s">
        <v>209</v>
      </c>
      <c r="B3" s="5">
        <v>53888</v>
      </c>
      <c r="C3" s="5">
        <v>36220</v>
      </c>
      <c r="D3" s="5">
        <v>42122</v>
      </c>
      <c r="E3" s="5">
        <v>36092</v>
      </c>
    </row>
    <row r="4" spans="1:5" x14ac:dyDescent="0.35">
      <c r="A4" s="4" t="s">
        <v>109</v>
      </c>
      <c r="B4" s="6">
        <v>16138</v>
      </c>
      <c r="C4" s="6">
        <v>59829</v>
      </c>
      <c r="D4" s="6">
        <v>42274</v>
      </c>
      <c r="E4" s="6">
        <v>18929</v>
      </c>
    </row>
    <row r="5" spans="1:5" x14ac:dyDescent="0.35">
      <c r="A5" s="4" t="s">
        <v>210</v>
      </c>
      <c r="B5" s="6">
        <v>34405</v>
      </c>
      <c r="C5" s="6">
        <v>32640</v>
      </c>
      <c r="D5" s="6">
        <v>23795</v>
      </c>
      <c r="E5" s="6">
        <v>20497</v>
      </c>
    </row>
    <row r="6" spans="1:5" x14ac:dyDescent="0.35">
      <c r="A6" s="4" t="s">
        <v>211</v>
      </c>
      <c r="B6" s="6">
        <v>42360</v>
      </c>
      <c r="C6" s="6">
        <v>32891</v>
      </c>
      <c r="D6" s="6">
        <v>24542</v>
      </c>
      <c r="E6" s="6">
        <v>20816</v>
      </c>
    </row>
    <row r="7" spans="1:5" x14ac:dyDescent="0.35">
      <c r="A7" s="4" t="s">
        <v>212</v>
      </c>
      <c r="B7" s="6">
        <v>146791</v>
      </c>
      <c r="C7" s="6">
        <v>161580</v>
      </c>
      <c r="D7" s="6">
        <v>132733</v>
      </c>
      <c r="E7" s="6">
        <v>96334</v>
      </c>
    </row>
    <row r="8" spans="1:5" x14ac:dyDescent="0.35">
      <c r="A8" s="4" t="s">
        <v>213</v>
      </c>
      <c r="B8" s="6">
        <v>186715</v>
      </c>
      <c r="C8" s="6">
        <v>160281</v>
      </c>
      <c r="D8" s="6">
        <v>113114</v>
      </c>
      <c r="E8" s="6">
        <v>72705</v>
      </c>
    </row>
    <row r="9" spans="1:5" x14ac:dyDescent="0.35">
      <c r="A9" s="4" t="s">
        <v>214</v>
      </c>
      <c r="B9" s="6">
        <v>66123</v>
      </c>
      <c r="C9" s="6">
        <v>56082</v>
      </c>
      <c r="D9" s="6">
        <v>37553</v>
      </c>
      <c r="E9" s="6">
        <v>25141</v>
      </c>
    </row>
    <row r="10" spans="1:5" x14ac:dyDescent="0.35">
      <c r="A10" s="4" t="s">
        <v>215</v>
      </c>
      <c r="B10" s="6">
        <v>20288</v>
      </c>
      <c r="C10" s="6">
        <v>15371</v>
      </c>
      <c r="D10" s="6">
        <v>15017</v>
      </c>
      <c r="E10" s="6">
        <v>14754</v>
      </c>
    </row>
    <row r="11" spans="1:5" x14ac:dyDescent="0.35">
      <c r="A11" s="4" t="s">
        <v>216</v>
      </c>
      <c r="B11" s="6">
        <v>42758</v>
      </c>
      <c r="C11" s="6">
        <v>27235</v>
      </c>
      <c r="D11" s="6">
        <v>22778</v>
      </c>
      <c r="E11" s="6">
        <v>16314</v>
      </c>
    </row>
    <row r="12" spans="1:5" x14ac:dyDescent="0.35">
      <c r="A12" s="4" t="s">
        <v>217</v>
      </c>
      <c r="B12" s="6">
        <v>462675</v>
      </c>
      <c r="C12" s="6">
        <v>420549</v>
      </c>
      <c r="D12" s="6">
        <v>321195</v>
      </c>
      <c r="E12" s="6">
        <v>225248</v>
      </c>
    </row>
    <row r="13" spans="1:5" x14ac:dyDescent="0.35">
      <c r="A13" s="3" t="s">
        <v>218</v>
      </c>
      <c r="B13" s="4" t="s">
        <v>6</v>
      </c>
      <c r="C13" s="4" t="s">
        <v>6</v>
      </c>
    </row>
    <row r="14" spans="1:5" x14ac:dyDescent="0.35">
      <c r="A14" s="4" t="s">
        <v>219</v>
      </c>
      <c r="B14" s="6">
        <v>79600</v>
      </c>
      <c r="C14" s="6">
        <v>78664</v>
      </c>
      <c r="D14" s="6">
        <v>72539</v>
      </c>
      <c r="E14" s="6">
        <v>47183</v>
      </c>
    </row>
    <row r="15" spans="1:5" x14ac:dyDescent="0.35">
      <c r="A15" s="4" t="s">
        <v>220</v>
      </c>
      <c r="B15" s="6">
        <v>62566</v>
      </c>
      <c r="C15" s="6">
        <v>51775</v>
      </c>
      <c r="D15" s="6">
        <v>44138</v>
      </c>
      <c r="E15" s="6">
        <v>32439</v>
      </c>
    </row>
    <row r="16" spans="1:5" x14ac:dyDescent="0.35">
      <c r="A16" s="4" t="s">
        <v>221</v>
      </c>
      <c r="B16" s="6">
        <v>13227</v>
      </c>
      <c r="C16" s="6">
        <v>11827</v>
      </c>
      <c r="D16" s="6">
        <v>9708</v>
      </c>
      <c r="E16" s="6">
        <v>8190</v>
      </c>
    </row>
    <row r="17" spans="1:5" x14ac:dyDescent="0.35">
      <c r="A17" s="4" t="s">
        <v>222</v>
      </c>
      <c r="B17" s="6">
        <v>155393</v>
      </c>
      <c r="C17" s="6">
        <v>142266</v>
      </c>
      <c r="D17" s="6">
        <v>126385</v>
      </c>
      <c r="E17" s="6">
        <v>87812</v>
      </c>
    </row>
    <row r="18" spans="1:5" x14ac:dyDescent="0.35">
      <c r="A18" s="4" t="s">
        <v>223</v>
      </c>
      <c r="B18" s="6">
        <v>72968</v>
      </c>
      <c r="C18" s="6">
        <v>67651</v>
      </c>
      <c r="D18" s="6">
        <v>52573</v>
      </c>
      <c r="E18" s="6">
        <v>39791</v>
      </c>
    </row>
    <row r="19" spans="1:5" x14ac:dyDescent="0.35">
      <c r="A19" s="4" t="s">
        <v>224</v>
      </c>
      <c r="B19" s="6">
        <v>67150</v>
      </c>
      <c r="C19" s="6">
        <v>48744</v>
      </c>
      <c r="D19" s="6">
        <v>31816</v>
      </c>
      <c r="E19" s="6">
        <v>23414</v>
      </c>
    </row>
    <row r="20" spans="1:5" x14ac:dyDescent="0.35">
      <c r="A20" s="4" t="s">
        <v>225</v>
      </c>
      <c r="B20" s="6">
        <v>21121</v>
      </c>
      <c r="C20" s="6">
        <v>23643</v>
      </c>
      <c r="D20" s="6">
        <v>17017</v>
      </c>
      <c r="E20" s="6">
        <v>12171</v>
      </c>
    </row>
    <row r="21" spans="1:5" x14ac:dyDescent="0.35">
      <c r="A21" s="4" t="s">
        <v>226</v>
      </c>
      <c r="B21" s="4" t="s">
        <v>227</v>
      </c>
      <c r="C21" s="4" t="s">
        <v>227</v>
      </c>
      <c r="D21" s="4" t="s">
        <v>227</v>
      </c>
      <c r="E21" s="4" t="s">
        <v>227</v>
      </c>
    </row>
    <row r="22" spans="1:5" x14ac:dyDescent="0.35">
      <c r="A22" s="3" t="s">
        <v>228</v>
      </c>
      <c r="B22" s="4" t="s">
        <v>6</v>
      </c>
      <c r="C22" s="4" t="s">
        <v>6</v>
      </c>
    </row>
    <row r="23" spans="1:5" x14ac:dyDescent="0.35">
      <c r="A23" s="4" t="s">
        <v>229</v>
      </c>
      <c r="B23" s="6">
        <v>0</v>
      </c>
      <c r="C23" s="6">
        <v>0</v>
      </c>
      <c r="D23" s="6">
        <v>0</v>
      </c>
      <c r="E23" s="6">
        <v>0</v>
      </c>
    </row>
    <row r="24" spans="1:5" ht="29" x14ac:dyDescent="0.35">
      <c r="A24" s="4" t="s">
        <v>230</v>
      </c>
      <c r="B24" s="6">
        <v>108</v>
      </c>
      <c r="C24" s="6">
        <v>106</v>
      </c>
      <c r="D24" s="6">
        <v>5</v>
      </c>
      <c r="E24" s="6">
        <v>5</v>
      </c>
    </row>
    <row r="25" spans="1:5" x14ac:dyDescent="0.35">
      <c r="A25" s="4" t="s">
        <v>231</v>
      </c>
      <c r="B25" s="6">
        <v>-7837</v>
      </c>
      <c r="C25" s="6">
        <v>-1837</v>
      </c>
      <c r="D25" s="6">
        <v>-1837</v>
      </c>
      <c r="E25" s="6">
        <v>-1837</v>
      </c>
    </row>
    <row r="26" spans="1:5" x14ac:dyDescent="0.35">
      <c r="A26" s="4" t="s">
        <v>232</v>
      </c>
      <c r="B26" s="6">
        <v>75066</v>
      </c>
      <c r="C26" s="6">
        <v>55437</v>
      </c>
      <c r="D26" s="6">
        <v>42865</v>
      </c>
      <c r="E26" s="6">
        <v>33658</v>
      </c>
    </row>
    <row r="27" spans="1:5" x14ac:dyDescent="0.35">
      <c r="A27" s="4" t="s">
        <v>233</v>
      </c>
      <c r="B27" s="6">
        <v>-4487</v>
      </c>
      <c r="C27" s="6">
        <v>-1376</v>
      </c>
      <c r="D27" s="6">
        <v>-180</v>
      </c>
      <c r="E27" s="6">
        <v>-986</v>
      </c>
    </row>
    <row r="28" spans="1:5" x14ac:dyDescent="0.35">
      <c r="A28" s="4" t="s">
        <v>234</v>
      </c>
      <c r="B28" s="6">
        <v>83193</v>
      </c>
      <c r="C28" s="6">
        <v>85915</v>
      </c>
      <c r="D28" s="6">
        <v>52551</v>
      </c>
      <c r="E28" s="6">
        <v>31220</v>
      </c>
    </row>
    <row r="29" spans="1:5" x14ac:dyDescent="0.35">
      <c r="A29" s="4" t="s">
        <v>235</v>
      </c>
      <c r="B29" s="6">
        <v>146043</v>
      </c>
      <c r="C29" s="6">
        <v>138245</v>
      </c>
      <c r="D29" s="6">
        <v>93404</v>
      </c>
      <c r="E29" s="6">
        <v>62060</v>
      </c>
    </row>
    <row r="30" spans="1:5" x14ac:dyDescent="0.35">
      <c r="A30" s="4" t="s">
        <v>236</v>
      </c>
      <c r="B30" s="5">
        <v>462675</v>
      </c>
      <c r="C30" s="5">
        <v>420549</v>
      </c>
      <c r="D30" s="5">
        <v>321195</v>
      </c>
      <c r="E30" s="5">
        <v>225248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workbookViewId="0">
      <selection activeCell="B8" sqref="B8:F8"/>
    </sheetView>
  </sheetViews>
  <sheetFormatPr defaultRowHeight="14.5" x14ac:dyDescent="0.35"/>
  <cols>
    <col min="1" max="1" width="80" customWidth="1"/>
    <col min="2" max="2" width="16" customWidth="1"/>
    <col min="3" max="6" width="14" customWidth="1"/>
  </cols>
  <sheetData>
    <row r="1" spans="1:6" x14ac:dyDescent="0.35">
      <c r="A1" s="110" t="s">
        <v>237</v>
      </c>
      <c r="B1" s="112" t="s">
        <v>1</v>
      </c>
      <c r="C1" s="112"/>
      <c r="D1" s="112"/>
      <c r="E1" s="112"/>
      <c r="F1" s="112"/>
    </row>
    <row r="2" spans="1:6" x14ac:dyDescent="0.35">
      <c r="A2" s="111"/>
      <c r="B2" s="2" t="s">
        <v>2</v>
      </c>
      <c r="C2" s="2" t="s">
        <v>71</v>
      </c>
      <c r="D2" s="2" t="s">
        <v>70</v>
      </c>
      <c r="E2" s="2" t="s">
        <v>69</v>
      </c>
      <c r="F2" s="2" t="s">
        <v>68</v>
      </c>
    </row>
    <row r="3" spans="1:6" x14ac:dyDescent="0.35">
      <c r="A3" s="3" t="s">
        <v>238</v>
      </c>
      <c r="B3" s="4" t="s">
        <v>6</v>
      </c>
      <c r="C3" s="4" t="s">
        <v>6</v>
      </c>
      <c r="D3" s="4" t="s">
        <v>6</v>
      </c>
    </row>
    <row r="4" spans="1:6" x14ac:dyDescent="0.35">
      <c r="A4" s="4" t="s">
        <v>239</v>
      </c>
      <c r="B4" s="5">
        <v>36477</v>
      </c>
      <c r="C4" s="5">
        <v>42377</v>
      </c>
      <c r="D4" s="5">
        <v>36410</v>
      </c>
      <c r="E4" s="5">
        <v>32173</v>
      </c>
      <c r="F4" s="5">
        <v>21856</v>
      </c>
    </row>
    <row r="5" spans="1:6" x14ac:dyDescent="0.35">
      <c r="A5" s="3" t="s">
        <v>240</v>
      </c>
      <c r="B5" s="4" t="s">
        <v>6</v>
      </c>
      <c r="C5" s="4" t="s">
        <v>6</v>
      </c>
      <c r="D5" s="4" t="s">
        <v>6</v>
      </c>
    </row>
    <row r="6" spans="1:6" x14ac:dyDescent="0.35">
      <c r="A6" s="4" t="s">
        <v>199</v>
      </c>
      <c r="B6" s="6">
        <v>-2722</v>
      </c>
      <c r="C6" s="6">
        <v>33364</v>
      </c>
      <c r="D6" s="6">
        <v>21331</v>
      </c>
      <c r="E6" s="6">
        <v>11588</v>
      </c>
      <c r="F6" s="6">
        <v>10073</v>
      </c>
    </row>
    <row r="7" spans="1:6" x14ac:dyDescent="0.35">
      <c r="A7" s="3" t="s">
        <v>241</v>
      </c>
      <c r="B7" s="4" t="s">
        <v>6</v>
      </c>
      <c r="C7" s="4" t="s">
        <v>6</v>
      </c>
      <c r="D7" s="4" t="s">
        <v>6</v>
      </c>
    </row>
    <row r="8" spans="1:6" ht="29" x14ac:dyDescent="0.35">
      <c r="A8" s="11" t="s">
        <v>242</v>
      </c>
      <c r="B8" s="13">
        <v>41921</v>
      </c>
      <c r="C8" s="13">
        <v>34433</v>
      </c>
      <c r="D8" s="13">
        <v>25180</v>
      </c>
      <c r="E8" s="13">
        <v>21789</v>
      </c>
      <c r="F8" s="13">
        <v>15341</v>
      </c>
    </row>
    <row r="9" spans="1:6" x14ac:dyDescent="0.35">
      <c r="A9" s="4" t="s">
        <v>243</v>
      </c>
      <c r="B9" s="6">
        <v>19621</v>
      </c>
      <c r="C9" s="6">
        <v>12757</v>
      </c>
      <c r="D9" s="6">
        <v>9208</v>
      </c>
      <c r="E9" s="6">
        <v>6864</v>
      </c>
      <c r="F9" s="6">
        <v>5418</v>
      </c>
    </row>
    <row r="10" spans="1:6" x14ac:dyDescent="0.35">
      <c r="A10" s="4" t="s">
        <v>244</v>
      </c>
      <c r="B10" s="6">
        <v>16966</v>
      </c>
      <c r="C10" s="6">
        <v>-14306</v>
      </c>
      <c r="D10" s="6">
        <v>-2582</v>
      </c>
      <c r="E10" s="6">
        <v>-249</v>
      </c>
      <c r="F10" s="6">
        <v>219</v>
      </c>
    </row>
    <row r="11" spans="1:6" x14ac:dyDescent="0.35">
      <c r="A11" s="4" t="s">
        <v>245</v>
      </c>
      <c r="B11" s="6">
        <v>-8148</v>
      </c>
      <c r="C11" s="6">
        <v>-310</v>
      </c>
      <c r="D11" s="6">
        <v>-554</v>
      </c>
      <c r="E11" s="6">
        <v>796</v>
      </c>
      <c r="F11" s="6">
        <v>441</v>
      </c>
    </row>
    <row r="12" spans="1:6" x14ac:dyDescent="0.35">
      <c r="A12" s="3" t="s">
        <v>246</v>
      </c>
      <c r="B12" s="4" t="s">
        <v>6</v>
      </c>
      <c r="C12" s="4" t="s">
        <v>6</v>
      </c>
      <c r="D12" s="4" t="s">
        <v>6</v>
      </c>
    </row>
    <row r="13" spans="1:6" x14ac:dyDescent="0.35">
      <c r="A13" s="4" t="s">
        <v>210</v>
      </c>
      <c r="B13" s="6">
        <v>-2592</v>
      </c>
      <c r="C13" s="6">
        <v>-9487</v>
      </c>
      <c r="D13" s="6">
        <v>-2849</v>
      </c>
      <c r="E13" s="6">
        <v>-3278</v>
      </c>
      <c r="F13" s="6">
        <v>-1314</v>
      </c>
    </row>
    <row r="14" spans="1:6" x14ac:dyDescent="0.35">
      <c r="A14" s="4" t="s">
        <v>211</v>
      </c>
      <c r="B14" s="6">
        <v>-21897</v>
      </c>
      <c r="C14" s="6">
        <v>-18163</v>
      </c>
      <c r="D14" s="6">
        <v>-8169</v>
      </c>
      <c r="E14" s="6">
        <v>-7681</v>
      </c>
      <c r="F14" s="6">
        <v>-4615</v>
      </c>
    </row>
    <row r="15" spans="1:6" x14ac:dyDescent="0.35">
      <c r="A15" s="4" t="s">
        <v>219</v>
      </c>
      <c r="B15" s="6">
        <v>2945</v>
      </c>
      <c r="C15" s="6">
        <v>3602</v>
      </c>
      <c r="D15" s="6">
        <v>17480</v>
      </c>
      <c r="E15" s="6">
        <v>8193</v>
      </c>
      <c r="F15" s="6">
        <v>3263</v>
      </c>
    </row>
    <row r="16" spans="1:6" x14ac:dyDescent="0.35">
      <c r="A16" s="4" t="s">
        <v>220</v>
      </c>
      <c r="B16" s="6">
        <v>-1558</v>
      </c>
      <c r="C16" s="6">
        <v>2123</v>
      </c>
      <c r="D16" s="6">
        <v>5754</v>
      </c>
      <c r="E16" s="6">
        <v>-1383</v>
      </c>
      <c r="F16" s="6">
        <v>472</v>
      </c>
    </row>
    <row r="17" spans="1:6" x14ac:dyDescent="0.35">
      <c r="A17" s="4" t="s">
        <v>221</v>
      </c>
      <c r="B17" s="6">
        <v>2216</v>
      </c>
      <c r="C17" s="6">
        <v>2314</v>
      </c>
      <c r="D17" s="6">
        <v>1265</v>
      </c>
      <c r="E17" s="6">
        <v>1711</v>
      </c>
      <c r="F17" s="6">
        <v>1151</v>
      </c>
    </row>
    <row r="18" spans="1:6" x14ac:dyDescent="0.35">
      <c r="A18" s="4" t="s">
        <v>247</v>
      </c>
      <c r="B18" s="6">
        <v>46752</v>
      </c>
      <c r="C18" s="6">
        <v>46327</v>
      </c>
      <c r="D18" s="6">
        <v>66064</v>
      </c>
      <c r="E18" s="6">
        <v>38514</v>
      </c>
      <c r="F18" s="6">
        <v>30723</v>
      </c>
    </row>
    <row r="19" spans="1:6" x14ac:dyDescent="0.35">
      <c r="A19" s="3" t="s">
        <v>248</v>
      </c>
      <c r="B19" s="4" t="s">
        <v>6</v>
      </c>
      <c r="C19" s="4" t="s">
        <v>6</v>
      </c>
      <c r="D19" s="4" t="s">
        <v>6</v>
      </c>
    </row>
    <row r="20" spans="1:6" x14ac:dyDescent="0.35">
      <c r="A20" s="4" t="s">
        <v>249</v>
      </c>
      <c r="B20" s="6">
        <v>-63645</v>
      </c>
      <c r="C20" s="6">
        <v>-61053</v>
      </c>
      <c r="D20" s="6">
        <v>-40140</v>
      </c>
      <c r="E20" s="6">
        <v>-16861</v>
      </c>
      <c r="F20" s="6">
        <v>-13427</v>
      </c>
    </row>
    <row r="21" spans="1:6" x14ac:dyDescent="0.35">
      <c r="A21" s="4" t="s">
        <v>250</v>
      </c>
      <c r="B21" s="6">
        <v>5324</v>
      </c>
      <c r="C21" s="6">
        <v>5657</v>
      </c>
      <c r="D21" s="6">
        <v>5096</v>
      </c>
      <c r="E21" s="6">
        <v>4172</v>
      </c>
      <c r="F21" s="6">
        <v>2104</v>
      </c>
    </row>
    <row r="22" spans="1:6" x14ac:dyDescent="0.35">
      <c r="A22" s="4" t="s">
        <v>251</v>
      </c>
      <c r="B22" s="6">
        <v>-8316</v>
      </c>
      <c r="C22" s="6">
        <v>-1985</v>
      </c>
      <c r="D22" s="6">
        <v>-2325</v>
      </c>
      <c r="E22" s="6">
        <v>-2461</v>
      </c>
      <c r="F22" s="6">
        <v>-2186</v>
      </c>
    </row>
    <row r="23" spans="1:6" x14ac:dyDescent="0.35">
      <c r="A23" s="4" t="s">
        <v>252</v>
      </c>
      <c r="B23" s="6">
        <v>31601</v>
      </c>
      <c r="C23" s="6">
        <v>59384</v>
      </c>
      <c r="D23" s="6">
        <v>50237</v>
      </c>
      <c r="E23" s="6">
        <v>22681</v>
      </c>
      <c r="F23" s="6">
        <v>8240</v>
      </c>
    </row>
    <row r="24" spans="1:6" x14ac:dyDescent="0.35">
      <c r="A24" s="4" t="s">
        <v>253</v>
      </c>
      <c r="B24" s="6">
        <v>-2565</v>
      </c>
      <c r="C24" s="6">
        <v>-60157</v>
      </c>
      <c r="D24" s="6">
        <v>-72479</v>
      </c>
      <c r="E24" s="6">
        <v>-31812</v>
      </c>
      <c r="F24" s="6">
        <v>-7100</v>
      </c>
    </row>
    <row r="25" spans="1:6" x14ac:dyDescent="0.35">
      <c r="A25" s="4" t="s">
        <v>254</v>
      </c>
      <c r="B25" s="6">
        <v>-37601</v>
      </c>
      <c r="C25" s="6">
        <v>-58154</v>
      </c>
      <c r="D25" s="6">
        <v>-59611</v>
      </c>
      <c r="E25" s="6">
        <v>-24281</v>
      </c>
      <c r="F25" s="6">
        <v>-12369</v>
      </c>
    </row>
    <row r="26" spans="1:6" x14ac:dyDescent="0.35">
      <c r="A26" s="3" t="s">
        <v>255</v>
      </c>
      <c r="B26" s="4" t="s">
        <v>6</v>
      </c>
      <c r="C26" s="4" t="s">
        <v>6</v>
      </c>
      <c r="D26" s="4" t="s">
        <v>6</v>
      </c>
    </row>
    <row r="27" spans="1:6" x14ac:dyDescent="0.35">
      <c r="A27" s="4" t="s">
        <v>256</v>
      </c>
      <c r="B27" s="6">
        <v>-6000</v>
      </c>
      <c r="C27" s="6">
        <v>0</v>
      </c>
      <c r="D27" s="6">
        <v>0</v>
      </c>
    </row>
    <row r="28" spans="1:6" x14ac:dyDescent="0.35">
      <c r="A28" s="4" t="s">
        <v>257</v>
      </c>
      <c r="B28" s="6">
        <v>41553</v>
      </c>
      <c r="C28" s="6">
        <v>7956</v>
      </c>
      <c r="D28" s="6">
        <v>6796</v>
      </c>
      <c r="E28" s="6">
        <v>1402</v>
      </c>
      <c r="F28" s="6">
        <v>886</v>
      </c>
    </row>
    <row r="29" spans="1:6" x14ac:dyDescent="0.35">
      <c r="A29" s="4" t="s">
        <v>258</v>
      </c>
      <c r="B29" s="6">
        <v>-37554</v>
      </c>
      <c r="C29" s="6">
        <v>-7753</v>
      </c>
      <c r="D29" s="6">
        <v>-6177</v>
      </c>
      <c r="E29" s="6">
        <v>-1518</v>
      </c>
      <c r="F29" s="6">
        <v>-813</v>
      </c>
    </row>
    <row r="30" spans="1:6" x14ac:dyDescent="0.35">
      <c r="A30" s="4" t="s">
        <v>259</v>
      </c>
      <c r="B30" s="6">
        <v>21166</v>
      </c>
      <c r="C30" s="6">
        <v>19003</v>
      </c>
      <c r="D30" s="6">
        <v>10525</v>
      </c>
      <c r="E30" s="6">
        <v>871</v>
      </c>
      <c r="F30" s="6">
        <v>182</v>
      </c>
    </row>
    <row r="31" spans="1:6" x14ac:dyDescent="0.35">
      <c r="A31" s="4" t="s">
        <v>260</v>
      </c>
      <c r="B31" s="6">
        <v>-1258</v>
      </c>
      <c r="C31" s="6">
        <v>-1590</v>
      </c>
      <c r="D31" s="6">
        <v>-1553</v>
      </c>
      <c r="E31" s="6">
        <v>-1166</v>
      </c>
      <c r="F31" s="6">
        <v>-155</v>
      </c>
    </row>
    <row r="32" spans="1:6" x14ac:dyDescent="0.35">
      <c r="A32" s="4" t="s">
        <v>261</v>
      </c>
      <c r="B32" s="6">
        <v>-7941</v>
      </c>
      <c r="C32" s="6">
        <v>-11163</v>
      </c>
      <c r="D32" s="6">
        <v>-10642</v>
      </c>
      <c r="E32" s="6">
        <v>-9628</v>
      </c>
      <c r="F32" s="6">
        <v>-7449</v>
      </c>
    </row>
    <row r="33" spans="1:6" x14ac:dyDescent="0.35">
      <c r="A33" s="4" t="s">
        <v>262</v>
      </c>
      <c r="B33" s="6">
        <v>-248</v>
      </c>
      <c r="C33" s="6">
        <v>-162</v>
      </c>
      <c r="D33" s="6">
        <v>-53</v>
      </c>
      <c r="E33" s="6">
        <v>-27</v>
      </c>
      <c r="F33" s="6">
        <v>-337</v>
      </c>
    </row>
    <row r="34" spans="1:6" x14ac:dyDescent="0.35">
      <c r="A34" s="4" t="s">
        <v>263</v>
      </c>
      <c r="B34" s="6">
        <v>9718</v>
      </c>
      <c r="C34" s="6">
        <v>6291</v>
      </c>
      <c r="D34" s="6">
        <v>-1104</v>
      </c>
      <c r="E34" s="6">
        <v>-10066</v>
      </c>
      <c r="F34" s="6">
        <v>-7686</v>
      </c>
    </row>
    <row r="35" spans="1:6" x14ac:dyDescent="0.35">
      <c r="A35" s="4" t="s">
        <v>264</v>
      </c>
      <c r="B35" s="6">
        <v>-1093</v>
      </c>
      <c r="C35" s="6">
        <v>-364</v>
      </c>
      <c r="D35" s="6">
        <v>618</v>
      </c>
      <c r="E35" s="6">
        <v>70</v>
      </c>
      <c r="F35" s="6">
        <v>-351</v>
      </c>
    </row>
    <row r="36" spans="1:6" x14ac:dyDescent="0.35">
      <c r="A36" s="4" t="s">
        <v>265</v>
      </c>
      <c r="B36" s="6">
        <v>17776</v>
      </c>
      <c r="C36" s="6">
        <v>-5900</v>
      </c>
      <c r="D36" s="6">
        <v>5967</v>
      </c>
      <c r="E36" s="6">
        <v>4237</v>
      </c>
      <c r="F36" s="6">
        <v>10317</v>
      </c>
    </row>
    <row r="37" spans="1:6" x14ac:dyDescent="0.35">
      <c r="A37" s="4" t="s">
        <v>266</v>
      </c>
      <c r="B37" s="5">
        <v>54253</v>
      </c>
      <c r="C37" s="5">
        <v>36477</v>
      </c>
      <c r="D37" s="5">
        <v>42377</v>
      </c>
      <c r="E37" s="5">
        <v>36410</v>
      </c>
      <c r="F37" s="5">
        <v>32173</v>
      </c>
    </row>
  </sheetData>
  <mergeCells count="2">
    <mergeCell ref="A1:A2"/>
    <mergeCell ref="B1:F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Assumptions</vt:lpstr>
      <vt:lpstr>Projected Financials</vt:lpstr>
      <vt:lpstr>Financial Ratios</vt:lpstr>
      <vt:lpstr>CAPM</vt:lpstr>
      <vt:lpstr>CAPM_2</vt:lpstr>
      <vt:lpstr>Cover Page</vt:lpstr>
      <vt:lpstr>Consolidated Statements Of Oper</vt:lpstr>
      <vt:lpstr>Consolidated Balance Sheets</vt:lpstr>
      <vt:lpstr>Consolidated Statements of Cash</vt:lpstr>
      <vt:lpstr>Consolidated Statements of Comp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Alejandro Rodriguez</cp:lastModifiedBy>
  <cp:revision/>
  <dcterms:created xsi:type="dcterms:W3CDTF">2023-02-02T23:27:12Z</dcterms:created>
  <dcterms:modified xsi:type="dcterms:W3CDTF">2023-07-14T20:53:44Z</dcterms:modified>
  <cp:category/>
  <cp:contentStatus/>
</cp:coreProperties>
</file>