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5" documentId="13_ncr:1_{1BE61D46-BB5B-41FF-8BAA-FCC8E3EFF824}" xr6:coauthVersionLast="47" xr6:coauthVersionMax="47" xr10:uidLastSave="{9A20D95C-6CB4-4BC0-842B-BAC0ADDF4DA4}"/>
  <bookViews>
    <workbookView xWindow="-110" yWindow="-110" windowWidth="19420" windowHeight="10420" xr2:uid="{00000000-000D-0000-FFFF-FFFF00000000}"/>
  </bookViews>
  <sheets>
    <sheet name="WACC" sheetId="3" r:id="rId1"/>
    <sheet name="Regression" sheetId="10" r:id="rId2"/>
    <sheet name="Beta" sheetId="6" r:id="rId3"/>
    <sheet name="Cost of Debt" sheetId="7" r:id="rId4"/>
    <sheet name="10 year bond yield" sheetId="8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6" l="1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63" i="6"/>
  <c r="C64" i="6"/>
  <c r="C65" i="6"/>
  <c r="C66" i="6"/>
  <c r="C67" i="6"/>
  <c r="C68" i="6"/>
  <c r="C69" i="6"/>
  <c r="C70" i="6"/>
  <c r="C8" i="3" l="1"/>
  <c r="C6" i="3"/>
  <c r="F7" i="7"/>
  <c r="C7" i="3" s="1"/>
  <c r="L28" i="6"/>
  <c r="K26" i="6"/>
  <c r="K2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10" i="7" l="1"/>
  <c r="C5" i="3" s="1"/>
  <c r="D37" i="3"/>
  <c r="K16" i="6" l="1"/>
  <c r="K17" i="6"/>
  <c r="K20" i="6" s="1"/>
  <c r="K18" i="6" l="1"/>
  <c r="D9" i="3" s="1"/>
  <c r="C39" i="3" s="1"/>
  <c r="C37" i="3"/>
  <c r="C43" i="3"/>
  <c r="C32" i="3"/>
  <c r="C31" i="3"/>
  <c r="D32" i="3" l="1"/>
  <c r="C48" i="3"/>
  <c r="C33" i="3"/>
  <c r="C23" i="3" l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16" i="3"/>
  <c r="H16" i="3" s="1"/>
  <c r="F23" i="3" l="1"/>
  <c r="H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7" authorId="0" shapeId="0" xr:uid="{80C42EC5-3CA7-4903-B75A-D6D17D01B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Since the income before and aftter tax is a loss, we went to use the 21% </t>
        </r>
      </text>
    </comment>
  </commentList>
</comments>
</file>

<file path=xl/sharedStrings.xml><?xml version="1.0" encoding="utf-8"?>
<sst xmlns="http://schemas.openxmlformats.org/spreadsheetml/2006/main" count="97" uniqueCount="90">
  <si>
    <t>WACC</t>
  </si>
  <si>
    <t>Input Data</t>
  </si>
  <si>
    <t>Cost of Debt</t>
  </si>
  <si>
    <t>Tax Rate</t>
  </si>
  <si>
    <t xml:space="preserve">Amount of Debt Outstanding </t>
  </si>
  <si>
    <t>Risk-free Rate of Return</t>
  </si>
  <si>
    <t>First Method</t>
  </si>
  <si>
    <t>Second Method</t>
  </si>
  <si>
    <t>Required Return of the Market</t>
  </si>
  <si>
    <t>Stock Price</t>
  </si>
  <si>
    <t xml:space="preserve">Shares Outstanding </t>
  </si>
  <si>
    <t xml:space="preserve">List of Comparable Companies </t>
  </si>
  <si>
    <t>Company</t>
  </si>
  <si>
    <t>Levered Beta</t>
  </si>
  <si>
    <t>Debt</t>
  </si>
  <si>
    <t>Equity</t>
  </si>
  <si>
    <t>Debt / Equity</t>
  </si>
  <si>
    <t>Unlevered Beta</t>
  </si>
  <si>
    <t>Company 1</t>
  </si>
  <si>
    <t>Company 2</t>
  </si>
  <si>
    <t>Company 3</t>
  </si>
  <si>
    <t>Company 4</t>
  </si>
  <si>
    <t>Company 5</t>
  </si>
  <si>
    <t>Company 6</t>
  </si>
  <si>
    <t>Company 7</t>
  </si>
  <si>
    <t>Average</t>
  </si>
  <si>
    <t>Output</t>
  </si>
  <si>
    <t>Step 1: Calculate the weight of debt and equity</t>
  </si>
  <si>
    <t>Weight of Debt</t>
  </si>
  <si>
    <t>Weight of Equity</t>
  </si>
  <si>
    <t>TOTAL</t>
  </si>
  <si>
    <t>Step 2: Calculate the cost of equity</t>
  </si>
  <si>
    <t>Cost of Equity</t>
  </si>
  <si>
    <t>Step 3: Calculate the after-tax cost of debt</t>
  </si>
  <si>
    <t>After-tax cost of debt</t>
  </si>
  <si>
    <t>Step 4: Calculate the weighted average cost of capital (WACC)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</si>
  <si>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</si>
  <si>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</si>
  <si>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</si>
  <si>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</si>
  <si>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</si>
  <si>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</si>
  <si>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</si>
  <si>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</si>
  <si>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</si>
  <si>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</si>
  <si>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</si>
  <si>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</si>
  <si>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</si>
  <si>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</si>
  <si>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</si>
  <si>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</si>
  <si>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</si>
  <si>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</si>
  <si>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</si>
  <si>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</si>
  <si>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</si>
  <si>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</si>
  <si>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</si>
  <si>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</si>
  <si>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</si>
  <si>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Date</t>
  </si>
  <si>
    <t>AMZN</t>
  </si>
  <si>
    <t>RAMZN</t>
  </si>
  <si>
    <t>S&amp;P 500</t>
  </si>
  <si>
    <t>Rmarket</t>
  </si>
  <si>
    <t>To calculate Beta  - y = a + bx</t>
  </si>
  <si>
    <t>y  = dependent variable – AMZN stock return</t>
  </si>
  <si>
    <t>x  = independent variable – S&amp;P 500 market return</t>
  </si>
  <si>
    <t>a = constant or intercept</t>
  </si>
  <si>
    <t>b = Beta coefficient or slope</t>
  </si>
  <si>
    <t>b=</t>
  </si>
  <si>
    <t>Market return ( CAGR)</t>
  </si>
  <si>
    <t xml:space="preserve"> Percentage return Monthly</t>
  </si>
  <si>
    <t>Nominal rate</t>
  </si>
  <si>
    <t>S&amp;P return</t>
  </si>
  <si>
    <t>Annual componded return S&amp;P500</t>
  </si>
  <si>
    <t>Nominal rate *12 months, The number of compounding periods per year.</t>
  </si>
  <si>
    <t>1) Calculating cost of debt</t>
  </si>
  <si>
    <t>Short term &amp; Current maturity of long term debt</t>
  </si>
  <si>
    <t>Long-term debt</t>
  </si>
  <si>
    <t>Total Debt</t>
  </si>
  <si>
    <t>Interest paid</t>
  </si>
  <si>
    <t>Interest rate</t>
  </si>
  <si>
    <t>2) Caluclating the tax rate</t>
  </si>
  <si>
    <t>Income before taxes</t>
  </si>
  <si>
    <t>Income after taxes</t>
  </si>
  <si>
    <t>Tax rate</t>
  </si>
  <si>
    <t>https://fred.stlouisfed.org/series/DGS10</t>
  </si>
  <si>
    <t>10 Year treasury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</si>
</sst>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0" formatCode="0.000%"/>
    <numFmt numFmtId="171" formatCode="_(* #,##0_);_(* \(#,##0\);_(* &quot;-&quot;??_);_(@_)"/>
    <numFmt numFmtId="172" formatCode="0.000"/>
  </numFmts>
  <fonts count="2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i/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0073B0"/>
      </left>
      <right style="thin">
        <color rgb="FF0073B0"/>
      </right>
      <top style="thin">
        <color rgb="FF0073B0"/>
      </top>
      <bottom style="thin">
        <color rgb="FF0073B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49" fontId="8" fillId="2" borderId="1" xfId="4" applyNumberFormat="1" applyFont="1" applyFill="1" applyBorder="1" applyAlignment="1">
      <alignment wrapText="1"/>
    </xf>
    <xf numFmtId="49" fontId="8" fillId="2" borderId="1" xfId="4" applyNumberFormat="1" applyFont="1" applyFill="1" applyBorder="1" applyAlignment="1">
      <alignment horizontal="center" wrapText="1"/>
    </xf>
    <xf numFmtId="0" fontId="9" fillId="2" borderId="0" xfId="2" applyFont="1" applyFill="1" applyAlignment="1">
      <alignment horizontal="left" vertical="center"/>
    </xf>
    <xf numFmtId="0" fontId="10" fillId="2" borderId="0" xfId="4" applyFont="1" applyFill="1"/>
    <xf numFmtId="165" fontId="10" fillId="2" borderId="0" xfId="4" applyNumberFormat="1" applyFont="1" applyFill="1"/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center" vertical="center"/>
    </xf>
    <xf numFmtId="0" fontId="10" fillId="2" borderId="1" xfId="4" applyFont="1" applyFill="1" applyBorder="1"/>
    <xf numFmtId="165" fontId="10" fillId="2" borderId="1" xfId="4" applyNumberFormat="1" applyFont="1" applyFill="1" applyBorder="1"/>
    <xf numFmtId="9" fontId="10" fillId="2" borderId="0" xfId="4" applyNumberFormat="1" applyFont="1" applyFill="1"/>
    <xf numFmtId="0" fontId="10" fillId="2" borderId="0" xfId="4" applyFont="1" applyFill="1" applyAlignment="1">
      <alignment horizontal="center" vertical="center"/>
    </xf>
    <xf numFmtId="0" fontId="10" fillId="2" borderId="3" xfId="4" applyFont="1" applyFill="1" applyBorder="1" applyAlignment="1">
      <alignment horizontal="center" vertical="center"/>
    </xf>
    <xf numFmtId="2" fontId="10" fillId="2" borderId="3" xfId="4" applyNumberFormat="1" applyFont="1" applyFill="1" applyBorder="1" applyAlignment="1">
      <alignment horizontal="center" vertical="center"/>
    </xf>
    <xf numFmtId="0" fontId="11" fillId="2" borderId="3" xfId="4" applyFont="1" applyFill="1" applyBorder="1" applyAlignment="1">
      <alignment horizontal="center" vertical="center"/>
    </xf>
    <xf numFmtId="2" fontId="11" fillId="2" borderId="3" xfId="4" applyNumberFormat="1" applyFont="1" applyFill="1" applyBorder="1" applyAlignment="1">
      <alignment horizontal="center" vertical="center"/>
    </xf>
    <xf numFmtId="166" fontId="10" fillId="2" borderId="0" xfId="4" applyNumberFormat="1" applyFont="1" applyFill="1"/>
    <xf numFmtId="164" fontId="10" fillId="2" borderId="3" xfId="4" applyNumberFormat="1" applyFont="1" applyFill="1" applyBorder="1" applyAlignment="1">
      <alignment horizontal="center" vertical="center"/>
    </xf>
    <xf numFmtId="164" fontId="10" fillId="2" borderId="0" xfId="4" applyNumberFormat="1" applyFont="1" applyFill="1"/>
    <xf numFmtId="164" fontId="10" fillId="2" borderId="0" xfId="8" applyNumberFormat="1" applyFont="1" applyFill="1"/>
    <xf numFmtId="2" fontId="10" fillId="2" borderId="0" xfId="4" applyNumberFormat="1" applyFont="1" applyFill="1"/>
    <xf numFmtId="0" fontId="10" fillId="2" borderId="3" xfId="4" applyFont="1" applyFill="1" applyBorder="1"/>
    <xf numFmtId="9" fontId="10" fillId="2" borderId="3" xfId="4" applyNumberFormat="1" applyFont="1" applyFill="1" applyBorder="1"/>
    <xf numFmtId="0" fontId="11" fillId="2" borderId="3" xfId="4" applyFont="1" applyFill="1" applyBorder="1"/>
    <xf numFmtId="9" fontId="11" fillId="2" borderId="3" xfId="4" applyNumberFormat="1" applyFont="1" applyFill="1" applyBorder="1"/>
    <xf numFmtId="169" fontId="10" fillId="2" borderId="0" xfId="4" applyNumberFormat="1" applyFont="1" applyFill="1"/>
    <xf numFmtId="10" fontId="10" fillId="2" borderId="2" xfId="4" applyNumberFormat="1" applyFont="1" applyFill="1" applyBorder="1"/>
    <xf numFmtId="2" fontId="11" fillId="2" borderId="0" xfId="4" applyNumberFormat="1" applyFont="1" applyFill="1" applyAlignment="1">
      <alignment horizontal="center" vertical="center"/>
    </xf>
    <xf numFmtId="49" fontId="8" fillId="2" borderId="0" xfId="4" applyNumberFormat="1" applyFont="1" applyFill="1" applyAlignment="1">
      <alignment wrapText="1"/>
    </xf>
    <xf numFmtId="49" fontId="8" fillId="2" borderId="0" xfId="4" applyNumberFormat="1" applyFont="1" applyFill="1" applyAlignment="1">
      <alignment horizontal="center" wrapText="1"/>
    </xf>
    <xf numFmtId="0" fontId="2" fillId="0" borderId="0" xfId="12"/>
    <xf numFmtId="10" fontId="0" fillId="0" borderId="0" xfId="13" applyNumberFormat="1" applyFont="1"/>
    <xf numFmtId="0" fontId="2" fillId="0" borderId="0" xfId="12" applyAlignment="1">
      <alignment wrapText="1"/>
    </xf>
    <xf numFmtId="0" fontId="0" fillId="2" borderId="0" xfId="0" applyFill="1"/>
    <xf numFmtId="0" fontId="10" fillId="2" borderId="6" xfId="4" applyFont="1" applyFill="1" applyBorder="1" applyAlignment="1">
      <alignment horizontal="center"/>
    </xf>
    <xf numFmtId="0" fontId="10" fillId="3" borderId="6" xfId="4" applyFont="1" applyFill="1" applyBorder="1" applyAlignment="1">
      <alignment horizontal="center"/>
    </xf>
    <xf numFmtId="10" fontId="0" fillId="4" borderId="0" xfId="11" applyNumberFormat="1" applyFont="1" applyFill="1"/>
    <xf numFmtId="169" fontId="2" fillId="0" borderId="0" xfId="12" applyNumberFormat="1"/>
    <xf numFmtId="0" fontId="1" fillId="0" borderId="0" xfId="12" applyFont="1"/>
    <xf numFmtId="171" fontId="0" fillId="2" borderId="0" xfId="8" applyNumberFormat="1" applyFont="1" applyFill="1"/>
    <xf numFmtId="10" fontId="0" fillId="2" borderId="0" xfId="11" applyNumberFormat="1" applyFont="1" applyFill="1"/>
    <xf numFmtId="0" fontId="15" fillId="0" borderId="0" xfId="14"/>
    <xf numFmtId="10" fontId="10" fillId="2" borderId="6" xfId="4" applyNumberFormat="1" applyFont="1" applyFill="1" applyBorder="1" applyAlignment="1">
      <alignment horizontal="center"/>
    </xf>
    <xf numFmtId="168" fontId="10" fillId="2" borderId="0" xfId="8" applyFont="1" applyFill="1"/>
    <xf numFmtId="171" fontId="10" fillId="2" borderId="0" xfId="8" applyNumberFormat="1" applyFont="1" applyFill="1"/>
    <xf numFmtId="10" fontId="10" fillId="2" borderId="0" xfId="4" applyNumberFormat="1" applyFont="1" applyFill="1"/>
    <xf numFmtId="2" fontId="10" fillId="2" borderId="6" xfId="4" applyNumberFormat="1" applyFont="1" applyFill="1" applyBorder="1"/>
    <xf numFmtId="172" fontId="10" fillId="2" borderId="6" xfId="4" applyNumberFormat="1" applyFont="1" applyFill="1" applyBorder="1"/>
    <xf numFmtId="0" fontId="16" fillId="0" borderId="0" xfId="0" applyFont="1"/>
    <xf numFmtId="14" fontId="19" fillId="5" borderId="7" xfId="0" applyNumberFormat="1" applyFont="1" applyFill="1" applyBorder="1"/>
    <xf numFmtId="4" fontId="19" fillId="5" borderId="8" xfId="0" applyNumberFormat="1" applyFont="1" applyFill="1" applyBorder="1"/>
    <xf numFmtId="14" fontId="19" fillId="6" borderId="7" xfId="0" applyNumberFormat="1" applyFont="1" applyFill="1" applyBorder="1"/>
    <xf numFmtId="4" fontId="19" fillId="6" borderId="8" xfId="0" applyNumberFormat="1" applyFont="1" applyFill="1" applyBorder="1"/>
    <xf numFmtId="14" fontId="19" fillId="7" borderId="0" xfId="0" applyNumberFormat="1" applyFont="1" applyFill="1"/>
    <xf numFmtId="0" fontId="19" fillId="7" borderId="0" xfId="0" applyFont="1" applyFill="1"/>
    <xf numFmtId="14" fontId="19" fillId="6" borderId="0" xfId="0" applyNumberFormat="1" applyFont="1" applyFill="1"/>
    <xf numFmtId="0" fontId="19" fillId="6" borderId="0" xfId="0" applyFont="1" applyFill="1"/>
    <xf numFmtId="0" fontId="0" fillId="0" borderId="4" xfId="0" applyBorder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Continuous"/>
    </xf>
    <xf numFmtId="10" fontId="1" fillId="0" borderId="0" xfId="11" applyNumberFormat="1" applyFont="1"/>
    <xf numFmtId="170" fontId="1" fillId="0" borderId="0" xfId="11" applyNumberFormat="1" applyFont="1"/>
    <xf numFmtId="0" fontId="11" fillId="2" borderId="3" xfId="4" applyFont="1" applyFill="1" applyBorder="1" applyAlignment="1">
      <alignment horizontal="center"/>
    </xf>
  </cellXfs>
  <cellStyles count="15">
    <cellStyle name="Comma" xfId="8" builtinId="3"/>
    <cellStyle name="Comma 2" xfId="7" xr:uid="{4B077D12-3928-4600-A400-DAFE7C142FC5}"/>
    <cellStyle name="Currency 2" xfId="5" xr:uid="{94FA024F-B916-408B-8C26-266C30588648}"/>
    <cellStyle name="Hyperlink" xfId="14" builtinId="8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Normal 3" xfId="9" xr:uid="{BB80F1F3-9922-4059-BF83-BD44F7EAFF68}"/>
    <cellStyle name="Normal 4" xfId="12" xr:uid="{B1779554-3005-4E84-B217-8C30B2450A41}"/>
    <cellStyle name="Percent" xfId="11" builtinId="5"/>
    <cellStyle name="Percent 2" xfId="6" xr:uid="{9E2C98EB-5F37-4587-8FEB-4069EA2B93AB}"/>
    <cellStyle name="Percent 3" xfId="10" xr:uid="{1944379E-E72C-44AB-B7CA-2698D4587175}"/>
    <cellStyle name="Percent 4" xfId="13" xr:uid="{12245C5B-71BC-4B7F-8163-9B1220E5832A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659422</xdr:colOff>
      <xdr:row>1</xdr:row>
      <xdr:rowOff>68385</xdr:rowOff>
    </xdr:from>
    <xdr:to>
      <xdr:col>10</xdr:col>
      <xdr:colOff>681904</xdr:colOff>
      <xdr:row>12</xdr:row>
      <xdr:rowOff>112347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13C35-6C62-420E-B3BE-64903935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6460" y="234462"/>
          <a:ext cx="3681059" cy="1680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543418</xdr:colOff>
      <xdr:row>3</xdr:row>
      <xdr:rowOff>35719</xdr:rowOff>
    </xdr:from>
    <xdr:to>
      <xdr:col>16</xdr:col>
      <xdr:colOff>274262</xdr:colOff>
      <xdr:row>32</xdr:row>
      <xdr:rowOff>65792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E31D3-17A5-47E3-9F7D-B1CCE4279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0012" y="571500"/>
          <a:ext cx="5525219" cy="520929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28</xdr:col>
      <xdr:colOff>188092</xdr:colOff>
      <xdr:row>40</xdr:row>
      <xdr:rowOff>26136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8A2521-A300-4AB0-89B6-A6222DF7B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0406" y="357188"/>
          <a:ext cx="6561905" cy="68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28</xdr:col>
      <xdr:colOff>454758</xdr:colOff>
      <xdr:row>74</xdr:row>
      <xdr:rowOff>162733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C7CA47-D988-4AE1-830C-2F2C5753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0406" y="7143750"/>
          <a:ext cx="6828571" cy="6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23</xdr:col>
      <xdr:colOff>583594</xdr:colOff>
      <xdr:row>47</xdr:row>
      <xdr:rowOff>11492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F2B3F3-8282-43E3-8588-F4F367C1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8654" y="915865"/>
          <a:ext cx="12666667" cy="7704762"/>
        </a:xfrm>
        <a:prstGeom prst="rect">
          <a:avLst/>
        </a:prstGeom>
      </xdr:spPr>
    </xdr:pic>
    <xdr:clientData/>
  </xdr:twoCellAnchor>
  <xdr:twoCellAnchor>
    <xdr:from>
      <xdr:col>5</xdr:col>
      <xdr:colOff>590550</xdr:colOff>
      <xdr:row>22</xdr:row>
      <xdr:rowOff>0</xdr:rowOff>
    </xdr:from>
    <xdr:to>
      <xdr:col>9</xdr:col>
      <xdr:colOff>523875</xdr:colOff>
      <xdr:row>25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3499596-06AF-F5B7-842E-9060EF5C73F1}"/>
            </a:ext>
          </a:extLst>
        </xdr:cNvPr>
        <xdr:cNvSpPr/>
      </xdr:nvSpPr>
      <xdr:spPr>
        <a:xfrm>
          <a:off x="3638550" y="4610100"/>
          <a:ext cx="2371725" cy="7048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solidFill>
                <a:schemeClr val="bg2">
                  <a:lumMod val="60000"/>
                  <a:lumOff val="40000"/>
                </a:schemeClr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5</xdr:col>
      <xdr:colOff>0</xdr:colOff>
      <xdr:row>5</xdr:row>
      <xdr:rowOff>20352</xdr:rowOff>
    </xdr:from>
    <xdr:to>
      <xdr:col>23</xdr:col>
      <xdr:colOff>583594</xdr:colOff>
      <xdr:row>47</xdr:row>
      <xdr:rowOff>25494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64AE89-A210-4BEA-B230-D5F184D28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8654" y="915865"/>
          <a:ext cx="12669842" cy="753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fred.stlouisfed.org/series/DGS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sheetPr>
    <tabColor rgb="FFFFFF00"/>
  </sheetPr>
  <dimension ref="B1:M48"/>
  <sheetViews>
    <sheetView tabSelected="1" topLeftCell="A27" zoomScale="130" zoomScaleNormal="130" workbookViewId="0">
      <selection activeCell="C11" sqref="C11"/>
    </sheetView>
  </sheetViews>
  <sheetFormatPr defaultColWidth="9" defaultRowHeight="11.5" x14ac:dyDescent="0.25"/>
  <cols>
    <col min="1" max="1" width="1.8984375" style="4" customWidth="1"/>
    <col min="2" max="2" width="35" style="4" customWidth="1"/>
    <col min="3" max="3" width="20.59765625" style="4" customWidth="1"/>
    <col min="4" max="4" width="18" style="4" customWidth="1"/>
    <col min="5" max="5" width="14.3984375" style="4" customWidth="1"/>
    <col min="6" max="6" width="15.3984375" style="4" customWidth="1"/>
    <col min="7" max="7" width="17.3984375" style="4" customWidth="1"/>
    <col min="8" max="8" width="16.3984375" style="4" customWidth="1"/>
    <col min="9" max="9" width="11.8984375" style="4" customWidth="1"/>
    <col min="10" max="10" width="11.8984375" style="4" bestFit="1" customWidth="1"/>
    <col min="11" max="11" width="12.69921875" style="4" customWidth="1"/>
    <col min="12" max="12" width="8.8984375" style="4" customWidth="1"/>
    <col min="13" max="13" width="8.59765625" style="4" customWidth="1"/>
    <col min="14" max="16384" width="9" style="4"/>
  </cols>
  <sheetData>
    <row r="1" spans="2:13" ht="13.15" customHeight="1" x14ac:dyDescent="0.25">
      <c r="B1" s="3" t="s">
        <v>0</v>
      </c>
      <c r="E1" s="6"/>
      <c r="F1" s="7"/>
      <c r="G1" s="6"/>
      <c r="J1" s="8"/>
      <c r="L1" s="8"/>
      <c r="M1" s="6"/>
    </row>
    <row r="2" spans="2:13" ht="12.75" customHeight="1" x14ac:dyDescent="0.25"/>
    <row r="3" spans="2:13" ht="12" thickBot="1" x14ac:dyDescent="0.3">
      <c r="B3" s="1" t="s">
        <v>1</v>
      </c>
      <c r="C3" s="2"/>
      <c r="D3" s="9"/>
      <c r="E3" s="9"/>
      <c r="F3" s="10"/>
      <c r="G3" s="9"/>
      <c r="H3" s="5"/>
      <c r="I3" s="5"/>
      <c r="J3" s="5"/>
      <c r="K3" s="5"/>
    </row>
    <row r="4" spans="2:13" ht="12" thickTop="1" x14ac:dyDescent="0.25"/>
    <row r="5" spans="2:13" x14ac:dyDescent="0.25">
      <c r="B5" s="4" t="s">
        <v>2</v>
      </c>
      <c r="C5" s="46">
        <f>'Cost of Debt'!F10</f>
        <v>1.6892904551877704E-2</v>
      </c>
    </row>
    <row r="6" spans="2:13" x14ac:dyDescent="0.25">
      <c r="B6" s="4" t="s">
        <v>3</v>
      </c>
      <c r="C6" s="46">
        <f>'Cost of Debt'!F17</f>
        <v>0.21</v>
      </c>
    </row>
    <row r="7" spans="2:13" x14ac:dyDescent="0.25">
      <c r="B7" s="4" t="s">
        <v>4</v>
      </c>
      <c r="C7" s="20">
        <f>'Cost of Debt'!F7</f>
        <v>140118000</v>
      </c>
    </row>
    <row r="8" spans="2:13" x14ac:dyDescent="0.25">
      <c r="B8" s="4" t="s">
        <v>5</v>
      </c>
      <c r="C8" s="26">
        <f>'10 year bond yield'!J3</f>
        <v>4.0500000000000001E-2</v>
      </c>
      <c r="D8" s="36" t="s">
        <v>6</v>
      </c>
      <c r="E8" s="36" t="s">
        <v>7</v>
      </c>
    </row>
    <row r="9" spans="2:13" x14ac:dyDescent="0.25">
      <c r="B9" s="4" t="s">
        <v>8</v>
      </c>
      <c r="D9" s="43">
        <f>Beta!K18</f>
        <v>0.12183625815523746</v>
      </c>
      <c r="E9" s="43">
        <v>0.14699999999999999</v>
      </c>
    </row>
    <row r="10" spans="2:13" x14ac:dyDescent="0.25">
      <c r="B10" s="4" t="s">
        <v>9</v>
      </c>
      <c r="C10" s="17">
        <v>129.78</v>
      </c>
    </row>
    <row r="11" spans="2:13" x14ac:dyDescent="0.25">
      <c r="B11" s="4" t="s">
        <v>10</v>
      </c>
      <c r="C11" s="45">
        <v>10250000</v>
      </c>
      <c r="D11" s="19"/>
    </row>
    <row r="14" spans="2:13" x14ac:dyDescent="0.25">
      <c r="B14" s="63" t="s">
        <v>11</v>
      </c>
      <c r="C14" s="63"/>
      <c r="D14" s="63"/>
      <c r="E14" s="63"/>
      <c r="F14" s="63"/>
      <c r="G14" s="63"/>
      <c r="H14" s="63"/>
    </row>
    <row r="15" spans="2:13" x14ac:dyDescent="0.25">
      <c r="B15" s="13" t="s">
        <v>12</v>
      </c>
      <c r="C15" s="13" t="s">
        <v>13</v>
      </c>
      <c r="D15" s="13" t="s">
        <v>14</v>
      </c>
      <c r="E15" s="13" t="s">
        <v>15</v>
      </c>
      <c r="F15" s="13" t="s">
        <v>16</v>
      </c>
      <c r="G15" s="13" t="s">
        <v>3</v>
      </c>
      <c r="H15" s="13" t="s">
        <v>17</v>
      </c>
      <c r="I15" s="12"/>
    </row>
    <row r="16" spans="2:13" x14ac:dyDescent="0.25">
      <c r="B16" s="13" t="s">
        <v>18</v>
      </c>
      <c r="C16" s="13">
        <v>1.44</v>
      </c>
      <c r="D16" s="18">
        <v>570</v>
      </c>
      <c r="E16" s="18">
        <v>1420</v>
      </c>
      <c r="F16" s="14">
        <f>D16/E16</f>
        <v>0.40140845070422537</v>
      </c>
      <c r="G16" s="13">
        <v>0.33</v>
      </c>
      <c r="H16" s="14">
        <f>C16/((1+(1-G16)*F16))</f>
        <v>1.1348021532826462</v>
      </c>
      <c r="I16" s="12"/>
    </row>
    <row r="17" spans="2:9" x14ac:dyDescent="0.25">
      <c r="B17" s="13" t="s">
        <v>19</v>
      </c>
      <c r="C17" s="13">
        <v>1.35</v>
      </c>
      <c r="D17" s="18">
        <v>290</v>
      </c>
      <c r="E17" s="18">
        <v>940</v>
      </c>
      <c r="F17" s="14">
        <f t="shared" ref="F17:F22" si="0">D17/E17</f>
        <v>0.30851063829787234</v>
      </c>
      <c r="G17" s="13">
        <v>0.33</v>
      </c>
      <c r="H17" s="14">
        <f t="shared" ref="H17:H22" si="1">C17/((1+(1-G17)*F17))</f>
        <v>1.1187516530018515</v>
      </c>
      <c r="I17" s="12"/>
    </row>
    <row r="18" spans="2:9" x14ac:dyDescent="0.25">
      <c r="B18" s="13" t="s">
        <v>20</v>
      </c>
      <c r="C18" s="13">
        <v>1.22</v>
      </c>
      <c r="D18" s="18">
        <v>520</v>
      </c>
      <c r="E18" s="18">
        <v>870</v>
      </c>
      <c r="F18" s="14">
        <f t="shared" si="0"/>
        <v>0.5977011494252874</v>
      </c>
      <c r="G18" s="13">
        <v>0.28000000000000003</v>
      </c>
      <c r="H18" s="14">
        <f t="shared" si="1"/>
        <v>0.8529411764705882</v>
      </c>
      <c r="I18" s="12"/>
    </row>
    <row r="19" spans="2:9" x14ac:dyDescent="0.25">
      <c r="B19" s="13" t="s">
        <v>21</v>
      </c>
      <c r="C19" s="13">
        <v>1.54</v>
      </c>
      <c r="D19" s="18">
        <v>490</v>
      </c>
      <c r="E19" s="18">
        <v>1400</v>
      </c>
      <c r="F19" s="14">
        <f t="shared" si="0"/>
        <v>0.35</v>
      </c>
      <c r="G19" s="13">
        <v>0.35</v>
      </c>
      <c r="H19" s="14">
        <f t="shared" si="1"/>
        <v>1.2545824847250509</v>
      </c>
      <c r="I19" s="12"/>
    </row>
    <row r="20" spans="2:9" x14ac:dyDescent="0.25">
      <c r="B20" s="13" t="s">
        <v>22</v>
      </c>
      <c r="C20" s="13">
        <v>1.49</v>
      </c>
      <c r="D20" s="18">
        <v>690</v>
      </c>
      <c r="E20" s="18">
        <v>999</v>
      </c>
      <c r="F20" s="14">
        <f t="shared" si="0"/>
        <v>0.69069069069069067</v>
      </c>
      <c r="G20" s="13">
        <v>0.35</v>
      </c>
      <c r="H20" s="14">
        <f t="shared" si="1"/>
        <v>1.0283316062176167</v>
      </c>
      <c r="I20" s="12"/>
    </row>
    <row r="21" spans="2:9" x14ac:dyDescent="0.25">
      <c r="B21" s="13" t="s">
        <v>23</v>
      </c>
      <c r="C21" s="13">
        <v>1.34</v>
      </c>
      <c r="D21" s="18">
        <v>710</v>
      </c>
      <c r="E21" s="18">
        <v>1240</v>
      </c>
      <c r="F21" s="14">
        <f t="shared" si="0"/>
        <v>0.57258064516129037</v>
      </c>
      <c r="G21" s="13">
        <v>0.35</v>
      </c>
      <c r="H21" s="14">
        <f t="shared" si="1"/>
        <v>0.97655010285042609</v>
      </c>
      <c r="I21" s="12"/>
    </row>
    <row r="22" spans="2:9" x14ac:dyDescent="0.25">
      <c r="B22" s="13" t="s">
        <v>24</v>
      </c>
      <c r="C22" s="13">
        <v>1.49</v>
      </c>
      <c r="D22" s="18">
        <v>590</v>
      </c>
      <c r="E22" s="18">
        <v>1250</v>
      </c>
      <c r="F22" s="14">
        <f t="shared" si="0"/>
        <v>0.47199999999999998</v>
      </c>
      <c r="G22" s="13">
        <v>0.35</v>
      </c>
      <c r="H22" s="14">
        <f t="shared" si="1"/>
        <v>1.140189776553413</v>
      </c>
      <c r="I22" s="12"/>
    </row>
    <row r="23" spans="2:9" x14ac:dyDescent="0.25">
      <c r="B23" s="15" t="s">
        <v>25</v>
      </c>
      <c r="C23" s="16">
        <f>AVERAGE(C16:C22)</f>
        <v>1.4100000000000001</v>
      </c>
      <c r="D23" s="15"/>
      <c r="E23" s="15"/>
      <c r="F23" s="16">
        <f>AVERAGE(F16:F21)</f>
        <v>0.48681526237989431</v>
      </c>
      <c r="G23" s="15"/>
      <c r="H23" s="16">
        <f>AVERAGE(H16:H21)</f>
        <v>1.0609931960913634</v>
      </c>
      <c r="I23" s="12"/>
    </row>
    <row r="24" spans="2:9" x14ac:dyDescent="0.25">
      <c r="B24" s="8"/>
      <c r="C24" s="28"/>
      <c r="D24" s="8"/>
      <c r="E24" s="8"/>
      <c r="F24" s="28"/>
      <c r="G24" s="8"/>
      <c r="H24" s="28"/>
      <c r="I24" s="12"/>
    </row>
    <row r="25" spans="2:9" x14ac:dyDescent="0.25">
      <c r="B25" s="12"/>
      <c r="C25" s="12"/>
      <c r="D25" s="12"/>
      <c r="E25" s="12"/>
      <c r="F25" s="12"/>
      <c r="G25" s="12"/>
      <c r="H25" s="12"/>
      <c r="I25" s="12"/>
    </row>
    <row r="26" spans="2:9" ht="12" thickBot="1" x14ac:dyDescent="0.3">
      <c r="B26" s="1" t="s">
        <v>26</v>
      </c>
      <c r="C26" s="2"/>
      <c r="D26" s="9"/>
      <c r="E26" s="9"/>
      <c r="F26" s="10"/>
      <c r="G26" s="9"/>
      <c r="H26" s="12"/>
      <c r="I26" s="12"/>
    </row>
    <row r="27" spans="2:9" ht="12" thickTop="1" x14ac:dyDescent="0.25">
      <c r="B27" s="29"/>
      <c r="C27" s="30"/>
      <c r="F27" s="5"/>
      <c r="H27" s="12"/>
      <c r="I27" s="12"/>
    </row>
    <row r="29" spans="2:9" x14ac:dyDescent="0.25">
      <c r="B29" s="4" t="s">
        <v>27</v>
      </c>
    </row>
    <row r="31" spans="2:9" x14ac:dyDescent="0.25">
      <c r="B31" s="22" t="s">
        <v>28</v>
      </c>
      <c r="C31" s="23">
        <f>C7/(C7+(C10*C11))</f>
        <v>9.5294835356983271E-2</v>
      </c>
    </row>
    <row r="32" spans="2:9" x14ac:dyDescent="0.25">
      <c r="B32" s="22" t="s">
        <v>29</v>
      </c>
      <c r="C32" s="23">
        <f>(C10*C11)/(C7+(C10*C11))</f>
        <v>0.90470516464301676</v>
      </c>
      <c r="D32" s="44">
        <f>C31/C32</f>
        <v>0.10533247634834184</v>
      </c>
    </row>
    <row r="33" spans="2:5" x14ac:dyDescent="0.25">
      <c r="B33" s="24" t="s">
        <v>30</v>
      </c>
      <c r="C33" s="25">
        <f>SUM(C31:C32)</f>
        <v>1</v>
      </c>
    </row>
    <row r="34" spans="2:5" x14ac:dyDescent="0.25">
      <c r="D34" s="26"/>
      <c r="E34" s="21"/>
    </row>
    <row r="35" spans="2:5" x14ac:dyDescent="0.25">
      <c r="B35" s="4" t="s">
        <v>31</v>
      </c>
    </row>
    <row r="36" spans="2:5" x14ac:dyDescent="0.25">
      <c r="C36" s="35" t="s">
        <v>6</v>
      </c>
      <c r="D36" s="35" t="s">
        <v>7</v>
      </c>
    </row>
    <row r="37" spans="2:5" x14ac:dyDescent="0.25">
      <c r="B37" s="4" t="s">
        <v>13</v>
      </c>
      <c r="C37" s="47">
        <f>H23*(1+(1-C6)*(C7/(C10*C11)))</f>
        <v>1.149281258270469</v>
      </c>
      <c r="D37" s="48">
        <f>Beta!K11</f>
        <v>1.3256087295470205</v>
      </c>
    </row>
    <row r="38" spans="2:5" x14ac:dyDescent="0.25">
      <c r="C38" s="21"/>
    </row>
    <row r="39" spans="2:5" x14ac:dyDescent="0.25">
      <c r="B39" s="4" t="s">
        <v>32</v>
      </c>
      <c r="C39" s="27">
        <f>C8+D37*(D9-C8)</f>
        <v>0.1483200538392728</v>
      </c>
    </row>
    <row r="41" spans="2:5" x14ac:dyDescent="0.25">
      <c r="B41" s="4" t="s">
        <v>33</v>
      </c>
    </row>
    <row r="43" spans="2:5" x14ac:dyDescent="0.25">
      <c r="B43" s="4" t="s">
        <v>34</v>
      </c>
      <c r="C43" s="27">
        <f>C5*(1-C6)</f>
        <v>1.3345394595983386E-2</v>
      </c>
    </row>
    <row r="46" spans="2:5" x14ac:dyDescent="0.25">
      <c r="B46" s="4" t="s">
        <v>35</v>
      </c>
      <c r="C46" s="11"/>
    </row>
    <row r="48" spans="2:5" x14ac:dyDescent="0.25">
      <c r="B48" s="4" t="s">
        <v>0</v>
      </c>
      <c r="C48" s="27">
        <f>(C32*C39)+(C31*C43)</f>
        <v>0.1354576659093186</v>
      </c>
    </row>
  </sheetData>
  <mergeCells count="1">
    <mergeCell ref="B14:H14"/>
  </mergeCells>
  <phoneticPr fontId="13" type="noConversion"/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9147-9C81-4BAE-9350-B7586C22A3EA}">
  <dimension ref="A1:I18"/>
  <sheetViews>
    <sheetView workbookViewId="0">
      <selection activeCell="F34" sqref="F34"/>
    </sheetView>
  </sheetViews>
  <sheetFormatPr defaultRowHeight="14" x14ac:dyDescent="0.3"/>
  <cols>
    <col min="1" max="1" width="16.3984375" customWidth="1"/>
    <col min="2" max="2" width="16.8984375" customWidth="1"/>
    <col min="3" max="3" width="14.3984375" customWidth="1"/>
    <col min="4" max="4" width="10.8984375" customWidth="1"/>
    <col min="5" max="5" width="13.09765625" customWidth="1"/>
    <col min="6" max="6" width="13.8984375" customWidth="1"/>
    <col min="7" max="7" width="12" customWidth="1"/>
    <col min="8" max="8" width="13.8984375" customWidth="1"/>
    <col min="9" max="9" width="13.09765625" customWidth="1"/>
  </cols>
  <sheetData>
    <row r="1" spans="1:9" x14ac:dyDescent="0.3">
      <c r="A1" t="s">
        <v>36</v>
      </c>
    </row>
    <row r="2" spans="1:9" ht="14.5" thickBot="1" x14ac:dyDescent="0.35"/>
    <row r="3" spans="1:9" x14ac:dyDescent="0.3">
      <c r="A3" s="60" t="s">
        <v>37</v>
      </c>
      <c r="B3" s="60"/>
    </row>
    <row r="4" spans="1:9" x14ac:dyDescent="0.3">
      <c r="A4" t="s">
        <v>38</v>
      </c>
      <c r="B4">
        <v>0.62123059233520161</v>
      </c>
    </row>
    <row r="5" spans="1:9" x14ac:dyDescent="0.3">
      <c r="A5" t="s">
        <v>39</v>
      </c>
      <c r="B5">
        <v>0.38592744885314545</v>
      </c>
    </row>
    <row r="6" spans="1:9" x14ac:dyDescent="0.3">
      <c r="A6" t="s">
        <v>40</v>
      </c>
      <c r="B6">
        <v>0.38067896551000996</v>
      </c>
    </row>
    <row r="7" spans="1:9" x14ac:dyDescent="0.3">
      <c r="A7" t="s">
        <v>41</v>
      </c>
      <c r="B7">
        <v>7.2132935958257691E-2</v>
      </c>
    </row>
    <row r="8" spans="1:9" ht="14.5" thickBot="1" x14ac:dyDescent="0.35">
      <c r="A8" s="58" t="s">
        <v>42</v>
      </c>
      <c r="B8" s="58">
        <v>119</v>
      </c>
    </row>
    <row r="10" spans="1:9" ht="14.5" thickBot="1" x14ac:dyDescent="0.35">
      <c r="A10" t="s">
        <v>43</v>
      </c>
    </row>
    <row r="11" spans="1:9" x14ac:dyDescent="0.3">
      <c r="A11" s="59"/>
      <c r="B11" s="59" t="s">
        <v>44</v>
      </c>
      <c r="C11" s="59" t="s">
        <v>45</v>
      </c>
      <c r="D11" s="59" t="s">
        <v>46</v>
      </c>
      <c r="E11" s="59" t="s">
        <v>47</v>
      </c>
      <c r="F11" s="59" t="s">
        <v>48</v>
      </c>
    </row>
    <row r="12" spans="1:9" x14ac:dyDescent="0.3">
      <c r="A12" t="s">
        <v>49</v>
      </c>
      <c r="B12">
        <v>1</v>
      </c>
      <c r="C12">
        <v>0.38259480065841012</v>
      </c>
      <c r="D12">
        <v>0.38259480065841012</v>
      </c>
      <c r="E12">
        <v>73.531232476501984</v>
      </c>
      <c r="F12">
        <v>4.7740840102859675E-14</v>
      </c>
    </row>
    <row r="13" spans="1:9" x14ac:dyDescent="0.3">
      <c r="A13" t="s">
        <v>50</v>
      </c>
      <c r="B13">
        <v>117</v>
      </c>
      <c r="C13">
        <v>0.60876977264509835</v>
      </c>
      <c r="D13">
        <v>5.2031604499581056E-3</v>
      </c>
    </row>
    <row r="14" spans="1:9" ht="14.5" thickBot="1" x14ac:dyDescent="0.35">
      <c r="A14" s="58" t="s">
        <v>51</v>
      </c>
      <c r="B14" s="58">
        <v>118</v>
      </c>
      <c r="C14" s="58">
        <v>0.99136457330350847</v>
      </c>
      <c r="D14" s="58"/>
      <c r="E14" s="58"/>
      <c r="F14" s="58"/>
    </row>
    <row r="15" spans="1:9" ht="14.5" thickBot="1" x14ac:dyDescent="0.35"/>
    <row r="16" spans="1:9" x14ac:dyDescent="0.3">
      <c r="A16" s="59"/>
      <c r="B16" s="59" t="s">
        <v>52</v>
      </c>
      <c r="C16" s="59" t="s">
        <v>41</v>
      </c>
      <c r="D16" s="59" t="s">
        <v>53</v>
      </c>
      <c r="E16" s="59" t="s">
        <v>54</v>
      </c>
      <c r="F16" s="59" t="s">
        <v>55</v>
      </c>
      <c r="G16" s="59" t="s">
        <v>56</v>
      </c>
      <c r="H16" s="59" t="s">
        <v>57</v>
      </c>
      <c r="I16" s="59" t="s">
        <v>58</v>
      </c>
    </row>
    <row r="17" spans="1:9" x14ac:dyDescent="0.3">
      <c r="A17" t="s">
        <v>59</v>
      </c>
      <c r="B17">
        <v>-0.31500016012321508</v>
      </c>
      <c r="C17">
        <v>0.15616429138575227</v>
      </c>
      <c r="D17">
        <v>-2.0171074791042423</v>
      </c>
      <c r="E17">
        <v>4.5973408467226438E-2</v>
      </c>
      <c r="F17">
        <v>-0.62427535599822348</v>
      </c>
      <c r="G17">
        <v>-5.7249642482066765E-3</v>
      </c>
      <c r="H17">
        <v>-0.62427535599822348</v>
      </c>
      <c r="I17">
        <v>-5.7249642482066765E-3</v>
      </c>
    </row>
    <row r="18" spans="1:9" ht="14.5" thickBot="1" x14ac:dyDescent="0.35">
      <c r="A18" s="58" t="s">
        <v>60</v>
      </c>
      <c r="B18" s="58">
        <v>1.3256087295470216</v>
      </c>
      <c r="C18" s="58">
        <v>0.15458930073393026</v>
      </c>
      <c r="D18" s="58">
        <v>8.575035421297228</v>
      </c>
      <c r="E18" s="58">
        <v>4.7740840102857611E-14</v>
      </c>
      <c r="F18" s="58">
        <v>1.0194527201263628</v>
      </c>
      <c r="G18" s="58">
        <v>1.6317647389676804</v>
      </c>
      <c r="H18" s="58">
        <v>1.0194527201263628</v>
      </c>
      <c r="I18" s="58">
        <v>1.6317647389676804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D3CB-F0A3-4316-9AAF-41671F9E7B0E}">
  <dimension ref="A1:P121"/>
  <sheetViews>
    <sheetView topLeftCell="A34" zoomScale="145" zoomScaleNormal="145" workbookViewId="0">
      <selection activeCell="J34" sqref="J34"/>
    </sheetView>
  </sheetViews>
  <sheetFormatPr defaultColWidth="9.09765625" defaultRowHeight="14.5" x14ac:dyDescent="0.35"/>
  <cols>
    <col min="1" max="1" width="17.3984375" style="31" customWidth="1"/>
    <col min="2" max="2" width="14.8984375" style="31" customWidth="1"/>
    <col min="3" max="3" width="9.09765625" style="31"/>
    <col min="4" max="4" width="16.3984375" style="31" customWidth="1"/>
    <col min="5" max="5" width="12.69921875" style="31" customWidth="1"/>
    <col min="6" max="6" width="19" style="31" customWidth="1"/>
    <col min="7" max="11" width="9.09765625" style="31"/>
    <col min="12" max="12" width="12" style="31" bestFit="1" customWidth="1"/>
    <col min="13" max="13" width="9.09765625" style="31"/>
    <col min="14" max="14" width="13.09765625" style="31" customWidth="1"/>
    <col min="15" max="16384" width="9.09765625" style="31"/>
  </cols>
  <sheetData>
    <row r="1" spans="1:16" x14ac:dyDescent="0.35">
      <c r="A1" s="31" t="s">
        <v>61</v>
      </c>
      <c r="B1" s="31" t="s">
        <v>62</v>
      </c>
      <c r="C1" s="31" t="s">
        <v>63</v>
      </c>
      <c r="D1" s="31" t="s">
        <v>61</v>
      </c>
      <c r="E1" s="31" t="s">
        <v>64</v>
      </c>
      <c r="F1" s="31" t="s">
        <v>65</v>
      </c>
    </row>
    <row r="2" spans="1:16" x14ac:dyDescent="0.35">
      <c r="A2" s="54">
        <v>41282</v>
      </c>
      <c r="B2" s="55">
        <v>14.048999999999999</v>
      </c>
      <c r="D2" s="50">
        <v>41282</v>
      </c>
      <c r="E2" s="51">
        <v>1632.97</v>
      </c>
    </row>
    <row r="3" spans="1:16" x14ac:dyDescent="0.35">
      <c r="A3" s="56">
        <v>41283</v>
      </c>
      <c r="B3" s="57">
        <v>15.632</v>
      </c>
      <c r="C3" s="31">
        <f t="shared" ref="C3:C34" si="0">(B3/B2)</f>
        <v>1.1126770588653996</v>
      </c>
      <c r="D3" s="52">
        <v>41283</v>
      </c>
      <c r="E3" s="53">
        <v>1681.55</v>
      </c>
      <c r="F3" s="31">
        <f t="shared" ref="F3:F34" si="1">(E3/E2)</f>
        <v>1.0297494748831884</v>
      </c>
    </row>
    <row r="4" spans="1:16" ht="15.65" customHeight="1" x14ac:dyDescent="0.35">
      <c r="A4" s="54">
        <v>41284</v>
      </c>
      <c r="B4" s="55">
        <v>18.201499999999999</v>
      </c>
      <c r="C4" s="31">
        <f t="shared" si="0"/>
        <v>1.1643743602865917</v>
      </c>
      <c r="D4" s="50">
        <v>41284</v>
      </c>
      <c r="E4" s="51">
        <v>1756.54</v>
      </c>
      <c r="F4" s="31">
        <f t="shared" si="1"/>
        <v>1.0445957598644109</v>
      </c>
    </row>
    <row r="5" spans="1:16" x14ac:dyDescent="0.35">
      <c r="A5" s="56">
        <v>41285</v>
      </c>
      <c r="B5" s="57">
        <v>19.681000000000001</v>
      </c>
      <c r="C5" s="31">
        <f t="shared" si="0"/>
        <v>1.0812845095184465</v>
      </c>
      <c r="D5" s="52">
        <v>41285</v>
      </c>
      <c r="E5" s="53">
        <v>1805.81</v>
      </c>
      <c r="F5" s="31">
        <f>(E5/E4)</f>
        <v>1.0280494608719415</v>
      </c>
      <c r="J5" s="31" t="s">
        <v>66</v>
      </c>
    </row>
    <row r="6" spans="1:16" ht="13.15" customHeight="1" x14ac:dyDescent="0.35">
      <c r="A6" s="54">
        <v>41286</v>
      </c>
      <c r="B6" s="55">
        <v>19.939499999999999</v>
      </c>
      <c r="C6" s="31">
        <f t="shared" si="0"/>
        <v>1.0131344951984147</v>
      </c>
      <c r="D6" s="50">
        <v>41286</v>
      </c>
      <c r="E6" s="51">
        <v>1848.36</v>
      </c>
      <c r="F6" s="31">
        <f t="shared" si="1"/>
        <v>1.0235628332991842</v>
      </c>
      <c r="J6" s="31" t="s">
        <v>67</v>
      </c>
    </row>
    <row r="7" spans="1:16" x14ac:dyDescent="0.35">
      <c r="A7" s="56">
        <v>41640</v>
      </c>
      <c r="B7" s="57">
        <v>17.9345</v>
      </c>
      <c r="C7" s="31">
        <f t="shared" si="0"/>
        <v>0.89944582361643977</v>
      </c>
      <c r="D7" s="52">
        <v>41640</v>
      </c>
      <c r="E7" s="53">
        <v>1782.59</v>
      </c>
      <c r="F7" s="31">
        <f t="shared" si="1"/>
        <v>0.96441710489298627</v>
      </c>
      <c r="J7" s="31" t="s">
        <v>68</v>
      </c>
    </row>
    <row r="8" spans="1:16" x14ac:dyDescent="0.35">
      <c r="A8" s="54">
        <v>41641</v>
      </c>
      <c r="B8" s="55">
        <v>18.105</v>
      </c>
      <c r="C8" s="31">
        <f t="shared" si="0"/>
        <v>1.0095068164710475</v>
      </c>
      <c r="D8" s="50">
        <v>41641</v>
      </c>
      <c r="E8" s="51">
        <v>1859.45</v>
      </c>
      <c r="F8" s="31">
        <f t="shared" si="1"/>
        <v>1.0431170375689307</v>
      </c>
      <c r="J8" s="31" t="s">
        <v>69</v>
      </c>
    </row>
    <row r="9" spans="1:16" x14ac:dyDescent="0.35">
      <c r="A9" s="56">
        <v>41642</v>
      </c>
      <c r="B9" s="57">
        <v>16.8185</v>
      </c>
      <c r="C9" s="31">
        <f t="shared" si="0"/>
        <v>0.92894228113780719</v>
      </c>
      <c r="D9" s="52">
        <v>41642</v>
      </c>
      <c r="E9" s="53">
        <v>1872.34</v>
      </c>
      <c r="F9" s="31">
        <f t="shared" si="1"/>
        <v>1.0069321573583585</v>
      </c>
      <c r="J9" s="31" t="s">
        <v>70</v>
      </c>
    </row>
    <row r="10" spans="1:16" x14ac:dyDescent="0.35">
      <c r="A10" s="54">
        <v>41643</v>
      </c>
      <c r="B10" s="55">
        <v>15.2065</v>
      </c>
      <c r="C10" s="31">
        <f t="shared" si="0"/>
        <v>0.90415316466985762</v>
      </c>
      <c r="D10" s="50">
        <v>41643</v>
      </c>
      <c r="E10" s="51">
        <v>1883.95</v>
      </c>
      <c r="F10" s="31">
        <f t="shared" si="1"/>
        <v>1.0062007968638176</v>
      </c>
    </row>
    <row r="11" spans="1:16" x14ac:dyDescent="0.35">
      <c r="A11" s="56">
        <v>41644</v>
      </c>
      <c r="B11" s="57">
        <v>15.6275</v>
      </c>
      <c r="C11" s="31">
        <f t="shared" si="0"/>
        <v>1.0276855292144806</v>
      </c>
      <c r="D11" s="52">
        <v>41644</v>
      </c>
      <c r="E11" s="53">
        <v>1923.57</v>
      </c>
      <c r="F11" s="31">
        <f t="shared" si="1"/>
        <v>1.0210302821200137</v>
      </c>
      <c r="J11" s="31" t="s">
        <v>71</v>
      </c>
      <c r="K11" s="31">
        <f>SLOPE(C3:C121,F3:F121)</f>
        <v>1.3256087295470205</v>
      </c>
      <c r="P11" s="33"/>
    </row>
    <row r="12" spans="1:16" x14ac:dyDescent="0.35">
      <c r="A12" s="54">
        <v>41645</v>
      </c>
      <c r="B12" s="55">
        <v>16.239000000000001</v>
      </c>
      <c r="C12" s="31">
        <f t="shared" si="0"/>
        <v>1.0391297392417214</v>
      </c>
      <c r="D12" s="50">
        <v>41645</v>
      </c>
      <c r="E12" s="51">
        <v>1960.23</v>
      </c>
      <c r="F12" s="31">
        <f t="shared" si="1"/>
        <v>1.0190583134484319</v>
      </c>
    </row>
    <row r="13" spans="1:16" x14ac:dyDescent="0.35">
      <c r="A13" s="56">
        <v>41646</v>
      </c>
      <c r="B13" s="57">
        <v>15.6495</v>
      </c>
      <c r="C13" s="31">
        <f t="shared" si="0"/>
        <v>0.96369850360243847</v>
      </c>
      <c r="D13" s="52">
        <v>41646</v>
      </c>
      <c r="E13" s="53">
        <v>1930.67</v>
      </c>
      <c r="F13" s="31">
        <f t="shared" si="1"/>
        <v>0.98492013692270808</v>
      </c>
    </row>
    <row r="14" spans="1:16" x14ac:dyDescent="0.35">
      <c r="A14" s="54">
        <v>41647</v>
      </c>
      <c r="B14" s="55">
        <v>16.952000000000002</v>
      </c>
      <c r="C14" s="31">
        <f t="shared" si="0"/>
        <v>1.0832294961500368</v>
      </c>
      <c r="D14" s="50">
        <v>41647</v>
      </c>
      <c r="E14" s="51">
        <v>2003.37</v>
      </c>
      <c r="F14" s="31">
        <f t="shared" si="1"/>
        <v>1.0376553217276903</v>
      </c>
    </row>
    <row r="15" spans="1:16" x14ac:dyDescent="0.35">
      <c r="A15" s="56">
        <v>41648</v>
      </c>
      <c r="B15" s="57">
        <v>16.122</v>
      </c>
      <c r="C15" s="31">
        <f t="shared" si="0"/>
        <v>0.9510382255781028</v>
      </c>
      <c r="D15" s="52">
        <v>41648</v>
      </c>
      <c r="E15" s="53">
        <v>1972.29</v>
      </c>
      <c r="F15" s="31">
        <f t="shared" si="1"/>
        <v>0.98448614085266328</v>
      </c>
      <c r="K15" s="31" t="s">
        <v>72</v>
      </c>
    </row>
    <row r="16" spans="1:16" x14ac:dyDescent="0.35">
      <c r="A16" s="54">
        <v>41649</v>
      </c>
      <c r="B16" s="55">
        <v>15.273</v>
      </c>
      <c r="C16" s="31">
        <f t="shared" si="0"/>
        <v>0.94733903982136214</v>
      </c>
      <c r="D16" s="50">
        <v>41649</v>
      </c>
      <c r="E16" s="51">
        <v>2018.05</v>
      </c>
      <c r="F16" s="31">
        <f t="shared" si="1"/>
        <v>1.0232014561753089</v>
      </c>
      <c r="K16" s="31">
        <f>GEOMEAN(F3:F62)</f>
        <v>1.0096266121716369</v>
      </c>
    </row>
    <row r="17" spans="1:15" x14ac:dyDescent="0.35">
      <c r="A17" s="56">
        <v>41650</v>
      </c>
      <c r="B17" s="57">
        <v>16.931999999999999</v>
      </c>
      <c r="C17" s="31">
        <f t="shared" si="0"/>
        <v>1.1086230603024945</v>
      </c>
      <c r="D17" s="52">
        <v>41650</v>
      </c>
      <c r="E17" s="53">
        <v>2067.56</v>
      </c>
      <c r="F17" s="31">
        <f t="shared" si="1"/>
        <v>1.024533584400783</v>
      </c>
      <c r="K17" s="32">
        <f>GEOMEAN(F3:F62)-1</f>
        <v>9.6266121716368502E-3</v>
      </c>
      <c r="L17" s="31" t="s">
        <v>73</v>
      </c>
      <c r="O17" s="31" t="s">
        <v>74</v>
      </c>
    </row>
    <row r="18" spans="1:15" x14ac:dyDescent="0.35">
      <c r="A18" s="54">
        <v>41651</v>
      </c>
      <c r="B18" s="55">
        <v>15.5175</v>
      </c>
      <c r="C18" s="31">
        <f t="shared" si="0"/>
        <v>0.91645995747696674</v>
      </c>
      <c r="D18" s="50">
        <v>41651</v>
      </c>
      <c r="E18" s="51">
        <v>2058.9</v>
      </c>
      <c r="F18" s="31">
        <f t="shared" si="1"/>
        <v>0.99581148793747221</v>
      </c>
      <c r="J18" s="39" t="s">
        <v>75</v>
      </c>
      <c r="K18" s="32">
        <f>EFFECT(K17*12,12)</f>
        <v>0.12183625815523746</v>
      </c>
      <c r="L18" s="31" t="s">
        <v>76</v>
      </c>
      <c r="O18" s="31" t="s">
        <v>77</v>
      </c>
    </row>
    <row r="19" spans="1:15" x14ac:dyDescent="0.35">
      <c r="A19" s="56">
        <v>42005</v>
      </c>
      <c r="B19" s="57">
        <v>17.726500000000001</v>
      </c>
      <c r="C19" s="31">
        <f t="shared" si="0"/>
        <v>1.1423554051876914</v>
      </c>
      <c r="D19" s="52">
        <v>42005</v>
      </c>
      <c r="E19" s="53">
        <v>1994.99</v>
      </c>
      <c r="F19" s="31">
        <f t="shared" si="1"/>
        <v>0.96895915294574764</v>
      </c>
    </row>
    <row r="20" spans="1:15" x14ac:dyDescent="0.35">
      <c r="A20" s="54">
        <v>42006</v>
      </c>
      <c r="B20" s="55">
        <v>19.007999999999999</v>
      </c>
      <c r="C20" s="31">
        <f t="shared" si="0"/>
        <v>1.072292894818492</v>
      </c>
      <c r="D20" s="50">
        <v>42006</v>
      </c>
      <c r="E20" s="51">
        <v>2104.5</v>
      </c>
      <c r="F20" s="31">
        <f t="shared" si="1"/>
        <v>1.0548925057268457</v>
      </c>
      <c r="K20" s="61">
        <f>(1+K17)^12-1</f>
        <v>0.12183625815523746</v>
      </c>
    </row>
    <row r="21" spans="1:15" x14ac:dyDescent="0.35">
      <c r="A21" s="56">
        <v>42007</v>
      </c>
      <c r="B21" s="57">
        <v>18.605</v>
      </c>
      <c r="C21" s="31">
        <f t="shared" si="0"/>
        <v>0.97879840067340074</v>
      </c>
      <c r="D21" s="52">
        <v>42007</v>
      </c>
      <c r="E21" s="53">
        <v>2067.89</v>
      </c>
      <c r="F21" s="31">
        <f t="shared" si="1"/>
        <v>0.98260394392967443</v>
      </c>
      <c r="L21" s="61"/>
    </row>
    <row r="22" spans="1:15" x14ac:dyDescent="0.35">
      <c r="A22" s="54">
        <v>42008</v>
      </c>
      <c r="B22" s="55">
        <v>21.088999999999999</v>
      </c>
      <c r="C22" s="31">
        <f t="shared" si="0"/>
        <v>1.133512496640688</v>
      </c>
      <c r="D22" s="50">
        <v>42008</v>
      </c>
      <c r="E22" s="51">
        <v>2085.5100000000002</v>
      </c>
      <c r="F22" s="31">
        <f t="shared" si="1"/>
        <v>1.0085207627098154</v>
      </c>
      <c r="K22" s="62">
        <v>0.1</v>
      </c>
    </row>
    <row r="23" spans="1:15" x14ac:dyDescent="0.35">
      <c r="A23" s="56">
        <v>42009</v>
      </c>
      <c r="B23" s="57">
        <v>21.461500000000001</v>
      </c>
      <c r="C23" s="31">
        <f t="shared" si="0"/>
        <v>1.0176632367584999</v>
      </c>
      <c r="D23" s="52">
        <v>42009</v>
      </c>
      <c r="E23" s="53">
        <v>2107.39</v>
      </c>
      <c r="F23" s="31">
        <f t="shared" si="1"/>
        <v>1.0104914385450081</v>
      </c>
    </row>
    <row r="24" spans="1:15" x14ac:dyDescent="0.35">
      <c r="A24" s="54">
        <v>42010</v>
      </c>
      <c r="B24" s="55">
        <v>21.704499999999999</v>
      </c>
      <c r="C24" s="31">
        <f t="shared" si="0"/>
        <v>1.0113226009365608</v>
      </c>
      <c r="D24" s="50">
        <v>42010</v>
      </c>
      <c r="E24" s="51">
        <v>2063.11</v>
      </c>
      <c r="F24" s="31">
        <f t="shared" si="1"/>
        <v>0.9789882271435284</v>
      </c>
      <c r="K24" s="38">
        <f>K22/2</f>
        <v>0.05</v>
      </c>
    </row>
    <row r="25" spans="1:15" x14ac:dyDescent="0.35">
      <c r="A25" s="56">
        <v>42011</v>
      </c>
      <c r="B25" s="57">
        <v>26.807500000000001</v>
      </c>
      <c r="C25" s="31">
        <f t="shared" si="0"/>
        <v>1.2351125342670874</v>
      </c>
      <c r="D25" s="52">
        <v>42011</v>
      </c>
      <c r="E25" s="53">
        <v>2103.84</v>
      </c>
      <c r="F25" s="31">
        <f t="shared" si="1"/>
        <v>1.0197420399300086</v>
      </c>
    </row>
    <row r="26" spans="1:15" x14ac:dyDescent="0.35">
      <c r="A26" s="54">
        <v>42012</v>
      </c>
      <c r="B26" s="55">
        <v>25.644500000000001</v>
      </c>
      <c r="C26" s="31">
        <f t="shared" si="0"/>
        <v>0.95661661848363333</v>
      </c>
      <c r="D26" s="50">
        <v>42012</v>
      </c>
      <c r="E26" s="51">
        <v>1972.18</v>
      </c>
      <c r="F26" s="31">
        <f t="shared" si="1"/>
        <v>0.93741919537607421</v>
      </c>
      <c r="K26" s="61">
        <f>((1+K24)^2)</f>
        <v>1.1025</v>
      </c>
    </row>
    <row r="27" spans="1:15" x14ac:dyDescent="0.35">
      <c r="A27" s="56">
        <v>42013</v>
      </c>
      <c r="B27" s="57">
        <v>25.5945</v>
      </c>
      <c r="C27" s="31">
        <f t="shared" si="0"/>
        <v>0.99805026418920229</v>
      </c>
      <c r="D27" s="52">
        <v>42013</v>
      </c>
      <c r="E27" s="53">
        <v>1920.03</v>
      </c>
      <c r="F27" s="31">
        <f t="shared" si="1"/>
        <v>0.97355718037907291</v>
      </c>
      <c r="K27" s="62"/>
    </row>
    <row r="28" spans="1:15" x14ac:dyDescent="0.35">
      <c r="A28" s="54">
        <v>42014</v>
      </c>
      <c r="B28" s="55">
        <v>31.295000000000002</v>
      </c>
      <c r="C28" s="31">
        <f t="shared" si="0"/>
        <v>1.222723632030319</v>
      </c>
      <c r="D28" s="50">
        <v>42014</v>
      </c>
      <c r="E28" s="51">
        <v>2079.36</v>
      </c>
      <c r="F28" s="31">
        <f t="shared" si="1"/>
        <v>1.0829830783894003</v>
      </c>
      <c r="K28" s="31">
        <v>100</v>
      </c>
      <c r="L28" s="31">
        <f>K28*(K26)^2</f>
        <v>121.550625</v>
      </c>
    </row>
    <row r="29" spans="1:15" x14ac:dyDescent="0.35">
      <c r="A29" s="56">
        <v>42015</v>
      </c>
      <c r="B29" s="57">
        <v>33.24</v>
      </c>
      <c r="C29" s="31">
        <f t="shared" si="0"/>
        <v>1.0621505032752836</v>
      </c>
      <c r="D29" s="52">
        <v>42015</v>
      </c>
      <c r="E29" s="53">
        <v>2080.41</v>
      </c>
      <c r="F29" s="31">
        <f t="shared" si="1"/>
        <v>1.0005049630655585</v>
      </c>
    </row>
    <row r="30" spans="1:15" x14ac:dyDescent="0.35">
      <c r="A30" s="54">
        <v>42016</v>
      </c>
      <c r="B30" s="55">
        <v>33.794499999999999</v>
      </c>
      <c r="C30" s="31">
        <f t="shared" si="0"/>
        <v>1.0166817087845967</v>
      </c>
      <c r="D30" s="50">
        <v>42016</v>
      </c>
      <c r="E30" s="51">
        <v>2043.94</v>
      </c>
      <c r="F30" s="31">
        <f t="shared" si="1"/>
        <v>0.98246980162564124</v>
      </c>
    </row>
    <row r="31" spans="1:15" x14ac:dyDescent="0.35">
      <c r="A31" s="56">
        <v>42370</v>
      </c>
      <c r="B31" s="57">
        <v>29.35</v>
      </c>
      <c r="C31" s="31">
        <f t="shared" si="0"/>
        <v>0.86848451671129923</v>
      </c>
      <c r="D31" s="52">
        <v>42370</v>
      </c>
      <c r="E31" s="53">
        <v>1940.24</v>
      </c>
      <c r="F31" s="31">
        <f t="shared" si="1"/>
        <v>0.94926465551826378</v>
      </c>
    </row>
    <row r="32" spans="1:15" x14ac:dyDescent="0.35">
      <c r="A32" s="54">
        <v>42371</v>
      </c>
      <c r="B32" s="55">
        <v>27.626000000000001</v>
      </c>
      <c r="C32" s="31">
        <f t="shared" si="0"/>
        <v>0.94126064735945481</v>
      </c>
      <c r="D32" s="50">
        <v>42371</v>
      </c>
      <c r="E32" s="51">
        <v>1932.23</v>
      </c>
      <c r="F32" s="31">
        <f t="shared" si="1"/>
        <v>0.99587164474498002</v>
      </c>
    </row>
    <row r="33" spans="1:6" x14ac:dyDescent="0.35">
      <c r="A33" s="56">
        <v>42372</v>
      </c>
      <c r="B33" s="57">
        <v>29.681999999999999</v>
      </c>
      <c r="C33" s="31">
        <f t="shared" si="0"/>
        <v>1.0744226453341055</v>
      </c>
      <c r="D33" s="52">
        <v>42372</v>
      </c>
      <c r="E33" s="53">
        <v>2059.7399999999998</v>
      </c>
      <c r="F33" s="31">
        <f t="shared" si="1"/>
        <v>1.0659911087189411</v>
      </c>
    </row>
    <row r="34" spans="1:6" x14ac:dyDescent="0.35">
      <c r="A34" s="54">
        <v>42373</v>
      </c>
      <c r="B34" s="55">
        <v>32.979500000000002</v>
      </c>
      <c r="C34" s="31">
        <f t="shared" si="0"/>
        <v>1.1110942658850482</v>
      </c>
      <c r="D34" s="50">
        <v>42373</v>
      </c>
      <c r="E34" s="51">
        <v>2065.3000000000002</v>
      </c>
      <c r="F34" s="31">
        <f t="shared" si="1"/>
        <v>1.0026993698233759</v>
      </c>
    </row>
    <row r="35" spans="1:6" x14ac:dyDescent="0.35">
      <c r="A35" s="56">
        <v>42374</v>
      </c>
      <c r="B35" s="57">
        <v>36.139499999999998</v>
      </c>
      <c r="C35" s="31">
        <f t="shared" ref="C35:C98" si="2">(B35/B34)</f>
        <v>1.0958170985005835</v>
      </c>
      <c r="D35" s="52">
        <v>42374</v>
      </c>
      <c r="E35" s="53">
        <v>2096.9499999999998</v>
      </c>
      <c r="F35" s="31">
        <f t="shared" ref="F35:F98" si="3">(E35/E34)</f>
        <v>1.0153246501718878</v>
      </c>
    </row>
    <row r="36" spans="1:6" x14ac:dyDescent="0.35">
      <c r="A36" s="54">
        <v>42375</v>
      </c>
      <c r="B36" s="55">
        <v>35.780999999999999</v>
      </c>
      <c r="C36" s="31">
        <f t="shared" si="2"/>
        <v>0.99008010625492882</v>
      </c>
      <c r="D36" s="50">
        <v>42375</v>
      </c>
      <c r="E36" s="51">
        <v>2098.86</v>
      </c>
      <c r="F36" s="31">
        <f t="shared" si="3"/>
        <v>1.0009108467059302</v>
      </c>
    </row>
    <row r="37" spans="1:6" x14ac:dyDescent="0.35">
      <c r="A37" s="56">
        <v>42376</v>
      </c>
      <c r="B37" s="57">
        <v>37.9405</v>
      </c>
      <c r="C37" s="31">
        <f t="shared" si="2"/>
        <v>1.0603532601101144</v>
      </c>
      <c r="D37" s="52">
        <v>42376</v>
      </c>
      <c r="E37" s="53">
        <v>2173.6</v>
      </c>
      <c r="F37" s="31">
        <f t="shared" si="3"/>
        <v>1.0356098072286859</v>
      </c>
    </row>
    <row r="38" spans="1:6" x14ac:dyDescent="0.35">
      <c r="A38" s="54">
        <v>42377</v>
      </c>
      <c r="B38" s="55">
        <v>38.457999999999998</v>
      </c>
      <c r="C38" s="31">
        <f t="shared" si="2"/>
        <v>1.0136397780735624</v>
      </c>
      <c r="D38" s="50">
        <v>42377</v>
      </c>
      <c r="E38" s="51">
        <v>2170.9499999999998</v>
      </c>
      <c r="F38" s="31">
        <f t="shared" si="3"/>
        <v>0.99878082443871918</v>
      </c>
    </row>
    <row r="39" spans="1:6" x14ac:dyDescent="0.35">
      <c r="A39" s="56">
        <v>42378</v>
      </c>
      <c r="B39" s="57">
        <v>41.865499999999997</v>
      </c>
      <c r="C39" s="31">
        <f t="shared" si="2"/>
        <v>1.088603151489937</v>
      </c>
      <c r="D39" s="52">
        <v>42378</v>
      </c>
      <c r="E39" s="53">
        <v>2168.27</v>
      </c>
      <c r="F39" s="31">
        <f t="shared" si="3"/>
        <v>0.99876551740021657</v>
      </c>
    </row>
    <row r="40" spans="1:6" x14ac:dyDescent="0.35">
      <c r="A40" s="54">
        <v>42379</v>
      </c>
      <c r="B40" s="55">
        <v>39.491</v>
      </c>
      <c r="C40" s="31">
        <f t="shared" si="2"/>
        <v>0.94328265516953103</v>
      </c>
      <c r="D40" s="50">
        <v>42379</v>
      </c>
      <c r="E40" s="51">
        <v>2126.15</v>
      </c>
      <c r="F40" s="31">
        <f t="shared" si="3"/>
        <v>0.98057437496252775</v>
      </c>
    </row>
    <row r="41" spans="1:6" x14ac:dyDescent="0.35">
      <c r="A41" s="56">
        <v>42380</v>
      </c>
      <c r="B41" s="57">
        <v>37.528500000000001</v>
      </c>
      <c r="C41" s="31">
        <f t="shared" si="2"/>
        <v>0.95030513281507178</v>
      </c>
      <c r="D41" s="52">
        <v>42380</v>
      </c>
      <c r="E41" s="53">
        <v>2198.81</v>
      </c>
      <c r="F41" s="31">
        <f t="shared" si="3"/>
        <v>1.0341744467699832</v>
      </c>
    </row>
    <row r="42" spans="1:6" x14ac:dyDescent="0.35">
      <c r="A42" s="54">
        <v>42381</v>
      </c>
      <c r="B42" s="55">
        <v>37.493499999999997</v>
      </c>
      <c r="C42" s="31">
        <f t="shared" si="2"/>
        <v>0.99906737546131597</v>
      </c>
      <c r="D42" s="50">
        <v>42381</v>
      </c>
      <c r="E42" s="51">
        <v>2238.83</v>
      </c>
      <c r="F42" s="31">
        <f t="shared" si="3"/>
        <v>1.018200754044233</v>
      </c>
    </row>
    <row r="43" spans="1:6" x14ac:dyDescent="0.35">
      <c r="A43" s="56">
        <v>42736</v>
      </c>
      <c r="B43" s="57">
        <v>41.173999999999999</v>
      </c>
      <c r="C43" s="31">
        <f t="shared" si="2"/>
        <v>1.0981636817048288</v>
      </c>
      <c r="D43" s="52">
        <v>42736</v>
      </c>
      <c r="E43" s="53">
        <v>2278.87</v>
      </c>
      <c r="F43" s="31">
        <f t="shared" si="3"/>
        <v>1.0178843413747358</v>
      </c>
    </row>
    <row r="44" spans="1:6" x14ac:dyDescent="0.35">
      <c r="A44" s="54">
        <v>42737</v>
      </c>
      <c r="B44" s="55">
        <v>42.252000000000002</v>
      </c>
      <c r="C44" s="31">
        <f t="shared" si="2"/>
        <v>1.0261815708942537</v>
      </c>
      <c r="D44" s="50">
        <v>42737</v>
      </c>
      <c r="E44" s="51">
        <v>2363.64</v>
      </c>
      <c r="F44" s="31">
        <f t="shared" si="3"/>
        <v>1.0371982605414087</v>
      </c>
    </row>
    <row r="45" spans="1:6" x14ac:dyDescent="0.35">
      <c r="A45" s="56">
        <v>42738</v>
      </c>
      <c r="B45" s="57">
        <v>44.326999999999998</v>
      </c>
      <c r="C45" s="31">
        <f t="shared" si="2"/>
        <v>1.0491101012969799</v>
      </c>
      <c r="D45" s="52">
        <v>42738</v>
      </c>
      <c r="E45" s="53">
        <v>2362.7199999999998</v>
      </c>
      <c r="F45" s="31">
        <f t="shared" si="3"/>
        <v>0.99961076982958486</v>
      </c>
    </row>
    <row r="46" spans="1:6" x14ac:dyDescent="0.35">
      <c r="A46" s="54">
        <v>42739</v>
      </c>
      <c r="B46" s="55">
        <v>46.249499999999998</v>
      </c>
      <c r="C46" s="31">
        <f t="shared" si="2"/>
        <v>1.0433708574909197</v>
      </c>
      <c r="D46" s="50">
        <v>42739</v>
      </c>
      <c r="E46" s="51">
        <v>2384.1999999999998</v>
      </c>
      <c r="F46" s="31">
        <f t="shared" si="3"/>
        <v>1.009091216902553</v>
      </c>
    </row>
    <row r="47" spans="1:6" x14ac:dyDescent="0.35">
      <c r="A47" s="56">
        <v>42740</v>
      </c>
      <c r="B47" s="57">
        <v>49.731000000000002</v>
      </c>
      <c r="C47" s="31">
        <f t="shared" si="2"/>
        <v>1.075276489475562</v>
      </c>
      <c r="D47" s="52">
        <v>42740</v>
      </c>
      <c r="E47" s="53">
        <v>2411.8000000000002</v>
      </c>
      <c r="F47" s="31">
        <f t="shared" si="3"/>
        <v>1.0115762100494927</v>
      </c>
    </row>
    <row r="48" spans="1:6" x14ac:dyDescent="0.35">
      <c r="A48" s="54">
        <v>42741</v>
      </c>
      <c r="B48" s="55">
        <v>48.4</v>
      </c>
      <c r="C48" s="31">
        <f t="shared" si="2"/>
        <v>0.97323600973236002</v>
      </c>
      <c r="D48" s="50">
        <v>42741</v>
      </c>
      <c r="E48" s="51">
        <v>2423.41</v>
      </c>
      <c r="F48" s="31">
        <f t="shared" si="3"/>
        <v>1.0048138319927025</v>
      </c>
    </row>
    <row r="49" spans="1:6" x14ac:dyDescent="0.35">
      <c r="A49" s="56">
        <v>42742</v>
      </c>
      <c r="B49" s="57">
        <v>49.389000000000003</v>
      </c>
      <c r="C49" s="31">
        <f t="shared" si="2"/>
        <v>1.0204338842975207</v>
      </c>
      <c r="D49" s="52">
        <v>42742</v>
      </c>
      <c r="E49" s="53">
        <v>2470.3000000000002</v>
      </c>
      <c r="F49" s="31">
        <f t="shared" si="3"/>
        <v>1.0193487688835154</v>
      </c>
    </row>
    <row r="50" spans="1:6" x14ac:dyDescent="0.35">
      <c r="A50" s="54">
        <v>42743</v>
      </c>
      <c r="B50" s="55">
        <v>49.03</v>
      </c>
      <c r="C50" s="31">
        <f t="shared" si="2"/>
        <v>0.99273117495798657</v>
      </c>
      <c r="D50" s="50">
        <v>42743</v>
      </c>
      <c r="E50" s="51">
        <v>2471.65</v>
      </c>
      <c r="F50" s="31">
        <f t="shared" si="3"/>
        <v>1.0005464923288669</v>
      </c>
    </row>
    <row r="51" spans="1:6" x14ac:dyDescent="0.35">
      <c r="A51" s="56">
        <v>42744</v>
      </c>
      <c r="B51" s="57">
        <v>48.067500000000003</v>
      </c>
      <c r="C51" s="31">
        <f t="shared" si="2"/>
        <v>0.9803691617377116</v>
      </c>
      <c r="D51" s="52">
        <v>42744</v>
      </c>
      <c r="E51" s="53">
        <v>2519.36</v>
      </c>
      <c r="F51" s="31">
        <f t="shared" si="3"/>
        <v>1.0193028948273422</v>
      </c>
    </row>
    <row r="52" spans="1:6" x14ac:dyDescent="0.35">
      <c r="A52" s="54">
        <v>42745</v>
      </c>
      <c r="B52" s="55">
        <v>55.264000000000003</v>
      </c>
      <c r="C52" s="31">
        <f t="shared" si="2"/>
        <v>1.1497165444427109</v>
      </c>
      <c r="D52" s="50">
        <v>42745</v>
      </c>
      <c r="E52" s="51">
        <v>2575.2600000000002</v>
      </c>
      <c r="F52" s="31">
        <f t="shared" si="3"/>
        <v>1.022188174774546</v>
      </c>
    </row>
    <row r="53" spans="1:6" x14ac:dyDescent="0.35">
      <c r="A53" s="56">
        <v>42746</v>
      </c>
      <c r="B53" s="57">
        <v>58.837499999999999</v>
      </c>
      <c r="C53" s="31">
        <f t="shared" si="2"/>
        <v>1.0646623480023161</v>
      </c>
      <c r="D53" s="52">
        <v>42746</v>
      </c>
      <c r="E53" s="53">
        <v>2647.58</v>
      </c>
      <c r="F53" s="31">
        <f t="shared" si="3"/>
        <v>1.0280826013684055</v>
      </c>
    </row>
    <row r="54" spans="1:6" x14ac:dyDescent="0.35">
      <c r="A54" s="54">
        <v>42747</v>
      </c>
      <c r="B54" s="55">
        <v>58.473500000000001</v>
      </c>
      <c r="C54" s="31">
        <f t="shared" si="2"/>
        <v>0.99381346930104109</v>
      </c>
      <c r="D54" s="50">
        <v>42747</v>
      </c>
      <c r="E54" s="51">
        <v>2673.61</v>
      </c>
      <c r="F54" s="31">
        <f t="shared" si="3"/>
        <v>1.0098316198188535</v>
      </c>
    </row>
    <row r="55" spans="1:6" x14ac:dyDescent="0.35">
      <c r="A55" s="56">
        <v>43101</v>
      </c>
      <c r="B55" s="57">
        <v>72.544499999999999</v>
      </c>
      <c r="C55" s="31">
        <f t="shared" si="2"/>
        <v>1.2406389219047944</v>
      </c>
      <c r="D55" s="52">
        <v>43101</v>
      </c>
      <c r="E55" s="53">
        <v>2823.81</v>
      </c>
      <c r="F55" s="31">
        <f t="shared" si="3"/>
        <v>1.0561787246457037</v>
      </c>
    </row>
    <row r="56" spans="1:6" x14ac:dyDescent="0.35">
      <c r="A56" s="54">
        <v>43102</v>
      </c>
      <c r="B56" s="55">
        <v>75.622500000000002</v>
      </c>
      <c r="C56" s="31">
        <f t="shared" si="2"/>
        <v>1.042429129706594</v>
      </c>
      <c r="D56" s="50">
        <v>43102</v>
      </c>
      <c r="E56" s="51">
        <v>2713.83</v>
      </c>
      <c r="F56" s="31">
        <f t="shared" si="3"/>
        <v>0.96105262039584816</v>
      </c>
    </row>
    <row r="57" spans="1:6" x14ac:dyDescent="0.35">
      <c r="A57" s="56">
        <v>43103</v>
      </c>
      <c r="B57" s="57">
        <v>72.367000000000004</v>
      </c>
      <c r="C57" s="31">
        <f t="shared" si="2"/>
        <v>0.95695064299646271</v>
      </c>
      <c r="D57" s="52">
        <v>43103</v>
      </c>
      <c r="E57" s="53">
        <v>2640.87</v>
      </c>
      <c r="F57" s="31">
        <f t="shared" si="3"/>
        <v>0.97311548623163568</v>
      </c>
    </row>
    <row r="58" spans="1:6" x14ac:dyDescent="0.35">
      <c r="A58" s="54">
        <v>43104</v>
      </c>
      <c r="B58" s="55">
        <v>78.3065</v>
      </c>
      <c r="C58" s="31">
        <f t="shared" si="2"/>
        <v>1.0820747025577957</v>
      </c>
      <c r="D58" s="50">
        <v>43104</v>
      </c>
      <c r="E58" s="51">
        <v>2648.05</v>
      </c>
      <c r="F58" s="31">
        <f t="shared" si="3"/>
        <v>1.0027188010011854</v>
      </c>
    </row>
    <row r="59" spans="1:6" x14ac:dyDescent="0.35">
      <c r="A59" s="56">
        <v>43105</v>
      </c>
      <c r="B59" s="57">
        <v>81.480999999999995</v>
      </c>
      <c r="C59" s="31">
        <f t="shared" si="2"/>
        <v>1.0405394188221921</v>
      </c>
      <c r="D59" s="52">
        <v>43105</v>
      </c>
      <c r="E59" s="53">
        <v>2705.27</v>
      </c>
      <c r="F59" s="31">
        <f t="shared" si="3"/>
        <v>1.0216083533165914</v>
      </c>
    </row>
    <row r="60" spans="1:6" x14ac:dyDescent="0.35">
      <c r="A60" s="54">
        <v>43106</v>
      </c>
      <c r="B60" s="55">
        <v>84.99</v>
      </c>
      <c r="C60" s="31">
        <f t="shared" si="2"/>
        <v>1.0430652544765038</v>
      </c>
      <c r="D60" s="50">
        <v>43106</v>
      </c>
      <c r="E60" s="51">
        <v>2718.37</v>
      </c>
      <c r="F60" s="31">
        <f t="shared" si="3"/>
        <v>1.0048424002040461</v>
      </c>
    </row>
    <row r="61" spans="1:6" x14ac:dyDescent="0.35">
      <c r="A61" s="56">
        <v>43107</v>
      </c>
      <c r="B61" s="57">
        <v>88.872</v>
      </c>
      <c r="C61" s="31">
        <f t="shared" si="2"/>
        <v>1.0456759618778682</v>
      </c>
      <c r="D61" s="52">
        <v>43107</v>
      </c>
      <c r="E61" s="53">
        <v>2816.29</v>
      </c>
      <c r="F61" s="31">
        <f t="shared" si="3"/>
        <v>1.0360215864654188</v>
      </c>
    </row>
    <row r="62" spans="1:6" x14ac:dyDescent="0.35">
      <c r="A62" s="54">
        <v>43108</v>
      </c>
      <c r="B62" s="55">
        <v>100.63549999999999</v>
      </c>
      <c r="C62" s="31">
        <f t="shared" si="2"/>
        <v>1.1323645242596092</v>
      </c>
      <c r="D62" s="50">
        <v>43108</v>
      </c>
      <c r="E62" s="51">
        <v>2901.52</v>
      </c>
      <c r="F62" s="31">
        <f t="shared" si="3"/>
        <v>1.0302632186316041</v>
      </c>
    </row>
    <row r="63" spans="1:6" x14ac:dyDescent="0.35">
      <c r="A63" s="56">
        <v>43109</v>
      </c>
      <c r="B63" s="57">
        <v>100.15</v>
      </c>
      <c r="C63" s="31">
        <f t="shared" si="2"/>
        <v>0.99517565868903135</v>
      </c>
      <c r="D63" s="52">
        <v>43109</v>
      </c>
      <c r="E63" s="53">
        <v>2913.98</v>
      </c>
      <c r="F63" s="31">
        <f t="shared" si="3"/>
        <v>1.0042943009181395</v>
      </c>
    </row>
    <row r="64" spans="1:6" x14ac:dyDescent="0.35">
      <c r="A64" s="54">
        <v>43110</v>
      </c>
      <c r="B64" s="55">
        <v>79.900499999999994</v>
      </c>
      <c r="C64" s="31">
        <f t="shared" si="2"/>
        <v>0.79780828756864697</v>
      </c>
      <c r="D64" s="50">
        <v>43110</v>
      </c>
      <c r="E64" s="51">
        <v>2711.74</v>
      </c>
      <c r="F64" s="31">
        <f t="shared" si="3"/>
        <v>0.93059664102018536</v>
      </c>
    </row>
    <row r="65" spans="1:6" x14ac:dyDescent="0.35">
      <c r="A65" s="56">
        <v>43111</v>
      </c>
      <c r="B65" s="57">
        <v>84.508499999999998</v>
      </c>
      <c r="C65" s="31">
        <f t="shared" si="2"/>
        <v>1.057671729213209</v>
      </c>
      <c r="D65" s="52">
        <v>43111</v>
      </c>
      <c r="E65" s="53">
        <v>2760.17</v>
      </c>
      <c r="F65" s="31">
        <f t="shared" si="3"/>
        <v>1.0178593817991402</v>
      </c>
    </row>
    <row r="66" spans="1:6" x14ac:dyDescent="0.35">
      <c r="A66" s="54">
        <v>43112</v>
      </c>
      <c r="B66" s="55">
        <v>75.098500000000001</v>
      </c>
      <c r="C66" s="31">
        <f t="shared" si="2"/>
        <v>0.88865025411644982</v>
      </c>
      <c r="D66" s="50">
        <v>43112</v>
      </c>
      <c r="E66" s="51">
        <v>2506.85</v>
      </c>
      <c r="F66" s="31">
        <f t="shared" si="3"/>
        <v>0.90822304423278266</v>
      </c>
    </row>
    <row r="67" spans="1:6" x14ac:dyDescent="0.35">
      <c r="A67" s="56">
        <v>43466</v>
      </c>
      <c r="B67" s="57">
        <v>85.936499999999995</v>
      </c>
      <c r="C67" s="31">
        <f t="shared" si="2"/>
        <v>1.1443171301690445</v>
      </c>
      <c r="D67" s="52">
        <v>43466</v>
      </c>
      <c r="E67" s="53">
        <v>2704.1</v>
      </c>
      <c r="F67" s="31">
        <f t="shared" si="3"/>
        <v>1.0786844047310369</v>
      </c>
    </row>
    <row r="68" spans="1:6" x14ac:dyDescent="0.35">
      <c r="A68" s="54">
        <v>43467</v>
      </c>
      <c r="B68" s="55">
        <v>81.991500000000002</v>
      </c>
      <c r="C68" s="31">
        <f t="shared" si="2"/>
        <v>0.95409401127576765</v>
      </c>
      <c r="D68" s="50">
        <v>43467</v>
      </c>
      <c r="E68" s="51">
        <v>2784.49</v>
      </c>
      <c r="F68" s="31">
        <f t="shared" si="3"/>
        <v>1.0297289301431161</v>
      </c>
    </row>
    <row r="69" spans="1:6" x14ac:dyDescent="0.35">
      <c r="A69" s="56">
        <v>43468</v>
      </c>
      <c r="B69" s="57">
        <v>89.037499999999994</v>
      </c>
      <c r="C69" s="31">
        <f t="shared" si="2"/>
        <v>1.0859357372410554</v>
      </c>
      <c r="D69" s="52">
        <v>43468</v>
      </c>
      <c r="E69" s="53">
        <v>2834.4</v>
      </c>
      <c r="F69" s="31">
        <f t="shared" si="3"/>
        <v>1.0179242877510783</v>
      </c>
    </row>
    <row r="70" spans="1:6" x14ac:dyDescent="0.35">
      <c r="A70" s="54">
        <v>43469</v>
      </c>
      <c r="B70" s="55">
        <v>96.325999999999993</v>
      </c>
      <c r="C70" s="31">
        <f t="shared" si="2"/>
        <v>1.0818587673732978</v>
      </c>
      <c r="D70" s="50">
        <v>43469</v>
      </c>
      <c r="E70" s="51">
        <v>2945.83</v>
      </c>
      <c r="F70" s="31">
        <f t="shared" si="3"/>
        <v>1.0393134349421393</v>
      </c>
    </row>
    <row r="71" spans="1:6" x14ac:dyDescent="0.35">
      <c r="A71" s="56">
        <v>43470</v>
      </c>
      <c r="B71" s="57">
        <v>88.753500000000003</v>
      </c>
      <c r="C71" s="31">
        <f t="shared" si="2"/>
        <v>0.9213867491642963</v>
      </c>
      <c r="D71" s="52">
        <v>43470</v>
      </c>
      <c r="E71" s="53">
        <v>2752.06</v>
      </c>
      <c r="F71" s="31">
        <f t="shared" si="3"/>
        <v>0.93422227351883846</v>
      </c>
    </row>
    <row r="72" spans="1:6" x14ac:dyDescent="0.35">
      <c r="A72" s="54">
        <v>43471</v>
      </c>
      <c r="B72" s="55">
        <v>94.6815</v>
      </c>
      <c r="C72" s="31">
        <f t="shared" si="2"/>
        <v>1.0667917321570417</v>
      </c>
      <c r="D72" s="50">
        <v>43471</v>
      </c>
      <c r="E72" s="51">
        <v>2941.76</v>
      </c>
      <c r="F72" s="31">
        <f t="shared" si="3"/>
        <v>1.068930183208215</v>
      </c>
    </row>
    <row r="73" spans="1:6" x14ac:dyDescent="0.35">
      <c r="A73" s="56">
        <v>43472</v>
      </c>
      <c r="B73" s="57">
        <v>93.338999999999999</v>
      </c>
      <c r="C73" s="31">
        <f t="shared" si="2"/>
        <v>0.98582088369956111</v>
      </c>
      <c r="D73" s="52">
        <v>43472</v>
      </c>
      <c r="E73" s="53">
        <v>2980.38</v>
      </c>
      <c r="F73" s="31">
        <f t="shared" si="3"/>
        <v>1.0131281953660394</v>
      </c>
    </row>
    <row r="74" spans="1:6" x14ac:dyDescent="0.35">
      <c r="A74" s="54">
        <v>43473</v>
      </c>
      <c r="B74" s="55">
        <v>88.814499999999995</v>
      </c>
      <c r="C74" s="31">
        <f t="shared" si="2"/>
        <v>0.9515261573404471</v>
      </c>
      <c r="D74" s="50">
        <v>43473</v>
      </c>
      <c r="E74" s="51">
        <v>2926.46</v>
      </c>
      <c r="F74" s="31">
        <f t="shared" si="3"/>
        <v>0.98190834725773224</v>
      </c>
    </row>
    <row r="75" spans="1:6" x14ac:dyDescent="0.35">
      <c r="A75" s="56">
        <v>43474</v>
      </c>
      <c r="B75" s="57">
        <v>86.795500000000004</v>
      </c>
      <c r="C75" s="31">
        <f t="shared" si="2"/>
        <v>0.97726722550934819</v>
      </c>
      <c r="D75" s="52">
        <v>43474</v>
      </c>
      <c r="E75" s="53">
        <v>2976.74</v>
      </c>
      <c r="F75" s="31">
        <f t="shared" si="3"/>
        <v>1.0171811676906568</v>
      </c>
    </row>
    <row r="76" spans="1:6" x14ac:dyDescent="0.35">
      <c r="A76" s="54">
        <v>43475</v>
      </c>
      <c r="B76" s="55">
        <v>88.832999999999998</v>
      </c>
      <c r="C76" s="31">
        <f t="shared" si="2"/>
        <v>1.023474719311485</v>
      </c>
      <c r="D76" s="50">
        <v>43475</v>
      </c>
      <c r="E76" s="51">
        <v>3037.56</v>
      </c>
      <c r="F76" s="31">
        <f t="shared" si="3"/>
        <v>1.0204317474821449</v>
      </c>
    </row>
    <row r="77" spans="1:6" x14ac:dyDescent="0.35">
      <c r="A77" s="56">
        <v>43476</v>
      </c>
      <c r="B77" s="57">
        <v>90.04</v>
      </c>
      <c r="C77" s="31">
        <f t="shared" si="2"/>
        <v>1.0135872930104803</v>
      </c>
      <c r="D77" s="52">
        <v>43476</v>
      </c>
      <c r="E77" s="53">
        <v>3140.98</v>
      </c>
      <c r="F77" s="31">
        <f t="shared" si="3"/>
        <v>1.0340470640909152</v>
      </c>
    </row>
    <row r="78" spans="1:6" x14ac:dyDescent="0.35">
      <c r="A78" s="54">
        <v>43477</v>
      </c>
      <c r="B78" s="55">
        <v>92.391999999999996</v>
      </c>
      <c r="C78" s="31">
        <f t="shared" si="2"/>
        <v>1.0261217236783651</v>
      </c>
      <c r="D78" s="50">
        <v>43477</v>
      </c>
      <c r="E78" s="51">
        <v>3230.78</v>
      </c>
      <c r="F78" s="31">
        <f t="shared" si="3"/>
        <v>1.0285898031824463</v>
      </c>
    </row>
    <row r="79" spans="1:6" x14ac:dyDescent="0.35">
      <c r="A79" s="56">
        <v>43831</v>
      </c>
      <c r="B79" s="57">
        <v>100.43600000000001</v>
      </c>
      <c r="C79" s="31">
        <f t="shared" si="2"/>
        <v>1.087063815048922</v>
      </c>
      <c r="D79" s="52">
        <v>43831</v>
      </c>
      <c r="E79" s="53">
        <v>3225.52</v>
      </c>
      <c r="F79" s="31">
        <f t="shared" si="3"/>
        <v>0.99837191018887073</v>
      </c>
    </row>
    <row r="80" spans="1:6" x14ac:dyDescent="0.35">
      <c r="A80" s="54">
        <v>43832</v>
      </c>
      <c r="B80" s="55">
        <v>94.1875</v>
      </c>
      <c r="C80" s="31">
        <f t="shared" si="2"/>
        <v>0.93778625194153487</v>
      </c>
      <c r="D80" s="50">
        <v>43832</v>
      </c>
      <c r="E80" s="51">
        <v>2954.22</v>
      </c>
      <c r="F80" s="31">
        <f t="shared" si="3"/>
        <v>0.91588953099035186</v>
      </c>
    </row>
    <row r="81" spans="1:6" x14ac:dyDescent="0.35">
      <c r="A81" s="56">
        <v>43833</v>
      </c>
      <c r="B81" s="57">
        <v>97.486000000000004</v>
      </c>
      <c r="C81" s="31">
        <f t="shared" si="2"/>
        <v>1.0350205706702058</v>
      </c>
      <c r="D81" s="52">
        <v>43833</v>
      </c>
      <c r="E81" s="53">
        <v>2584.59</v>
      </c>
      <c r="F81" s="31">
        <f t="shared" si="3"/>
        <v>0.87488067916404344</v>
      </c>
    </row>
    <row r="82" spans="1:6" x14ac:dyDescent="0.35">
      <c r="A82" s="54">
        <v>43834</v>
      </c>
      <c r="B82" s="55">
        <v>123.7</v>
      </c>
      <c r="C82" s="31">
        <f t="shared" si="2"/>
        <v>1.2689001497650945</v>
      </c>
      <c r="D82" s="50">
        <v>43834</v>
      </c>
      <c r="E82" s="51">
        <v>2912.43</v>
      </c>
      <c r="F82" s="31">
        <f t="shared" si="3"/>
        <v>1.1268441029331537</v>
      </c>
    </row>
    <row r="83" spans="1:6" x14ac:dyDescent="0.35">
      <c r="A83" s="56">
        <v>43835</v>
      </c>
      <c r="B83" s="57">
        <v>122.1185</v>
      </c>
      <c r="C83" s="31">
        <f t="shared" si="2"/>
        <v>0.98721503637833463</v>
      </c>
      <c r="D83" s="52">
        <v>43835</v>
      </c>
      <c r="E83" s="53">
        <v>3044.31</v>
      </c>
      <c r="F83" s="31">
        <f t="shared" si="3"/>
        <v>1.0452817750126184</v>
      </c>
    </row>
    <row r="84" spans="1:6" x14ac:dyDescent="0.35">
      <c r="A84" s="54">
        <v>43836</v>
      </c>
      <c r="B84" s="55">
        <v>137.941</v>
      </c>
      <c r="C84" s="31">
        <f t="shared" si="2"/>
        <v>1.1295667732571233</v>
      </c>
      <c r="D84" s="50">
        <v>43836</v>
      </c>
      <c r="E84" s="51">
        <v>3100.29</v>
      </c>
      <c r="F84" s="31">
        <f t="shared" si="3"/>
        <v>1.0183884032835027</v>
      </c>
    </row>
    <row r="85" spans="1:6" x14ac:dyDescent="0.35">
      <c r="A85" s="56">
        <v>43837</v>
      </c>
      <c r="B85" s="57">
        <v>158.23400000000001</v>
      </c>
      <c r="C85" s="31">
        <f t="shared" si="2"/>
        <v>1.1471136210408799</v>
      </c>
      <c r="D85" s="52">
        <v>43837</v>
      </c>
      <c r="E85" s="53">
        <v>3271.12</v>
      </c>
      <c r="F85" s="31">
        <f t="shared" si="3"/>
        <v>1.0551012969754443</v>
      </c>
    </row>
    <row r="86" spans="1:6" x14ac:dyDescent="0.35">
      <c r="A86" s="54">
        <v>43838</v>
      </c>
      <c r="B86" s="55">
        <v>172.548</v>
      </c>
      <c r="C86" s="31">
        <f t="shared" si="2"/>
        <v>1.0904609628777633</v>
      </c>
      <c r="D86" s="50">
        <v>43838</v>
      </c>
      <c r="E86" s="51">
        <v>3500.31</v>
      </c>
      <c r="F86" s="31">
        <f t="shared" si="3"/>
        <v>1.0700646873242192</v>
      </c>
    </row>
    <row r="87" spans="1:6" x14ac:dyDescent="0.35">
      <c r="A87" s="56">
        <v>43839</v>
      </c>
      <c r="B87" s="57">
        <v>157.4365</v>
      </c>
      <c r="C87" s="31">
        <f t="shared" si="2"/>
        <v>0.91242147112687477</v>
      </c>
      <c r="D87" s="52">
        <v>43839</v>
      </c>
      <c r="E87" s="53">
        <v>3363</v>
      </c>
      <c r="F87" s="31">
        <f t="shared" si="3"/>
        <v>0.9607720459045056</v>
      </c>
    </row>
    <row r="88" spans="1:6" x14ac:dyDescent="0.35">
      <c r="A88" s="54">
        <v>43840</v>
      </c>
      <c r="B88" s="55">
        <v>151.8075</v>
      </c>
      <c r="C88" s="31">
        <f t="shared" si="2"/>
        <v>0.96424590231617202</v>
      </c>
      <c r="D88" s="50">
        <v>43840</v>
      </c>
      <c r="E88" s="51">
        <v>3269.96</v>
      </c>
      <c r="F88" s="31">
        <f t="shared" si="3"/>
        <v>0.9723342253939935</v>
      </c>
    </row>
    <row r="89" spans="1:6" x14ac:dyDescent="0.35">
      <c r="A89" s="56">
        <v>43841</v>
      </c>
      <c r="B89" s="57">
        <v>158.40199999999999</v>
      </c>
      <c r="C89" s="31">
        <f t="shared" si="2"/>
        <v>1.043439882746241</v>
      </c>
      <c r="D89" s="52">
        <v>43841</v>
      </c>
      <c r="E89" s="53">
        <v>3621.63</v>
      </c>
      <c r="F89" s="31">
        <f t="shared" si="3"/>
        <v>1.1075456580508631</v>
      </c>
    </row>
    <row r="90" spans="1:6" x14ac:dyDescent="0.35">
      <c r="A90" s="54">
        <v>43842</v>
      </c>
      <c r="B90" s="55">
        <v>162.84649999999999</v>
      </c>
      <c r="C90" s="31">
        <f t="shared" si="2"/>
        <v>1.028058357849017</v>
      </c>
      <c r="D90" s="50">
        <v>43842</v>
      </c>
      <c r="E90" s="51">
        <v>3756.07</v>
      </c>
      <c r="F90" s="31">
        <f t="shared" si="3"/>
        <v>1.0371214066594323</v>
      </c>
    </row>
    <row r="91" spans="1:6" x14ac:dyDescent="0.35">
      <c r="A91" s="56">
        <v>44197</v>
      </c>
      <c r="B91" s="57">
        <v>160.31</v>
      </c>
      <c r="C91" s="31">
        <f t="shared" si="2"/>
        <v>0.98442398209356674</v>
      </c>
      <c r="D91" s="52">
        <v>44197</v>
      </c>
      <c r="E91" s="53">
        <v>3714.24</v>
      </c>
      <c r="F91" s="31">
        <f t="shared" si="3"/>
        <v>0.98886335984153639</v>
      </c>
    </row>
    <row r="92" spans="1:6" x14ac:dyDescent="0.35">
      <c r="A92" s="54">
        <v>44198</v>
      </c>
      <c r="B92" s="55">
        <v>154.6465</v>
      </c>
      <c r="C92" s="31">
        <f t="shared" si="2"/>
        <v>0.96467157382571267</v>
      </c>
      <c r="D92" s="50">
        <v>44198</v>
      </c>
      <c r="E92" s="51">
        <v>3811.15</v>
      </c>
      <c r="F92" s="31">
        <f t="shared" si="3"/>
        <v>1.0260914749719998</v>
      </c>
    </row>
    <row r="93" spans="1:6" x14ac:dyDescent="0.35">
      <c r="A93" s="56">
        <v>44199</v>
      </c>
      <c r="B93" s="57">
        <v>154.70400000000001</v>
      </c>
      <c r="C93" s="31">
        <f t="shared" si="2"/>
        <v>1.0003718157216621</v>
      </c>
      <c r="D93" s="52">
        <v>44199</v>
      </c>
      <c r="E93" s="53">
        <v>3972.89</v>
      </c>
      <c r="F93" s="31">
        <f t="shared" si="3"/>
        <v>1.0424386340081078</v>
      </c>
    </row>
    <row r="94" spans="1:6" x14ac:dyDescent="0.35">
      <c r="A94" s="54">
        <v>44200</v>
      </c>
      <c r="B94" s="55">
        <v>173.37100000000001</v>
      </c>
      <c r="C94" s="31">
        <f t="shared" si="2"/>
        <v>1.1206626848691694</v>
      </c>
      <c r="D94" s="50">
        <v>44200</v>
      </c>
      <c r="E94" s="51">
        <v>4181.17</v>
      </c>
      <c r="F94" s="31">
        <f t="shared" si="3"/>
        <v>1.0524253125558474</v>
      </c>
    </row>
    <row r="95" spans="1:6" x14ac:dyDescent="0.35">
      <c r="A95" s="56">
        <v>44201</v>
      </c>
      <c r="B95" s="57">
        <v>161.15350000000001</v>
      </c>
      <c r="C95" s="31">
        <f t="shared" si="2"/>
        <v>0.92952973680719386</v>
      </c>
      <c r="D95" s="52">
        <v>44201</v>
      </c>
      <c r="E95" s="53">
        <v>4204.1099999999997</v>
      </c>
      <c r="F95" s="31">
        <f t="shared" si="3"/>
        <v>1.0054865025818132</v>
      </c>
    </row>
    <row r="96" spans="1:6" x14ac:dyDescent="0.35">
      <c r="A96" s="54">
        <v>44202</v>
      </c>
      <c r="B96" s="55">
        <v>172.00800000000001</v>
      </c>
      <c r="C96" s="31">
        <f t="shared" si="2"/>
        <v>1.0673550372781231</v>
      </c>
      <c r="D96" s="50">
        <v>44202</v>
      </c>
      <c r="E96" s="51">
        <v>4297.5</v>
      </c>
      <c r="F96" s="31">
        <f t="shared" si="3"/>
        <v>1.0222139763231695</v>
      </c>
    </row>
    <row r="97" spans="1:6" x14ac:dyDescent="0.35">
      <c r="A97" s="56">
        <v>44203</v>
      </c>
      <c r="B97" s="57">
        <v>166.37950000000001</v>
      </c>
      <c r="C97" s="31">
        <f t="shared" si="2"/>
        <v>0.96727768475884846</v>
      </c>
      <c r="D97" s="52">
        <v>44203</v>
      </c>
      <c r="E97" s="53">
        <v>4395.26</v>
      </c>
      <c r="F97" s="31">
        <f t="shared" si="3"/>
        <v>1.0227481093659105</v>
      </c>
    </row>
    <row r="98" spans="1:6" x14ac:dyDescent="0.35">
      <c r="A98" s="54">
        <v>44204</v>
      </c>
      <c r="B98" s="55">
        <v>173.5395</v>
      </c>
      <c r="C98" s="31">
        <f t="shared" si="2"/>
        <v>1.0430341478367227</v>
      </c>
      <c r="D98" s="50">
        <v>44204</v>
      </c>
      <c r="E98" s="51">
        <v>4522.68</v>
      </c>
      <c r="F98" s="31">
        <f t="shared" si="3"/>
        <v>1.0289903213916811</v>
      </c>
    </row>
    <row r="99" spans="1:6" x14ac:dyDescent="0.35">
      <c r="A99" s="56">
        <v>44205</v>
      </c>
      <c r="B99" s="57">
        <v>164.25200000000001</v>
      </c>
      <c r="C99" s="31">
        <f t="shared" ref="C99:C121" si="4">(B99/B98)</f>
        <v>0.94648192486436811</v>
      </c>
      <c r="D99" s="52">
        <v>44205</v>
      </c>
      <c r="E99" s="53">
        <v>4307.54</v>
      </c>
      <c r="F99" s="31">
        <f t="shared" ref="F99:F121" si="5">(E99/E98)</f>
        <v>0.95243085957883367</v>
      </c>
    </row>
    <row r="100" spans="1:6" x14ac:dyDescent="0.35">
      <c r="A100" s="54">
        <v>44206</v>
      </c>
      <c r="B100" s="55">
        <v>168.6215</v>
      </c>
      <c r="C100" s="31">
        <f t="shared" si="4"/>
        <v>1.0266024158001119</v>
      </c>
      <c r="D100" s="50">
        <v>44206</v>
      </c>
      <c r="E100" s="51">
        <v>4605.38</v>
      </c>
      <c r="F100" s="31">
        <f t="shared" si="5"/>
        <v>1.0691438733012346</v>
      </c>
    </row>
    <row r="101" spans="1:6" x14ac:dyDescent="0.35">
      <c r="A101" s="56">
        <v>44207</v>
      </c>
      <c r="B101" s="57">
        <v>175.3535</v>
      </c>
      <c r="C101" s="31">
        <f t="shared" si="4"/>
        <v>1.0399237345178403</v>
      </c>
      <c r="D101" s="52">
        <v>44207</v>
      </c>
      <c r="E101" s="53">
        <v>4567</v>
      </c>
      <c r="F101" s="31">
        <f t="shared" si="5"/>
        <v>0.99166626858152851</v>
      </c>
    </row>
    <row r="102" spans="1:6" x14ac:dyDescent="0.35">
      <c r="A102" s="54">
        <v>44208</v>
      </c>
      <c r="B102" s="55">
        <v>166.71700000000001</v>
      </c>
      <c r="C102" s="31">
        <f t="shared" si="4"/>
        <v>0.95074806034667125</v>
      </c>
      <c r="D102" s="50">
        <v>44208</v>
      </c>
      <c r="E102" s="51">
        <v>4766.18</v>
      </c>
      <c r="F102" s="31">
        <f t="shared" si="5"/>
        <v>1.0436128749726299</v>
      </c>
    </row>
    <row r="103" spans="1:6" x14ac:dyDescent="0.35">
      <c r="A103" s="56">
        <v>44562</v>
      </c>
      <c r="B103" s="57">
        <v>149.5735</v>
      </c>
      <c r="C103" s="31">
        <f t="shared" si="4"/>
        <v>0.89717005464349753</v>
      </c>
      <c r="D103" s="52">
        <v>44562</v>
      </c>
      <c r="E103" s="53">
        <v>4515.55</v>
      </c>
      <c r="F103" s="31">
        <f t="shared" si="5"/>
        <v>0.94741491089300023</v>
      </c>
    </row>
    <row r="104" spans="1:6" x14ac:dyDescent="0.35">
      <c r="A104" s="54">
        <v>44563</v>
      </c>
      <c r="B104" s="55">
        <v>153.56299999999999</v>
      </c>
      <c r="C104" s="31">
        <f t="shared" si="4"/>
        <v>1.0266725054906116</v>
      </c>
      <c r="D104" s="50">
        <v>44563</v>
      </c>
      <c r="E104" s="51">
        <v>4373.9399999999996</v>
      </c>
      <c r="F104" s="31">
        <f t="shared" si="5"/>
        <v>0.96863947913321735</v>
      </c>
    </row>
    <row r="105" spans="1:6" x14ac:dyDescent="0.35">
      <c r="A105" s="56">
        <v>44564</v>
      </c>
      <c r="B105" s="57">
        <v>162.9975</v>
      </c>
      <c r="C105" s="31">
        <f t="shared" si="4"/>
        <v>1.0614373253973941</v>
      </c>
      <c r="D105" s="52">
        <v>44564</v>
      </c>
      <c r="E105" s="53">
        <v>4530.41</v>
      </c>
      <c r="F105" s="31">
        <f t="shared" si="5"/>
        <v>1.0357732387732801</v>
      </c>
    </row>
    <row r="106" spans="1:6" x14ac:dyDescent="0.35">
      <c r="A106" s="54">
        <v>44565</v>
      </c>
      <c r="B106" s="55">
        <v>124.28149999999999</v>
      </c>
      <c r="C106" s="31">
        <f t="shared" si="4"/>
        <v>0.76247488458411938</v>
      </c>
      <c r="D106" s="50">
        <v>44565</v>
      </c>
      <c r="E106" s="51">
        <v>4131.93</v>
      </c>
      <c r="F106" s="31">
        <f t="shared" si="5"/>
        <v>0.91204328085096065</v>
      </c>
    </row>
    <row r="107" spans="1:6" x14ac:dyDescent="0.35">
      <c r="A107" s="56">
        <v>44566</v>
      </c>
      <c r="B107" s="57">
        <v>120.20950000000001</v>
      </c>
      <c r="C107" s="31">
        <f t="shared" si="4"/>
        <v>0.96723567063480897</v>
      </c>
      <c r="D107" s="52">
        <v>44566</v>
      </c>
      <c r="E107" s="53">
        <v>4132.1499999999996</v>
      </c>
      <c r="F107" s="31">
        <f t="shared" si="5"/>
        <v>1.0000532438836087</v>
      </c>
    </row>
    <row r="108" spans="1:6" x14ac:dyDescent="0.35">
      <c r="A108" s="54">
        <v>44567</v>
      </c>
      <c r="B108" s="55">
        <v>106.21</v>
      </c>
      <c r="C108" s="31">
        <f t="shared" si="4"/>
        <v>0.88354081832134723</v>
      </c>
      <c r="D108" s="50">
        <v>44567</v>
      </c>
      <c r="E108" s="51">
        <v>3785.38</v>
      </c>
      <c r="F108" s="31">
        <f t="shared" si="5"/>
        <v>0.91608000677613355</v>
      </c>
    </row>
    <row r="109" spans="1:6" x14ac:dyDescent="0.35">
      <c r="A109" s="56">
        <v>44568</v>
      </c>
      <c r="B109" s="57">
        <v>134.94999999999999</v>
      </c>
      <c r="C109" s="31">
        <f t="shared" si="4"/>
        <v>1.2705959890782412</v>
      </c>
      <c r="D109" s="52">
        <v>44568</v>
      </c>
      <c r="E109" s="53">
        <v>4130.29</v>
      </c>
      <c r="F109" s="31">
        <f t="shared" si="5"/>
        <v>1.0911163476322059</v>
      </c>
    </row>
    <row r="110" spans="1:6" x14ac:dyDescent="0.35">
      <c r="A110" s="54">
        <v>44569</v>
      </c>
      <c r="B110" s="55">
        <v>126.77</v>
      </c>
      <c r="C110" s="31">
        <f t="shared" si="4"/>
        <v>0.93938495739162653</v>
      </c>
      <c r="D110" s="50">
        <v>44569</v>
      </c>
      <c r="E110" s="51">
        <v>3955</v>
      </c>
      <c r="F110" s="31">
        <f t="shared" si="5"/>
        <v>0.95755988078318954</v>
      </c>
    </row>
    <row r="111" spans="1:6" x14ac:dyDescent="0.35">
      <c r="A111" s="56">
        <v>44570</v>
      </c>
      <c r="B111" s="57">
        <v>113</v>
      </c>
      <c r="C111" s="31">
        <f t="shared" si="4"/>
        <v>0.89137808629802007</v>
      </c>
      <c r="D111" s="52">
        <v>44570</v>
      </c>
      <c r="E111" s="53">
        <v>3585.62</v>
      </c>
      <c r="F111" s="31">
        <f t="shared" si="5"/>
        <v>0.90660429835651068</v>
      </c>
    </row>
    <row r="112" spans="1:6" x14ac:dyDescent="0.35">
      <c r="A112" s="54">
        <v>44571</v>
      </c>
      <c r="B112" s="55">
        <v>102.44</v>
      </c>
      <c r="C112" s="31">
        <f t="shared" si="4"/>
        <v>0.90654867256637162</v>
      </c>
      <c r="D112" s="50">
        <v>44571</v>
      </c>
      <c r="E112" s="51">
        <v>3871.98</v>
      </c>
      <c r="F112" s="31">
        <f t="shared" si="5"/>
        <v>1.0798634545768933</v>
      </c>
    </row>
    <row r="113" spans="1:6" x14ac:dyDescent="0.35">
      <c r="A113" s="56">
        <v>44572</v>
      </c>
      <c r="B113" s="57">
        <v>96.54</v>
      </c>
      <c r="C113" s="31">
        <f t="shared" si="4"/>
        <v>0.94240531042561504</v>
      </c>
      <c r="D113" s="52">
        <v>44572</v>
      </c>
      <c r="E113" s="53">
        <v>4080.11</v>
      </c>
      <c r="F113" s="31">
        <f t="shared" si="5"/>
        <v>1.0537528602936999</v>
      </c>
    </row>
    <row r="114" spans="1:6" x14ac:dyDescent="0.35">
      <c r="A114" s="54">
        <v>44573</v>
      </c>
      <c r="B114" s="55">
        <v>84</v>
      </c>
      <c r="C114" s="31">
        <f t="shared" si="4"/>
        <v>0.8701056556867619</v>
      </c>
      <c r="D114" s="50">
        <v>44573</v>
      </c>
      <c r="E114" s="51">
        <v>3839.5</v>
      </c>
      <c r="F114" s="31">
        <f t="shared" si="5"/>
        <v>0.94102855070083891</v>
      </c>
    </row>
    <row r="115" spans="1:6" x14ac:dyDescent="0.35">
      <c r="A115" s="56">
        <v>44927</v>
      </c>
      <c r="B115" s="57">
        <v>103.13</v>
      </c>
      <c r="C115" s="31">
        <f t="shared" si="4"/>
        <v>1.2277380952380952</v>
      </c>
      <c r="D115" s="52">
        <v>44927</v>
      </c>
      <c r="E115" s="53">
        <v>4076.6</v>
      </c>
      <c r="F115" s="31">
        <f t="shared" si="5"/>
        <v>1.061752832400052</v>
      </c>
    </row>
    <row r="116" spans="1:6" x14ac:dyDescent="0.35">
      <c r="A116" s="54">
        <v>44928</v>
      </c>
      <c r="B116" s="55">
        <v>94.23</v>
      </c>
      <c r="C116" s="31">
        <f t="shared" si="4"/>
        <v>0.91370115388344819</v>
      </c>
      <c r="D116" s="50">
        <v>44928</v>
      </c>
      <c r="E116" s="51">
        <v>3970.15</v>
      </c>
      <c r="F116" s="31">
        <f t="shared" si="5"/>
        <v>0.9738875533532847</v>
      </c>
    </row>
    <row r="117" spans="1:6" x14ac:dyDescent="0.35">
      <c r="A117" s="56">
        <v>44929</v>
      </c>
      <c r="B117" s="57">
        <v>103.29</v>
      </c>
      <c r="C117" s="31">
        <f t="shared" si="4"/>
        <v>1.0961477236548871</v>
      </c>
      <c r="D117" s="52">
        <v>44929</v>
      </c>
      <c r="E117" s="53">
        <v>4109.3100000000004</v>
      </c>
      <c r="F117" s="31">
        <f t="shared" si="5"/>
        <v>1.035051572358727</v>
      </c>
    </row>
    <row r="118" spans="1:6" x14ac:dyDescent="0.35">
      <c r="A118" s="54">
        <v>44930</v>
      </c>
      <c r="B118" s="55">
        <v>105.45</v>
      </c>
      <c r="C118" s="31">
        <f t="shared" si="4"/>
        <v>1.0209119953528898</v>
      </c>
      <c r="D118" s="50">
        <v>44930</v>
      </c>
      <c r="E118" s="51">
        <v>4169.4799999999996</v>
      </c>
      <c r="F118" s="31">
        <f t="shared" si="5"/>
        <v>1.0146423608829704</v>
      </c>
    </row>
    <row r="119" spans="1:6" x14ac:dyDescent="0.35">
      <c r="A119" s="56">
        <v>44931</v>
      </c>
      <c r="B119" s="57">
        <v>120.58</v>
      </c>
      <c r="C119" s="31">
        <f t="shared" si="4"/>
        <v>1.1434803224276908</v>
      </c>
      <c r="D119" s="52">
        <v>44931</v>
      </c>
      <c r="E119" s="53">
        <v>4179.83</v>
      </c>
      <c r="F119" s="31">
        <f t="shared" si="5"/>
        <v>1.0024823239348792</v>
      </c>
    </row>
    <row r="120" spans="1:6" x14ac:dyDescent="0.35">
      <c r="A120" s="54">
        <v>44932</v>
      </c>
      <c r="B120" s="55">
        <v>130.36000000000001</v>
      </c>
      <c r="C120" s="31">
        <f t="shared" si="4"/>
        <v>1.0811079781058219</v>
      </c>
      <c r="D120" s="50">
        <v>44932</v>
      </c>
      <c r="E120" s="51">
        <v>4450.38</v>
      </c>
      <c r="F120" s="31">
        <f t="shared" si="5"/>
        <v>1.0647275128414313</v>
      </c>
    </row>
    <row r="121" spans="1:6" x14ac:dyDescent="0.35">
      <c r="A121" s="56">
        <v>44933</v>
      </c>
      <c r="B121" s="57">
        <v>129.78</v>
      </c>
      <c r="C121" s="31">
        <f t="shared" si="4"/>
        <v>0.99555078244860373</v>
      </c>
      <c r="D121" s="52">
        <v>44933</v>
      </c>
      <c r="E121" s="53">
        <v>4398.95</v>
      </c>
      <c r="F121" s="31">
        <f t="shared" si="5"/>
        <v>0.98844368346073808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0257-5A03-462C-9C52-EBFC0F0E1344}">
  <dimension ref="B3:F17"/>
  <sheetViews>
    <sheetView zoomScale="160" zoomScaleNormal="160" workbookViewId="0">
      <selection activeCell="F8" sqref="F8"/>
    </sheetView>
  </sheetViews>
  <sheetFormatPr defaultColWidth="9.09765625" defaultRowHeight="14" x14ac:dyDescent="0.3"/>
  <cols>
    <col min="1" max="4" width="9.09765625" style="34"/>
    <col min="5" max="5" width="19.296875" style="34" customWidth="1"/>
    <col min="6" max="6" width="15" style="40" customWidth="1"/>
    <col min="7" max="16384" width="9.09765625" style="34"/>
  </cols>
  <sheetData>
    <row r="3" spans="2:6" x14ac:dyDescent="0.3">
      <c r="B3" s="34" t="s">
        <v>78</v>
      </c>
    </row>
    <row r="5" spans="2:6" x14ac:dyDescent="0.3">
      <c r="C5" s="34" t="s">
        <v>79</v>
      </c>
      <c r="F5" s="40">
        <v>0</v>
      </c>
    </row>
    <row r="6" spans="2:6" x14ac:dyDescent="0.3">
      <c r="C6" s="34" t="s">
        <v>80</v>
      </c>
      <c r="F6" s="40">
        <v>140118000</v>
      </c>
    </row>
    <row r="7" spans="2:6" x14ac:dyDescent="0.3">
      <c r="C7" s="34" t="s">
        <v>81</v>
      </c>
      <c r="F7" s="40">
        <f>SUM(F5:F6)</f>
        <v>140118000</v>
      </c>
    </row>
    <row r="8" spans="2:6" x14ac:dyDescent="0.3">
      <c r="C8" s="34" t="s">
        <v>82</v>
      </c>
      <c r="F8" s="40">
        <v>2367000</v>
      </c>
    </row>
    <row r="10" spans="2:6" x14ac:dyDescent="0.3">
      <c r="C10" s="34" t="s">
        <v>83</v>
      </c>
      <c r="F10" s="41">
        <f>F8/F7</f>
        <v>1.6892904551877704E-2</v>
      </c>
    </row>
    <row r="13" spans="2:6" x14ac:dyDescent="0.3">
      <c r="B13" s="34" t="s">
        <v>84</v>
      </c>
    </row>
    <row r="14" spans="2:6" x14ac:dyDescent="0.3">
      <c r="F14" s="40">
        <v>2022</v>
      </c>
    </row>
    <row r="15" spans="2:6" x14ac:dyDescent="0.3">
      <c r="C15" s="34" t="s">
        <v>85</v>
      </c>
      <c r="F15" s="40">
        <v>-5936000</v>
      </c>
    </row>
    <row r="16" spans="2:6" x14ac:dyDescent="0.3">
      <c r="C16" s="34" t="s">
        <v>86</v>
      </c>
      <c r="F16" s="40">
        <v>-3217000</v>
      </c>
    </row>
    <row r="17" spans="3:6" x14ac:dyDescent="0.3">
      <c r="C17" s="34" t="s">
        <v>87</v>
      </c>
      <c r="F17" s="41">
        <v>0.21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8F78-3611-40ED-A9A8-E9FF04B714C2}">
  <dimension ref="C3:J6"/>
  <sheetViews>
    <sheetView zoomScale="78" workbookViewId="0"/>
  </sheetViews>
  <sheetFormatPr defaultColWidth="10.59765625" defaultRowHeight="14" x14ac:dyDescent="0.3"/>
  <sheetData>
    <row r="3" spans="3:10" x14ac:dyDescent="0.3">
      <c r="C3" s="42" t="s">
        <v>88</v>
      </c>
      <c r="H3" t="s">
        <v>89</v>
      </c>
      <c r="J3" s="37">
        <v>4.0500000000000001E-2</v>
      </c>
    </row>
    <row r="6" spans="3:10" x14ac:dyDescent="0.3">
      <c r="F6" s="49"/>
    </row>
  </sheetData>
  <hyperlinks>
    <hyperlink ref="C3" r:id="rId1" xr:uid="{A883317E-7EC6-4432-A263-01130BE8EEE7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WACC</vt:lpstr>
      <vt:lpstr>Regression</vt:lpstr>
      <vt:lpstr>Beta</vt:lpstr>
      <vt:lpstr>Cost of Debt</vt:lpstr>
      <vt:lpstr>10 year bond yield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2020-12-10T14:12:42Z</dcterms:created>
  <dcterms:modified xsi:type="dcterms:W3CDTF">2023-07-14T18:17:48Z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19868d-90ac-495b-9a77-a3accd50cde5_Enabled">
    <vt:lpwstr>true</vt:lpwstr>
  </property>
  <property fmtid="{D5CDD505-2E9C-101B-9397-08002B2CF9AE}" pid="3" name="MSIP_Label_8519868d-90ac-495b-9a77-a3accd50cde5_SetDate">
    <vt:lpwstr>2023-02-14T19:42:14Z</vt:lpwstr>
  </property>
  <property fmtid="{D5CDD505-2E9C-101B-9397-08002B2CF9AE}" pid="4" name="MSIP_Label_8519868d-90ac-495b-9a77-a3accd50cde5_Method">
    <vt:lpwstr>Standard</vt:lpwstr>
  </property>
  <property fmtid="{D5CDD505-2E9C-101B-9397-08002B2CF9AE}" pid="5" name="MSIP_Label_8519868d-90ac-495b-9a77-a3accd50cde5_Name">
    <vt:lpwstr>Proprietary</vt:lpwstr>
  </property>
  <property fmtid="{D5CDD505-2E9C-101B-9397-08002B2CF9AE}" pid="6" name="MSIP_Label_8519868d-90ac-495b-9a77-a3accd50cde5_SiteId">
    <vt:lpwstr>f798cb4f-b8b7-45f7-ad25-1ff5f130070a</vt:lpwstr>
  </property>
  <property fmtid="{D5CDD505-2E9C-101B-9397-08002B2CF9AE}" pid="7" name="MSIP_Label_8519868d-90ac-495b-9a77-a3accd50cde5_ActionId">
    <vt:lpwstr>7a0ef175-2dca-4c0a-98cf-a1851898e286</vt:lpwstr>
  </property>
  <property fmtid="{D5CDD505-2E9C-101B-9397-08002B2CF9AE}" pid="8" name="MSIP_Label_8519868d-90ac-495b-9a77-a3accd50cde5_ContentBits">
    <vt:lpwstr>0</vt:lpwstr>
  </property>
</Properties>
</file>