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ssumptions" sheetId="1" r:id="rId1"/>
    <sheet name="Sources_Uses" sheetId="2" r:id="rId2"/>
    <sheet name="ProForma_BS" sheetId="3" r:id="rId3"/>
    <sheet name="Forecast_FCF" sheetId="4" r:id="rId4"/>
    <sheet name="DebtSchedule" sheetId="5" r:id="rId5"/>
    <sheet name="Returns" sheetId="6" r:id="rId6"/>
  </sheets>
  <definedNames>
    <definedName name="BaseYear">Assumptions!$B$8</definedName>
    <definedName name="Capex_pct">Assumptions!$B$17</definedName>
    <definedName name="DA_pct">Assumptions!$B$16</definedName>
    <definedName name="Debt_Bal">DebtSchedule!$B$5:$F$8</definedName>
    <definedName name="DebtBank_pct">Assumptions!$B$27</definedName>
    <definedName name="DebtMezz_pct">Assumptions!$B$28</definedName>
    <definedName name="DebtRepayment">DebtSchedule!$B$7:$F$7</definedName>
    <definedName name="EBITDA_m">Assumptions!$B$15</definedName>
    <definedName name="EntryEV">Assumptions!$B$26</definedName>
    <definedName name="Equity_pct">Assumptions!$B$29</definedName>
    <definedName name="EquityInvested">Sources_Uses!$B$6</definedName>
    <definedName name="EquityValue">Returns!$B$12</definedName>
    <definedName name="FCFF_Row">Forecast_FCF!$B$13:$F$13</definedName>
    <definedName name="g_rev">Assumptions!$B$14</definedName>
    <definedName name="HoldPeriod">Assumptions!$B$9</definedName>
    <definedName name="Interest">DebtSchedule!$B$6:$F$6</definedName>
    <definedName name="InterestBank">Assumptions!$B$30</definedName>
    <definedName name="InterestMezz">Assumptions!$B$31</definedName>
    <definedName name="IRR">Returns!$B$15</definedName>
    <definedName name="MOIC">Returns!$B$16</definedName>
    <definedName name="NWC_pct">Assumptions!$B$18</definedName>
    <definedName name="Rev0">Assumptions!$B$13</definedName>
    <definedName name="TaxRate">Assumptions!$B$19</definedName>
    <definedName name="TotalDebt">Sources_Uses!$B$4+$B$5</definedName>
    <definedName name="TxFees">Assumptions!$B$32</definedName>
  </definedNames>
  <calcPr calcId="124519" fullCalcOnLoad="1"/>
</workbook>
</file>

<file path=xl/sharedStrings.xml><?xml version="1.0" encoding="utf-8"?>
<sst xmlns="http://schemas.openxmlformats.org/spreadsheetml/2006/main" count="116" uniqueCount="93">
  <si>
    <t>Canada Goose LBO Assumptions &amp; Drivers</t>
  </si>
  <si>
    <t>Company Information</t>
  </si>
  <si>
    <t>Company Name</t>
  </si>
  <si>
    <t>Canada Goose Holdings Inc.</t>
  </si>
  <si>
    <t>Ticker</t>
  </si>
  <si>
    <t>GOOS</t>
  </si>
  <si>
    <t>Timing / Horizon</t>
  </si>
  <si>
    <t>Base Year (Actual)</t>
  </si>
  <si>
    <t>Holding Period (Years)</t>
  </si>
  <si>
    <t>Operating / Financial Drivers</t>
  </si>
  <si>
    <t>Revenue (Base Year)</t>
  </si>
  <si>
    <t>Revenue Growth %</t>
  </si>
  <si>
    <t>EBITDA Margin %</t>
  </si>
  <si>
    <t>D&amp;A % of Revenue</t>
  </si>
  <si>
    <t>CapEx % of Revenue</t>
  </si>
  <si>
    <t>NWC % of Revenue</t>
  </si>
  <si>
    <t>Tax Rate %</t>
  </si>
  <si>
    <t>Purchase / Transaction Assumptions</t>
  </si>
  <si>
    <t>Entry Purchase Price (EV)</t>
  </si>
  <si>
    <t>Bank Debt %</t>
  </si>
  <si>
    <t>Mezzanine Debt %</t>
  </si>
  <si>
    <t>Equity %</t>
  </si>
  <si>
    <t>Bank Debt Interest Rate %</t>
  </si>
  <si>
    <t>Mezzanine Interest Rate %</t>
  </si>
  <si>
    <t>Transaction Fees</t>
  </si>
  <si>
    <t>Canada Goose Sources &amp; Uses</t>
  </si>
  <si>
    <t>Sources</t>
  </si>
  <si>
    <t>Bank Debt</t>
  </si>
  <si>
    <t>Mezzanine Debt</t>
  </si>
  <si>
    <t>Equity Contribution</t>
  </si>
  <si>
    <t>Total Sources</t>
  </si>
  <si>
    <t>Uses</t>
  </si>
  <si>
    <t>Purchase Price (EV)</t>
  </si>
  <si>
    <t>Debt Repayment Reserve</t>
  </si>
  <si>
    <t>Working Capital Adjustment</t>
  </si>
  <si>
    <t>Total Uses</t>
  </si>
  <si>
    <t>Balance Check (Sources - Uses)</t>
  </si>
  <si>
    <t>Canada Goose Pro Forma Balance Sheet</t>
  </si>
  <si>
    <t>Assets</t>
  </si>
  <si>
    <t>Cash &amp; Cash Equivalents</t>
  </si>
  <si>
    <t>Accounts Receivable</t>
  </si>
  <si>
    <t>Inventory</t>
  </si>
  <si>
    <t>PP&amp;E</t>
  </si>
  <si>
    <t>Total Assets</t>
  </si>
  <si>
    <t>Liabilities &amp; Equity</t>
  </si>
  <si>
    <t>Accounts Payable</t>
  </si>
  <si>
    <t>Other Liabilities</t>
  </si>
  <si>
    <t>Equity (Book Value)</t>
  </si>
  <si>
    <t>Total Liabilities &amp; Equity</t>
  </si>
  <si>
    <t>Balance Check (Assets - Liab+Equity)</t>
  </si>
  <si>
    <t>Canada Goose Financial Forecast &amp; Free Cash Flow</t>
  </si>
  <si>
    <t>Item</t>
  </si>
  <si>
    <t>Year 1</t>
  </si>
  <si>
    <t>Year 2</t>
  </si>
  <si>
    <t>Year 3</t>
  </si>
  <si>
    <t>Year 4</t>
  </si>
  <si>
    <t>Year 5</t>
  </si>
  <si>
    <t>Revenue</t>
  </si>
  <si>
    <t>N/A</t>
  </si>
  <si>
    <t>EBITDA</t>
  </si>
  <si>
    <t>Depreciation &amp; Amortization</t>
  </si>
  <si>
    <t>EBIT</t>
  </si>
  <si>
    <t>Taxes</t>
  </si>
  <si>
    <t>NOPAT</t>
  </si>
  <si>
    <t>CapEx</t>
  </si>
  <si>
    <t>ΔNWC</t>
  </si>
  <si>
    <t>Unlevered Free Cash Flow (UFCF)</t>
  </si>
  <si>
    <t>Canada Goose Debt Schedule</t>
  </si>
  <si>
    <t>Beginning Balance</t>
  </si>
  <si>
    <t>Interest Expense</t>
  </si>
  <si>
    <t>Principal Repayment</t>
  </si>
  <si>
    <t>Ending Balance</t>
  </si>
  <si>
    <t>Canada Goose Returns Analysis</t>
  </si>
  <si>
    <t>Dates</t>
  </si>
  <si>
    <t>Equity Cash Flows</t>
  </si>
  <si>
    <t>Initial Equity Investment</t>
  </si>
  <si>
    <t>Operating Distributions</t>
  </si>
  <si>
    <t>Exit Analysis (Year 5)</t>
  </si>
  <si>
    <t>Exit Enterprise Value</t>
  </si>
  <si>
    <t>Net Debt at Exit</t>
  </si>
  <si>
    <t>Exit Equity Value</t>
  </si>
  <si>
    <t>Returns Metrics</t>
  </si>
  <si>
    <t>Equity IRR</t>
  </si>
  <si>
    <t>MOIC (Multiple on Invested Capital)</t>
  </si>
  <si>
    <t>Sensitivity Analysis</t>
  </si>
  <si>
    <t>Entry Multiple vs Exit Multiple</t>
  </si>
  <si>
    <t>Exit Multiple →</t>
  </si>
  <si>
    <t>8.0x</t>
  </si>
  <si>
    <t>9.0x</t>
  </si>
  <si>
    <t>10.0x</t>
  </si>
  <si>
    <t>Entry Multiple ↓</t>
  </si>
  <si>
    <t>10.5x</t>
  </si>
  <si>
    <t>11.0x</t>
  </si>
</sst>
</file>

<file path=xl/styles.xml><?xml version="1.0" encoding="utf-8"?>
<styleSheet xmlns="http://schemas.openxmlformats.org/spreadsheetml/2006/main">
  <numFmts count="3">
    <numFmt numFmtId="164" formatCode="$#,##0"/>
    <numFmt numFmtId="165" formatCode="0.0%"/>
    <numFmt numFmtId="166" formatCode="0.0&quot;x&quot;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1F4E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E7D3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8F5E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6" fillId="3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166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workbookViewId="0"/>
  </sheetViews>
  <sheetFormatPr defaultRowHeight="15"/>
  <cols>
    <col min="1" max="1" width="28.7109375" customWidth="1"/>
    <col min="2" max="2" width="16.7109375" customWidth="1"/>
    <col min="3" max="5" width="14.7109375" customWidth="1"/>
  </cols>
  <sheetData>
    <row r="1" spans="1:5">
      <c r="A1" s="1" t="s">
        <v>0</v>
      </c>
      <c r="B1" s="1"/>
      <c r="C1" s="1"/>
      <c r="D1" s="1"/>
      <c r="E1" s="1"/>
    </row>
    <row r="3" spans="1:5">
      <c r="A3" s="2" t="s">
        <v>1</v>
      </c>
    </row>
    <row r="4" spans="1:5">
      <c r="A4" s="3" t="s">
        <v>2</v>
      </c>
      <c r="B4" s="4" t="s">
        <v>3</v>
      </c>
    </row>
    <row r="5" spans="1:5">
      <c r="A5" s="3" t="s">
        <v>4</v>
      </c>
      <c r="B5" s="4" t="s">
        <v>5</v>
      </c>
    </row>
    <row r="7" spans="1:5">
      <c r="A7" s="2" t="s">
        <v>6</v>
      </c>
    </row>
    <row r="8" spans="1:5">
      <c r="A8" s="3" t="s">
        <v>7</v>
      </c>
      <c r="B8" s="4">
        <v>2024</v>
      </c>
    </row>
    <row r="9" spans="1:5">
      <c r="A9" s="3" t="s">
        <v>8</v>
      </c>
      <c r="B9" s="4">
        <v>5</v>
      </c>
    </row>
    <row r="10" spans="1:5">
      <c r="A10" s="2"/>
    </row>
    <row r="12" spans="1:5">
      <c r="A12" s="2" t="s">
        <v>9</v>
      </c>
    </row>
    <row r="13" spans="1:5">
      <c r="A13" s="3" t="s">
        <v>10</v>
      </c>
      <c r="B13" s="4">
        <v>1348400000</v>
      </c>
    </row>
    <row r="14" spans="1:5">
      <c r="A14" s="3" t="s">
        <v>11</v>
      </c>
      <c r="B14" s="5">
        <v>0.12</v>
      </c>
    </row>
    <row r="15" spans="1:5">
      <c r="A15" s="3" t="s">
        <v>12</v>
      </c>
      <c r="B15" s="5">
        <v>0.22</v>
      </c>
    </row>
    <row r="16" spans="1:5">
      <c r="A16" s="3" t="s">
        <v>13</v>
      </c>
      <c r="B16" s="5">
        <v>0.06</v>
      </c>
    </row>
    <row r="17" spans="1:2">
      <c r="A17" s="3" t="s">
        <v>14</v>
      </c>
      <c r="B17" s="5">
        <v>0.1</v>
      </c>
    </row>
    <row r="18" spans="1:2">
      <c r="A18" s="3" t="s">
        <v>15</v>
      </c>
      <c r="B18" s="5">
        <v>0.2</v>
      </c>
    </row>
    <row r="19" spans="1:2">
      <c r="A19" s="3" t="s">
        <v>16</v>
      </c>
      <c r="B19" s="5">
        <v>0.26</v>
      </c>
    </row>
    <row r="20" spans="1:2">
      <c r="A20" s="2"/>
    </row>
    <row r="21" spans="1:2">
      <c r="A21" s="2"/>
    </row>
    <row r="22" spans="1:2">
      <c r="A22" s="2"/>
    </row>
    <row r="23" spans="1:2">
      <c r="A23" s="2"/>
    </row>
    <row r="25" spans="1:2">
      <c r="A25" s="2" t="s">
        <v>17</v>
      </c>
    </row>
    <row r="26" spans="1:2">
      <c r="A26" s="3" t="s">
        <v>18</v>
      </c>
      <c r="B26" s="4">
        <v>1428900000</v>
      </c>
    </row>
    <row r="27" spans="1:2">
      <c r="A27" s="3" t="s">
        <v>19</v>
      </c>
      <c r="B27" s="5">
        <v>0.5</v>
      </c>
    </row>
    <row r="28" spans="1:2">
      <c r="A28" s="3" t="s">
        <v>20</v>
      </c>
      <c r="B28" s="5">
        <v>0.2</v>
      </c>
    </row>
    <row r="29" spans="1:2">
      <c r="A29" s="3" t="s">
        <v>21</v>
      </c>
      <c r="B29" s="5">
        <v>0.3</v>
      </c>
    </row>
    <row r="30" spans="1:2">
      <c r="A30" s="3" t="s">
        <v>22</v>
      </c>
      <c r="B30" s="5">
        <v>0.055</v>
      </c>
    </row>
    <row r="31" spans="1:2">
      <c r="A31" s="3" t="s">
        <v>23</v>
      </c>
      <c r="B31" s="5">
        <v>0.095</v>
      </c>
    </row>
    <row r="32" spans="1:2">
      <c r="A32" s="3" t="s">
        <v>24</v>
      </c>
      <c r="B32" s="4">
        <v>28578000</v>
      </c>
    </row>
    <row r="33" spans="1:1">
      <c r="A33" s="2"/>
    </row>
    <row r="34" spans="1:1">
      <c r="A34" s="2"/>
    </row>
    <row r="35" spans="1:1">
      <c r="A35" s="2"/>
    </row>
  </sheetData>
  <mergeCells count="4">
    <mergeCell ref="A1:E1"/>
    <mergeCell ref="A8:A10"/>
    <mergeCell ref="A13:A23"/>
    <mergeCell ref="A26:A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cols>
    <col min="1" max="1" width="28.7109375" customWidth="1"/>
    <col min="2" max="2" width="16.7109375" customWidth="1"/>
  </cols>
  <sheetData>
    <row r="1" spans="1:2">
      <c r="A1" s="1" t="s">
        <v>25</v>
      </c>
      <c r="B1" s="1"/>
    </row>
    <row r="3" spans="1:2">
      <c r="A3" s="2" t="s">
        <v>26</v>
      </c>
    </row>
    <row r="4" spans="1:2">
      <c r="A4" s="3" t="s">
        <v>27</v>
      </c>
      <c r="B4" s="6">
        <f>EntryEV*DebtBank_pct</f>
        <v>0</v>
      </c>
    </row>
    <row r="5" spans="1:2">
      <c r="A5" s="3" t="s">
        <v>28</v>
      </c>
      <c r="B5" s="6">
        <f>EntryEV*DebtMezz_pct</f>
        <v>0</v>
      </c>
    </row>
    <row r="6" spans="1:2">
      <c r="A6" s="3" t="s">
        <v>29</v>
      </c>
      <c r="B6" s="6">
        <f>EntryEV*Equity_pct</f>
        <v>0</v>
      </c>
    </row>
    <row r="7" spans="1:2">
      <c r="A7" s="2" t="s">
        <v>30</v>
      </c>
      <c r="B7" s="6">
        <f>SUM(B4:B6)</f>
        <v>0</v>
      </c>
    </row>
    <row r="9" spans="1:2">
      <c r="A9" s="2" t="s">
        <v>31</v>
      </c>
    </row>
    <row r="10" spans="1:2">
      <c r="A10" s="3" t="s">
        <v>32</v>
      </c>
      <c r="B10" s="6">
        <f>EntryEV</f>
        <v>0</v>
      </c>
    </row>
    <row r="11" spans="1:2">
      <c r="A11" s="3" t="s">
        <v>24</v>
      </c>
      <c r="B11" s="6">
        <f>TxFees</f>
        <v>0</v>
      </c>
    </row>
    <row r="12" spans="1:2">
      <c r="A12" s="3" t="s">
        <v>33</v>
      </c>
      <c r="B12" s="4">
        <v>25000000</v>
      </c>
    </row>
    <row r="13" spans="1:2">
      <c r="A13" s="3" t="s">
        <v>34</v>
      </c>
      <c r="B13" s="4">
        <v>50000000</v>
      </c>
    </row>
    <row r="14" spans="1:2">
      <c r="A14" s="2" t="s">
        <v>35</v>
      </c>
      <c r="B14" s="6">
        <f>SUM(B10:B13)</f>
        <v>0</v>
      </c>
    </row>
    <row r="16" spans="1:2">
      <c r="A16" s="2" t="s">
        <v>36</v>
      </c>
      <c r="B16" s="6">
        <f>B7-B14</f>
        <v>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8"/>
  <sheetViews>
    <sheetView workbookViewId="0"/>
  </sheetViews>
  <sheetFormatPr defaultRowHeight="15"/>
  <cols>
    <col min="1" max="1" width="28.7109375" customWidth="1"/>
    <col min="2" max="3" width="16.7109375" customWidth="1"/>
  </cols>
  <sheetData>
    <row r="1" spans="1:3">
      <c r="A1" s="1" t="s">
        <v>37</v>
      </c>
      <c r="B1" s="1"/>
      <c r="C1" s="1"/>
    </row>
    <row r="3" spans="1:3">
      <c r="A3" s="2" t="s">
        <v>38</v>
      </c>
    </row>
    <row r="4" spans="1:3">
      <c r="A4" s="3" t="s">
        <v>39</v>
      </c>
      <c r="B4" s="6">
        <v>200000000</v>
      </c>
    </row>
    <row r="5" spans="1:3">
      <c r="A5" s="3" t="s">
        <v>40</v>
      </c>
      <c r="B5" s="6">
        <v>100000000</v>
      </c>
    </row>
    <row r="6" spans="1:3">
      <c r="A6" s="3" t="s">
        <v>41</v>
      </c>
      <c r="B6" s="6">
        <v>300000000</v>
      </c>
    </row>
    <row r="7" spans="1:3">
      <c r="A7" s="3" t="s">
        <v>42</v>
      </c>
      <c r="B7" s="6">
        <v>400000000</v>
      </c>
    </row>
    <row r="8" spans="1:3">
      <c r="A8" s="2" t="s">
        <v>43</v>
      </c>
      <c r="B8" s="6">
        <f>SUM(B4:B7)</f>
        <v>0</v>
      </c>
    </row>
    <row r="10" spans="1:3">
      <c r="A10" s="2" t="s">
        <v>44</v>
      </c>
    </row>
    <row r="11" spans="1:3">
      <c r="A11" s="3" t="s">
        <v>27</v>
      </c>
      <c r="B11" s="6">
        <f>EntryEV*DebtBank_pct</f>
        <v>0</v>
      </c>
    </row>
    <row r="12" spans="1:3">
      <c r="A12" s="3" t="s">
        <v>28</v>
      </c>
      <c r="B12" s="6">
        <f>EntryEV*DebtMezz_pct</f>
        <v>0</v>
      </c>
    </row>
    <row r="13" spans="1:3">
      <c r="A13" s="3" t="s">
        <v>45</v>
      </c>
      <c r="B13" s="6">
        <v>150000000</v>
      </c>
    </row>
    <row r="14" spans="1:3">
      <c r="A14" s="3" t="s">
        <v>46</v>
      </c>
      <c r="B14" s="6">
        <v>100000000</v>
      </c>
    </row>
    <row r="15" spans="1:3">
      <c r="A15" s="3" t="s">
        <v>47</v>
      </c>
      <c r="B15" s="7">
        <f>EquityInvested</f>
        <v>0</v>
      </c>
    </row>
    <row r="16" spans="1:3">
      <c r="A16" s="2" t="s">
        <v>48</v>
      </c>
      <c r="B16" s="6">
        <f>SUM(B11:B15)</f>
        <v>0</v>
      </c>
    </row>
    <row r="18" spans="1:2">
      <c r="A18" s="2" t="s">
        <v>49</v>
      </c>
      <c r="B18" s="6">
        <f>B8-B16</f>
        <v>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cols>
    <col min="1" max="1" width="28.7109375" customWidth="1"/>
    <col min="2" max="7" width="14.7109375" customWidth="1"/>
  </cols>
  <sheetData>
    <row r="1" spans="1:7">
      <c r="A1" s="1" t="s">
        <v>50</v>
      </c>
      <c r="B1" s="1"/>
      <c r="C1" s="1"/>
      <c r="D1" s="1"/>
      <c r="E1" s="1"/>
      <c r="F1" s="1"/>
      <c r="G1" s="1"/>
    </row>
    <row r="3" spans="1:7">
      <c r="A3" s="2" t="s">
        <v>51</v>
      </c>
      <c r="B3" s="8" t="s">
        <v>52</v>
      </c>
      <c r="C3" s="8" t="s">
        <v>53</v>
      </c>
      <c r="D3" s="8" t="s">
        <v>54</v>
      </c>
      <c r="E3" s="8" t="s">
        <v>55</v>
      </c>
      <c r="F3" s="8" t="s">
        <v>56</v>
      </c>
    </row>
    <row r="4" spans="1:7">
      <c r="A4" s="2" t="s">
        <v>57</v>
      </c>
      <c r="B4" s="6">
        <f>Rev0</f>
        <v>0</v>
      </c>
      <c r="C4" s="6">
        <f>B4*(1+g_rev)^1</f>
        <v>0</v>
      </c>
      <c r="D4" s="6">
        <f>B4*(1+g_rev)^2</f>
        <v>0</v>
      </c>
      <c r="E4" s="6">
        <f>B4*(1+g_rev)^3</f>
        <v>0</v>
      </c>
      <c r="F4" s="6">
        <f>B4*(1+g_rev)^4</f>
        <v>0</v>
      </c>
    </row>
    <row r="5" spans="1:7">
      <c r="A5" s="2" t="s">
        <v>11</v>
      </c>
      <c r="B5" s="6" t="s">
        <v>58</v>
      </c>
      <c r="C5" s="5">
        <f>(C4-B4)/B4</f>
        <v>0</v>
      </c>
      <c r="D5" s="5">
        <f>(C4-B4)/B4</f>
        <v>0</v>
      </c>
      <c r="E5" s="5">
        <f>(C4-B4)/B4</f>
        <v>0</v>
      </c>
      <c r="F5" s="5">
        <f>(C4-B4)/B4</f>
        <v>0</v>
      </c>
    </row>
    <row r="6" spans="1:7">
      <c r="A6" s="2" t="s">
        <v>59</v>
      </c>
      <c r="B6" s="6">
        <f>B4*EBITDA_m</f>
        <v>0</v>
      </c>
      <c r="C6" s="6">
        <f>C4*EBITDA_m</f>
        <v>0</v>
      </c>
      <c r="D6" s="6">
        <f>D4*EBITDA_m</f>
        <v>0</v>
      </c>
      <c r="E6" s="6">
        <f>E4*EBITDA_m</f>
        <v>0</v>
      </c>
      <c r="F6" s="6">
        <f>F4*EBITDA_m</f>
        <v>0</v>
      </c>
    </row>
    <row r="7" spans="1:7">
      <c r="A7" s="2" t="s">
        <v>60</v>
      </c>
      <c r="B7" s="6">
        <f>B4*DA_pct</f>
        <v>0</v>
      </c>
      <c r="C7" s="6">
        <f>C4*DA_pct</f>
        <v>0</v>
      </c>
      <c r="D7" s="6">
        <f>D4*DA_pct</f>
        <v>0</v>
      </c>
      <c r="E7" s="6">
        <f>E4*DA_pct</f>
        <v>0</v>
      </c>
      <c r="F7" s="6">
        <f>F4*DA_pct</f>
        <v>0</v>
      </c>
    </row>
    <row r="8" spans="1:7">
      <c r="A8" s="2" t="s">
        <v>61</v>
      </c>
      <c r="B8" s="6">
        <f>B6-B7</f>
        <v>0</v>
      </c>
      <c r="C8" s="6">
        <f>C6-C7</f>
        <v>0</v>
      </c>
      <c r="D8" s="6">
        <f>D6-D7</f>
        <v>0</v>
      </c>
      <c r="E8" s="6">
        <f>E6-E7</f>
        <v>0</v>
      </c>
      <c r="F8" s="6">
        <f>F6-F7</f>
        <v>0</v>
      </c>
    </row>
    <row r="9" spans="1:7">
      <c r="A9" s="2" t="s">
        <v>62</v>
      </c>
      <c r="B9" s="6">
        <f>B8*TaxRate</f>
        <v>0</v>
      </c>
      <c r="C9" s="6">
        <f>C8*TaxRate</f>
        <v>0</v>
      </c>
      <c r="D9" s="6">
        <f>D8*TaxRate</f>
        <v>0</v>
      </c>
      <c r="E9" s="6">
        <f>E8*TaxRate</f>
        <v>0</v>
      </c>
      <c r="F9" s="6">
        <f>F8*TaxRate</f>
        <v>0</v>
      </c>
    </row>
    <row r="10" spans="1:7">
      <c r="A10" s="2" t="s">
        <v>63</v>
      </c>
      <c r="B10" s="6">
        <f>B8-B9</f>
        <v>0</v>
      </c>
      <c r="C10" s="6">
        <f>C8-C9</f>
        <v>0</v>
      </c>
      <c r="D10" s="6">
        <f>D8-D9</f>
        <v>0</v>
      </c>
      <c r="E10" s="6">
        <f>E8-E9</f>
        <v>0</v>
      </c>
      <c r="F10" s="6">
        <f>F8-F9</f>
        <v>0</v>
      </c>
    </row>
    <row r="11" spans="1:7">
      <c r="A11" s="2" t="s">
        <v>64</v>
      </c>
      <c r="B11" s="6">
        <f>B4*Capex_pct</f>
        <v>0</v>
      </c>
      <c r="C11" s="6">
        <f>C4*Capex_pct</f>
        <v>0</v>
      </c>
      <c r="D11" s="6">
        <f>D4*Capex_pct</f>
        <v>0</v>
      </c>
      <c r="E11" s="6">
        <f>E4*Capex_pct</f>
        <v>0</v>
      </c>
      <c r="F11" s="6">
        <f>F4*Capex_pct</f>
        <v>0</v>
      </c>
    </row>
    <row r="12" spans="1:7">
      <c r="A12" s="2" t="s">
        <v>65</v>
      </c>
      <c r="B12" s="6">
        <v>0</v>
      </c>
      <c r="C12" s="6">
        <f>C4*NWC_pct-B4*NWC_pct</f>
        <v>0</v>
      </c>
      <c r="D12" s="6">
        <f>D4*NWC_pct-C4*NWC_pct</f>
        <v>0</v>
      </c>
      <c r="E12" s="6">
        <f>E4*NWC_pct-D4*NWC_pct</f>
        <v>0</v>
      </c>
      <c r="F12" s="6">
        <f>F4*NWC_pct-E4*NWC_pct</f>
        <v>0</v>
      </c>
    </row>
    <row r="13" spans="1:7">
      <c r="A13" s="2" t="s">
        <v>66</v>
      </c>
      <c r="B13" s="6">
        <f>B10-B11-B12</f>
        <v>0</v>
      </c>
      <c r="C13" s="6">
        <f>C10-C11-C12</f>
        <v>0</v>
      </c>
      <c r="D13" s="6">
        <f>D10-D11-D12</f>
        <v>0</v>
      </c>
      <c r="E13" s="6">
        <f>E10-E11-E12</f>
        <v>0</v>
      </c>
      <c r="F13" s="6">
        <f>F10-F11-F12</f>
        <v>0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"/>
  <sheetViews>
    <sheetView workbookViewId="0"/>
  </sheetViews>
  <sheetFormatPr defaultRowHeight="15"/>
  <cols>
    <col min="1" max="1" width="28.7109375" customWidth="1"/>
    <col min="2" max="7" width="14.7109375" customWidth="1"/>
  </cols>
  <sheetData>
    <row r="1" spans="1:7">
      <c r="A1" s="1" t="s">
        <v>67</v>
      </c>
      <c r="B1" s="1"/>
      <c r="C1" s="1"/>
      <c r="D1" s="1"/>
      <c r="E1" s="1"/>
      <c r="F1" s="1"/>
      <c r="G1" s="1"/>
    </row>
    <row r="3" spans="1:7">
      <c r="A3" s="2" t="s">
        <v>51</v>
      </c>
      <c r="B3" s="8" t="s">
        <v>52</v>
      </c>
      <c r="C3" s="8" t="s">
        <v>53</v>
      </c>
      <c r="D3" s="8" t="s">
        <v>54</v>
      </c>
      <c r="E3" s="8" t="s">
        <v>55</v>
      </c>
      <c r="F3" s="8" t="s">
        <v>56</v>
      </c>
    </row>
    <row r="4" spans="1:7">
      <c r="A4" s="2" t="s">
        <v>27</v>
      </c>
    </row>
    <row r="5" spans="1:7">
      <c r="A5" s="2" t="s">
        <v>68</v>
      </c>
      <c r="B5" s="6">
        <f>Sources_Uses!$B$4</f>
        <v>0</v>
      </c>
      <c r="C5" s="6">
        <f>B8</f>
        <v>0</v>
      </c>
      <c r="D5" s="6">
        <f>C8</f>
        <v>0</v>
      </c>
      <c r="E5" s="6">
        <f>D8</f>
        <v>0</v>
      </c>
      <c r="F5" s="6">
        <f>E8</f>
        <v>0</v>
      </c>
    </row>
    <row r="6" spans="1:7">
      <c r="A6" s="2" t="s">
        <v>69</v>
      </c>
      <c r="B6" s="6">
        <f>B5*InterestBank</f>
        <v>0</v>
      </c>
      <c r="C6" s="6">
        <f>C5*InterestBank</f>
        <v>0</v>
      </c>
      <c r="D6" s="6">
        <f>D5*InterestBank</f>
        <v>0</v>
      </c>
      <c r="E6" s="6">
        <f>E5*InterestBank</f>
        <v>0</v>
      </c>
      <c r="F6" s="6">
        <f>F5*InterestBank</f>
        <v>0</v>
      </c>
    </row>
    <row r="7" spans="1:7">
      <c r="A7" s="2" t="s">
        <v>70</v>
      </c>
      <c r="B7" s="6">
        <f>MIN(B5, Forecast_FCF!B13)</f>
        <v>0</v>
      </c>
      <c r="C7" s="6">
        <f>MIN(C5, Forecast_FCF!C13)</f>
        <v>0</v>
      </c>
      <c r="D7" s="6">
        <f>MIN(D5, Forecast_FCF!D13)</f>
        <v>0</v>
      </c>
      <c r="E7" s="6">
        <f>MIN(E5, Forecast_FCF!E13)</f>
        <v>0</v>
      </c>
      <c r="F7" s="6">
        <f>MIN(F5, Forecast_FCF!F13)</f>
        <v>0</v>
      </c>
    </row>
    <row r="8" spans="1:7">
      <c r="A8" s="2" t="s">
        <v>71</v>
      </c>
      <c r="B8" s="6">
        <f>B5-B7</f>
        <v>0</v>
      </c>
      <c r="C8" s="6">
        <f>C5-C7</f>
        <v>0</v>
      </c>
      <c r="D8" s="6">
        <f>D5-D7</f>
        <v>0</v>
      </c>
      <c r="E8" s="6">
        <f>E5-E7</f>
        <v>0</v>
      </c>
      <c r="F8" s="6">
        <f>F5-F7</f>
        <v>0</v>
      </c>
    </row>
    <row r="10" spans="1:7">
      <c r="A10" s="2" t="s">
        <v>28</v>
      </c>
    </row>
    <row r="11" spans="1:7">
      <c r="A11" s="2" t="s">
        <v>68</v>
      </c>
      <c r="B11" s="6">
        <f>Sources_Uses!$B$5</f>
        <v>0</v>
      </c>
      <c r="C11" s="6">
        <f>B14</f>
        <v>0</v>
      </c>
      <c r="D11" s="6">
        <f>C14</f>
        <v>0</v>
      </c>
      <c r="E11" s="6">
        <f>D14</f>
        <v>0</v>
      </c>
      <c r="F11" s="6">
        <f>E14</f>
        <v>0</v>
      </c>
    </row>
    <row r="12" spans="1:7">
      <c r="A12" s="2" t="s">
        <v>69</v>
      </c>
      <c r="B12" s="6">
        <f>B11*InterestMezz</f>
        <v>0</v>
      </c>
      <c r="C12" s="6">
        <f>C11*InterestMezz</f>
        <v>0</v>
      </c>
      <c r="D12" s="6">
        <f>D11*InterestMezz</f>
        <v>0</v>
      </c>
      <c r="E12" s="6">
        <f>E11*InterestMezz</f>
        <v>0</v>
      </c>
      <c r="F12" s="6">
        <f>F11*InterestMezz</f>
        <v>0</v>
      </c>
    </row>
    <row r="13" spans="1:7">
      <c r="A13" s="2" t="s">
        <v>70</v>
      </c>
      <c r="B13" s="6">
        <v>0</v>
      </c>
      <c r="C13" s="6">
        <v>0</v>
      </c>
      <c r="D13" s="6">
        <v>0</v>
      </c>
      <c r="E13" s="6">
        <v>0</v>
      </c>
      <c r="F13" s="6">
        <f>F11</f>
        <v>0</v>
      </c>
    </row>
    <row r="14" spans="1:7">
      <c r="A14" s="2" t="s">
        <v>71</v>
      </c>
      <c r="B14" s="6">
        <f>B11-B13</f>
        <v>0</v>
      </c>
      <c r="C14" s="6">
        <f>C11-C13</f>
        <v>0</v>
      </c>
      <c r="D14" s="6">
        <f>D11-D13</f>
        <v>0</v>
      </c>
      <c r="E14" s="6">
        <f>E11-E13</f>
        <v>0</v>
      </c>
      <c r="F14" s="6">
        <f>F11-F13</f>
        <v>0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3"/>
  <sheetViews>
    <sheetView workbookViewId="0"/>
  </sheetViews>
  <sheetFormatPr defaultRowHeight="15"/>
  <cols>
    <col min="1" max="1" width="28.7109375" customWidth="1"/>
    <col min="2" max="7" width="14.7109375" customWidth="1"/>
  </cols>
  <sheetData>
    <row r="1" spans="1:7">
      <c r="A1" s="1" t="s">
        <v>72</v>
      </c>
      <c r="B1" s="1"/>
      <c r="C1" s="1"/>
      <c r="D1" s="1"/>
      <c r="E1" s="1"/>
      <c r="F1" s="1"/>
      <c r="G1" s="1"/>
    </row>
    <row r="3" spans="1:7">
      <c r="A3" s="2" t="s">
        <v>73</v>
      </c>
      <c r="B3" s="6">
        <f>BaseYear</f>
        <v>0</v>
      </c>
      <c r="C3" s="6">
        <f>BaseYear+1</f>
        <v>0</v>
      </c>
      <c r="D3" s="6">
        <f>BaseYear+2</f>
        <v>0</v>
      </c>
      <c r="E3" s="6">
        <f>BaseYear+3</f>
        <v>0</v>
      </c>
      <c r="F3" s="6">
        <f>BaseYear+4</f>
        <v>0</v>
      </c>
      <c r="G3" s="6">
        <f>BaseYear+5</f>
        <v>0</v>
      </c>
    </row>
    <row r="4" spans="1:7">
      <c r="A4" s="2" t="s">
        <v>74</v>
      </c>
    </row>
    <row r="5" spans="1:7">
      <c r="A5" s="2" t="s">
        <v>75</v>
      </c>
      <c r="B5" s="6">
        <f>-EquityInvested</f>
        <v>0</v>
      </c>
    </row>
    <row r="7" spans="1:7">
      <c r="A7" s="2" t="s">
        <v>76</v>
      </c>
      <c r="B7" s="6">
        <f>Forecast_FCF!B13-DebtSchedule!B7</f>
        <v>0</v>
      </c>
      <c r="C7" s="6">
        <f>Forecast_FCF!C13-DebtSchedule!C7</f>
        <v>0</v>
      </c>
      <c r="D7" s="6">
        <f>Forecast_FCF!D13-DebtSchedule!D7</f>
        <v>0</v>
      </c>
      <c r="E7" s="6">
        <f>Forecast_FCF!E13-DebtSchedule!E7</f>
        <v>0</v>
      </c>
      <c r="F7" s="6">
        <f>Forecast_FCF!F13-DebtSchedule!F7+B12</f>
        <v>0</v>
      </c>
    </row>
    <row r="9" spans="1:7">
      <c r="A9" s="2" t="s">
        <v>77</v>
      </c>
    </row>
    <row r="10" spans="1:7">
      <c r="A10" s="3" t="s">
        <v>78</v>
      </c>
      <c r="B10" s="6">
        <f>Forecast_FCF!F6*12</f>
        <v>0</v>
      </c>
    </row>
    <row r="11" spans="1:7">
      <c r="A11" s="2" t="s">
        <v>79</v>
      </c>
      <c r="B11" s="6">
        <f>DebtSchedule!F8+DebtSchedule!F14</f>
        <v>0</v>
      </c>
    </row>
    <row r="12" spans="1:7">
      <c r="A12" s="2" t="s">
        <v>80</v>
      </c>
      <c r="B12" s="7">
        <f>B10-B11</f>
        <v>0</v>
      </c>
    </row>
    <row r="14" spans="1:7">
      <c r="A14" s="2" t="s">
        <v>81</v>
      </c>
    </row>
    <row r="15" spans="1:7">
      <c r="A15" s="2" t="s">
        <v>82</v>
      </c>
      <c r="B15" s="5">
        <f>XIRR(B6:F6,B3:F3)</f>
        <v>0</v>
      </c>
    </row>
    <row r="16" spans="1:7">
      <c r="A16" s="2" t="s">
        <v>83</v>
      </c>
      <c r="B16" s="9">
        <f>B12/-B6</f>
        <v>0</v>
      </c>
    </row>
    <row r="18" spans="1:5">
      <c r="A18" s="2" t="s">
        <v>84</v>
      </c>
    </row>
    <row r="19" spans="1:5">
      <c r="A19" s="2" t="s">
        <v>85</v>
      </c>
    </row>
    <row r="20" spans="1:5">
      <c r="B20" s="2" t="s">
        <v>86</v>
      </c>
      <c r="C20" s="9" t="s">
        <v>87</v>
      </c>
      <c r="D20" s="9" t="s">
        <v>88</v>
      </c>
      <c r="E20" s="9" t="s">
        <v>89</v>
      </c>
    </row>
    <row r="21" spans="1:5">
      <c r="A21" s="2" t="s">
        <v>90</v>
      </c>
      <c r="B21" s="9" t="s">
        <v>89</v>
      </c>
      <c r="C21" s="5">
        <v>-0.043647500209963</v>
      </c>
      <c r="D21" s="5">
        <v>-0.0208516376390232</v>
      </c>
      <c r="E21" s="5">
        <v>0</v>
      </c>
    </row>
    <row r="22" spans="1:5">
      <c r="B22" s="9" t="s">
        <v>91</v>
      </c>
      <c r="C22" s="5">
        <v>-0.05293423548032761</v>
      </c>
      <c r="D22" s="5">
        <v>-0.03035973390442093</v>
      </c>
      <c r="E22" s="5">
        <v>-0.009710577713137658</v>
      </c>
    </row>
    <row r="23" spans="1:5">
      <c r="B23" s="9" t="s">
        <v>92</v>
      </c>
      <c r="C23" s="5">
        <v>-0.06170487402194635</v>
      </c>
      <c r="D23" s="5">
        <v>-0.03933943162756326</v>
      </c>
      <c r="E23" s="5">
        <v>-0.01888150427373569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25</vt:i4>
      </vt:variant>
    </vt:vector>
  </HeadingPairs>
  <TitlesOfParts>
    <vt:vector size="31" baseType="lpstr">
      <vt:lpstr>Assumptions</vt:lpstr>
      <vt:lpstr>Sources_Uses</vt:lpstr>
      <vt:lpstr>ProForma_BS</vt:lpstr>
      <vt:lpstr>Forecast_FCF</vt:lpstr>
      <vt:lpstr>DebtSchedule</vt:lpstr>
      <vt:lpstr>Returns</vt:lpstr>
      <vt:lpstr>BaseYear</vt:lpstr>
      <vt:lpstr>Capex_pct</vt:lpstr>
      <vt:lpstr>DA_pct</vt:lpstr>
      <vt:lpstr>Debt_Bal</vt:lpstr>
      <vt:lpstr>DebtBank_pct</vt:lpstr>
      <vt:lpstr>DebtMezz_pct</vt:lpstr>
      <vt:lpstr>DebtRepayment</vt:lpstr>
      <vt:lpstr>EBITDA_m</vt:lpstr>
      <vt:lpstr>EntryEV</vt:lpstr>
      <vt:lpstr>Equity_pct</vt:lpstr>
      <vt:lpstr>EquityInvested</vt:lpstr>
      <vt:lpstr>EquityValue</vt:lpstr>
      <vt:lpstr>FCFF_Row</vt:lpstr>
      <vt:lpstr>g_rev</vt:lpstr>
      <vt:lpstr>HoldPeriod</vt:lpstr>
      <vt:lpstr>Interest</vt:lpstr>
      <vt:lpstr>InterestBank</vt:lpstr>
      <vt:lpstr>InterestMezz</vt:lpstr>
      <vt:lpstr>IRR</vt:lpstr>
      <vt:lpstr>MOIC</vt:lpstr>
      <vt:lpstr>NWC_pct</vt:lpstr>
      <vt:lpstr>Rev0</vt:lpstr>
      <vt:lpstr>TaxRate</vt:lpstr>
      <vt:lpstr>TotalDebt</vt:lpstr>
      <vt:lpstr>TxFees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2025-09-07T23:23:20Z</dcterms:created>
  <dcterms:modified xsi:type="dcterms:W3CDTF">2025-09-07T23:23:20Z</dcterms:modified>
</cp:coreProperties>
</file>