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Forecast_FCF" sheetId="2" state="visible" r:id="rId2"/>
    <sheet xmlns:r="http://schemas.openxmlformats.org/officeDocument/2006/relationships" name="DCF" sheetId="3" state="visible" r:id="rId3"/>
    <sheet xmlns:r="http://schemas.openxmlformats.org/officeDocument/2006/relationships" name="Sensitivity" sheetId="4" state="visible" r:id="rId4"/>
    <sheet xmlns:r="http://schemas.openxmlformats.org/officeDocument/2006/relationships" name="Summar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6">
    <numFmt numFmtId="164" formatCode="&quot;$&quot;#,##0;[Red]-&quot;$&quot;#,##0"/>
    <numFmt numFmtId="165" formatCode="0.0%"/>
    <numFmt numFmtId="166" formatCode="0.0&quot;x&quot;"/>
    <numFmt numFmtId="167" formatCode="0.0000"/>
    <numFmt numFmtId="168" formatCode="&quot;$&quot;#,##0.00"/>
    <numFmt numFmtId="169" formatCode="&quot;$&quot;#,##0.0;[Red]-&quot;$&quot;#,##0.0"/>
  </numFmts>
  <fonts count="7">
    <font>
      <name val="Calibri"/>
      <family val="2"/>
      <color theme="1"/>
      <sz val="11"/>
      <scheme val="minor"/>
    </font>
    <font>
      <color rgb="001F4E79"/>
    </font>
    <font>
      <color rgb="00000000"/>
    </font>
    <font>
      <color rgb="002E7D32"/>
    </font>
    <font>
      <b val="1"/>
      <sz val="11"/>
    </font>
    <font>
      <b val="1"/>
    </font>
    <font>
      <b val="1"/>
      <color rgb="002E7D32"/>
    </font>
  </fonts>
  <fills count="6">
    <fill>
      <patternFill/>
    </fill>
    <fill>
      <patternFill patternType="gray125"/>
    </fill>
    <fill>
      <patternFill patternType="solid">
        <fgColor rgb="00E8F5E9"/>
        <bgColor rgb="00E8F5E9"/>
      </patternFill>
    </fill>
    <fill>
      <patternFill patternType="solid">
        <fgColor rgb="00CCCCCC"/>
        <bgColor rgb="00CCCCCC"/>
      </patternFill>
    </fill>
    <fill>
      <patternFill patternType="solid">
        <fgColor rgb="00F2F2F2"/>
        <bgColor rgb="00F2F2F2"/>
      </patternFill>
    </fill>
    <fill>
      <patternFill patternType="solid">
        <fgColor rgb="00FFFF00"/>
        <bgColor rgb="00FFFF00"/>
      </patternFill>
    </fill>
  </fills>
  <borders count="5">
    <border>
      <left/>
      <right/>
      <top/>
      <bottom/>
      <diagonal/>
    </border>
    <border/>
    <border>
      <left style="thin"/>
      <right style="thin"/>
      <top style="thin"/>
      <bottom style="thin"/>
    </border>
    <border>
      <right/>
      <bottom/>
    </border>
    <border>
      <top style="thick"/>
    </border>
  </borders>
  <cellStyleXfs count="6">
    <xf numFmtId="0" fontId="0" fillId="0" borderId="0"/>
    <xf numFmtId="0" fontId="1" fillId="0" borderId="1" applyAlignment="1">
      <alignment horizontal="right"/>
    </xf>
    <xf numFmtId="0" fontId="2" fillId="0" borderId="1" applyAlignment="1">
      <alignment horizontal="right"/>
    </xf>
    <xf numFmtId="0" fontId="3" fillId="2" borderId="1" applyAlignment="1">
      <alignment horizontal="right"/>
    </xf>
    <xf numFmtId="0" fontId="4" fillId="3" borderId="2" applyAlignment="1">
      <alignment horizontal="center"/>
    </xf>
    <xf numFmtId="0" fontId="5" fillId="4" borderId="1" applyAlignment="1">
      <alignment horizontal="left"/>
    </xf>
  </cellStyleXfs>
  <cellXfs count="35">
    <xf numFmtId="0" fontId="0" fillId="0" borderId="0" pivotButton="0" quotePrefix="0" xfId="0"/>
    <xf numFmtId="0" fontId="4" fillId="0" borderId="0" pivotButton="0" quotePrefix="0" xfId="0"/>
    <xf numFmtId="0" fontId="5" fillId="4" borderId="3" applyAlignment="1" pivotButton="0" quotePrefix="0" xfId="5">
      <alignment horizontal="left"/>
    </xf>
    <xf numFmtId="1" fontId="1" fillId="0" borderId="1" applyAlignment="1" pivotButton="0" quotePrefix="0" xfId="1">
      <alignment horizontal="right"/>
    </xf>
    <xf numFmtId="0" fontId="1" fillId="0" borderId="1" applyAlignment="1" pivotButton="0" quotePrefix="0" xfId="1">
      <alignment horizontal="right"/>
    </xf>
    <xf numFmtId="164" fontId="1" fillId="0" borderId="1" applyAlignment="1" pivotButton="0" quotePrefix="0" xfId="1">
      <alignment horizontal="right"/>
    </xf>
    <xf numFmtId="165" fontId="1" fillId="0" borderId="1" applyAlignment="1" pivotButton="0" quotePrefix="0" xfId="1">
      <alignment horizontal="right"/>
    </xf>
    <xf numFmtId="2" fontId="1" fillId="0" borderId="1" applyAlignment="1" pivotButton="0" quotePrefix="0" xfId="1">
      <alignment horizontal="right"/>
    </xf>
    <xf numFmtId="165" fontId="3" fillId="2" borderId="1" applyAlignment="1" pivotButton="0" quotePrefix="0" xfId="3">
      <alignment horizontal="right"/>
    </xf>
    <xf numFmtId="165" fontId="2" fillId="0" borderId="1" applyAlignment="1" pivotButton="0" quotePrefix="0" xfId="2">
      <alignment horizontal="right"/>
    </xf>
    <xf numFmtId="165" fontId="3" fillId="2" borderId="4" applyAlignment="1" pivotButton="0" quotePrefix="0" xfId="3">
      <alignment horizontal="right"/>
    </xf>
    <xf numFmtId="166" fontId="1" fillId="0" borderId="1" applyAlignment="1" pivotButton="0" quotePrefix="0" xfId="1">
      <alignment horizontal="right"/>
    </xf>
    <xf numFmtId="0" fontId="4" fillId="3" borderId="2" applyAlignment="1" pivotButton="0" quotePrefix="0" xfId="4">
      <alignment horizontal="center"/>
    </xf>
    <xf numFmtId="1" fontId="4" fillId="3" borderId="2" applyAlignment="1" pivotButton="0" quotePrefix="0" xfId="4">
      <alignment horizontal="center"/>
    </xf>
    <xf numFmtId="0" fontId="5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3" fillId="2" borderId="4" applyAlignment="1" pivotButton="0" quotePrefix="0" xfId="3">
      <alignment horizontal="right"/>
    </xf>
    <xf numFmtId="167" fontId="0" fillId="0" borderId="0" pivotButton="0" quotePrefix="0" xfId="0"/>
    <xf numFmtId="164" fontId="3" fillId="2" borderId="1" applyAlignment="1" pivotButton="0" quotePrefix="0" xfId="3">
      <alignment horizontal="right"/>
    </xf>
    <xf numFmtId="164" fontId="0" fillId="0" borderId="4" pivotButton="0" quotePrefix="0" xfId="0"/>
    <xf numFmtId="164" fontId="6" fillId="2" borderId="4" applyAlignment="1" pivotButton="0" quotePrefix="0" xfId="3">
      <alignment horizontal="right"/>
    </xf>
    <xf numFmtId="168" fontId="3" fillId="2" borderId="4" applyAlignment="1" pivotButton="0" quotePrefix="0" xfId="3">
      <alignment horizontal="right"/>
    </xf>
    <xf numFmtId="0" fontId="3" fillId="2" borderId="1" applyAlignment="1" pivotButton="0" quotePrefix="0" xfId="3">
      <alignment horizontal="right"/>
    </xf>
    <xf numFmtId="0" fontId="3" fillId="5" borderId="1" applyAlignment="1" pivotButton="0" quotePrefix="0" xfId="3">
      <alignment horizontal="right"/>
    </xf>
    <xf numFmtId="0" fontId="4" fillId="3" borderId="2" pivotButton="0" quotePrefix="0" xfId="0"/>
    <xf numFmtId="0" fontId="0" fillId="0" borderId="2" pivotButton="0" quotePrefix="0" xfId="0"/>
    <xf numFmtId="0" fontId="6" fillId="2" borderId="2" applyAlignment="1" pivotButton="0" quotePrefix="0" xfId="3">
      <alignment horizontal="right"/>
    </xf>
    <xf numFmtId="0" fontId="3" fillId="2" borderId="2" applyAlignment="1" pivotButton="0" quotePrefix="0" xfId="3">
      <alignment horizontal="right"/>
    </xf>
    <xf numFmtId="168" fontId="3" fillId="2" borderId="2" applyAlignment="1" pivotButton="0" quotePrefix="0" xfId="3">
      <alignment horizontal="right"/>
    </xf>
    <xf numFmtId="165" fontId="0" fillId="0" borderId="2" pivotButton="0" quotePrefix="0" xfId="0"/>
    <xf numFmtId="166" fontId="0" fillId="0" borderId="2" pivotButton="0" quotePrefix="0" xfId="0"/>
    <xf numFmtId="0" fontId="5" fillId="4" borderId="0" pivotButton="0" quotePrefix="0" xfId="0"/>
    <xf numFmtId="1" fontId="5" fillId="0" borderId="0" pivotButton="0" quotePrefix="0" xfId="0"/>
    <xf numFmtId="169" fontId="0" fillId="0" borderId="0" pivotButton="0" quotePrefix="0" xfId="0"/>
  </cellXfs>
  <cellStyles count="6">
    <cellStyle name="Normal" xfId="0" builtinId="0" hidden="0"/>
    <cellStyle name="input" xfId="1" hidden="0"/>
    <cellStyle name="calculation" xfId="2" hidden="0"/>
    <cellStyle name="output" xfId="3" hidden="0"/>
    <cellStyle name="header" xfId="4" hidden="0"/>
    <cellStyle name="subheader" xfId="5" hidden="0"/>
  </cellStyles>
  <dxfs count="2">
    <dxf>
      <fill>
        <patternFill patternType="solid">
          <fgColor rgb="00FFCCCC"/>
          <bgColor rgb="00FFCCCC"/>
        </patternFill>
      </fill>
    </dxf>
    <dxf>
      <fill>
        <patternFill patternType="solid">
          <fgColor rgb="00CCFFCC"/>
          <bgColor rgb="00CCFF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cols>
    <col width="28" customWidth="1" min="1" max="1"/>
    <col width="16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</cols>
  <sheetData>
    <row r="1">
      <c r="A1" s="1" t="inlineStr">
        <is>
          <t>Assumptions &amp; Drivers</t>
        </is>
      </c>
    </row>
    <row r="2">
      <c r="A2" t="inlineStr">
        <is>
          <t>Units: $mm; forecast years left-to-right</t>
        </is>
      </c>
    </row>
    <row r="3">
      <c r="A3" t="inlineStr">
        <is>
          <t>Blue = inputs; Green = outputs</t>
        </is>
      </c>
    </row>
    <row r="5">
      <c r="A5" s="2" t="inlineStr">
        <is>
          <t>Timing</t>
        </is>
      </c>
    </row>
    <row r="6">
      <c r="B6" s="3" t="n">
        <v>2025</v>
      </c>
    </row>
    <row r="7">
      <c r="B7" s="3" t="n">
        <v>6</v>
      </c>
    </row>
    <row r="8">
      <c r="B8" s="4" t="inlineStr">
        <is>
          <t>Perpetuity</t>
        </is>
      </c>
    </row>
    <row r="10">
      <c r="A10" s="2" t="inlineStr">
        <is>
          <t>Operating Drivers</t>
        </is>
      </c>
    </row>
    <row r="11">
      <c r="B11" s="5" t="n">
        <v>97690</v>
      </c>
    </row>
    <row r="12">
      <c r="B12" s="6" t="n">
        <v>0.08</v>
      </c>
    </row>
    <row r="13">
      <c r="B13" s="6" t="n">
        <v>0.12</v>
      </c>
    </row>
    <row r="14">
      <c r="B14" s="6" t="n">
        <v>0.04</v>
      </c>
    </row>
    <row r="15">
      <c r="B15" s="6" t="n">
        <v>0.1505578871941857</v>
      </c>
    </row>
    <row r="16">
      <c r="B16" s="6" t="n">
        <v>0.05</v>
      </c>
    </row>
    <row r="17">
      <c r="B17" s="6" t="n">
        <v>0.06</v>
      </c>
    </row>
    <row r="18">
      <c r="B18" s="6" t="n">
        <v>0.02</v>
      </c>
    </row>
    <row r="19">
      <c r="B19" s="6" t="n">
        <v>0.25</v>
      </c>
    </row>
    <row r="21">
      <c r="A21" s="2" t="inlineStr">
        <is>
          <t>Capital Structure &amp; WACC</t>
        </is>
      </c>
    </row>
    <row r="22">
      <c r="B22" s="6" t="n">
        <v>0.045</v>
      </c>
    </row>
    <row r="23">
      <c r="B23" s="6" t="n">
        <v>0.06</v>
      </c>
    </row>
    <row r="24">
      <c r="B24" s="7" t="n">
        <v>2</v>
      </c>
    </row>
    <row r="25">
      <c r="B25" s="8">
        <f>B22 + B24*B23</f>
        <v/>
      </c>
    </row>
    <row r="26">
      <c r="B26" s="6" t="n">
        <v>0.055</v>
      </c>
    </row>
    <row r="27">
      <c r="B27" s="6" t="n">
        <v>0.4</v>
      </c>
    </row>
    <row r="28">
      <c r="B28" s="9">
        <f>1 - B27</f>
        <v/>
      </c>
    </row>
    <row r="29">
      <c r="B29" s="6" t="n">
        <v>0.25</v>
      </c>
    </row>
    <row r="30">
      <c r="B30" s="9">
        <f>B26*(1 - B29)</f>
        <v/>
      </c>
    </row>
    <row r="31">
      <c r="B31" s="10">
        <f>B27*B30 + (1-B27)*B25</f>
        <v/>
      </c>
    </row>
    <row r="34">
      <c r="A34" s="2" t="inlineStr">
        <is>
          <t>Terminal Value</t>
        </is>
      </c>
    </row>
    <row r="35">
      <c r="B35" s="6" t="n">
        <v>0.025</v>
      </c>
    </row>
    <row r="36">
      <c r="B36" s="11" t="n">
        <v>10</v>
      </c>
    </row>
  </sheetData>
  <mergeCells count="4">
    <mergeCell ref="A10:A19"/>
    <mergeCell ref="A34:A36"/>
    <mergeCell ref="A21:A31"/>
    <mergeCell ref="A5:A8"/>
  </mergeCells>
  <pageMargins left="0.75" right="0.75" top="1" bottom="1" header="0.5" footer="0.5"/>
  <pageSetup orientation="landscape" fitToHeight="0" fitToWidth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4:H31"/>
  <sheetViews>
    <sheetView workbookViewId="0">
      <selection activeCell="A1" sqref="A1"/>
    </sheetView>
  </sheetViews>
  <sheetFormatPr baseColWidth="8" defaultRowHeight="15"/>
  <cols>
    <col width="28" customWidth="1" min="1" max="1"/>
    <col width="1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4">
      <c r="A4" s="12" t="inlineStr">
        <is>
          <t>Line Item</t>
        </is>
      </c>
      <c r="B4" s="12" t="inlineStr">
        <is>
          <t>Base</t>
        </is>
      </c>
      <c r="C4" s="13" t="n">
        <v>2026</v>
      </c>
      <c r="D4" s="13" t="n">
        <v>2027</v>
      </c>
      <c r="E4" s="13" t="n">
        <v>2028</v>
      </c>
      <c r="F4" s="13" t="n">
        <v>2029</v>
      </c>
      <c r="G4" s="13" t="n">
        <v>2030</v>
      </c>
      <c r="H4" s="13" t="n">
        <v>2031</v>
      </c>
    </row>
    <row r="5">
      <c r="B5" s="14" t="inlineStr">
        <is>
          <t>Base Year (actual)</t>
        </is>
      </c>
      <c r="C5" s="14" t="inlineStr">
        <is>
          <t>Forecast</t>
        </is>
      </c>
      <c r="D5" s="14" t="inlineStr">
        <is>
          <t>Forecast</t>
        </is>
      </c>
      <c r="E5" s="14" t="inlineStr">
        <is>
          <t>Forecast</t>
        </is>
      </c>
      <c r="F5" s="14" t="inlineStr">
        <is>
          <t>Forecast</t>
        </is>
      </c>
      <c r="G5" s="14" t="inlineStr">
        <is>
          <t>Forecast</t>
        </is>
      </c>
      <c r="H5" s="14" t="inlineStr">
        <is>
          <t>Forecast</t>
        </is>
      </c>
    </row>
    <row r="7">
      <c r="A7" s="2" t="inlineStr">
        <is>
          <t>Revenue</t>
        </is>
      </c>
    </row>
    <row r="8">
      <c r="B8" s="15">
        <f>Assumptions!B11</f>
        <v/>
      </c>
      <c r="C8" s="15">
        <f>B8 * (1 + Assumptions!B12)</f>
        <v/>
      </c>
      <c r="D8" s="15">
        <f>C8 * (1 + Assumptions!B12)</f>
        <v/>
      </c>
      <c r="E8" s="15">
        <f>D8 * (1 + Assumptions!B12)</f>
        <v/>
      </c>
      <c r="F8" s="15">
        <f>E8 * (1 + Assumptions!B12)</f>
        <v/>
      </c>
      <c r="G8" s="15">
        <f>F8 * (1 + Assumptions!B12)</f>
        <v/>
      </c>
      <c r="H8" s="15">
        <f>G8 * (1 + Assumptions!B12)</f>
        <v/>
      </c>
    </row>
    <row r="9">
      <c r="B9" t="inlineStr">
        <is>
          <t>—</t>
        </is>
      </c>
      <c r="C9" s="16">
        <f>C8 / B8 - 1</f>
        <v/>
      </c>
      <c r="D9" s="16">
        <f>D8 / C8 - 1</f>
        <v/>
      </c>
      <c r="E9" s="16">
        <f>E8 / D8 - 1</f>
        <v/>
      </c>
      <c r="F9" s="16">
        <f>F8 / E8 - 1</f>
        <v/>
      </c>
      <c r="G9" s="16">
        <f>G8 / F8 - 1</f>
        <v/>
      </c>
      <c r="H9" s="16">
        <f>H8 / G8 - 1</f>
        <v/>
      </c>
    </row>
    <row r="10"/>
    <row r="12">
      <c r="A12" s="2" t="inlineStr">
        <is>
          <t>Profitability</t>
        </is>
      </c>
    </row>
    <row r="13">
      <c r="B13" s="15">
        <f>B8 * Assumptions!B15</f>
        <v/>
      </c>
      <c r="C13" s="15">
        <f>C8 * Assumptions!B15</f>
        <v/>
      </c>
      <c r="D13" s="15">
        <f>D8 * Assumptions!B15</f>
        <v/>
      </c>
      <c r="E13" s="15">
        <f>E8 * Assumptions!B15</f>
        <v/>
      </c>
      <c r="F13" s="15">
        <f>F8 * Assumptions!B15</f>
        <v/>
      </c>
      <c r="G13" s="15">
        <f>G8 * Assumptions!B15</f>
        <v/>
      </c>
      <c r="H13" s="15">
        <f>H8 * Assumptions!B15</f>
        <v/>
      </c>
    </row>
    <row r="14">
      <c r="B14" s="16">
        <f>B13 / B8</f>
        <v/>
      </c>
      <c r="C14" s="16">
        <f>C13 / C8</f>
        <v/>
      </c>
      <c r="D14" s="16">
        <f>D13 / D8</f>
        <v/>
      </c>
      <c r="E14" s="16">
        <f>E13 / E8</f>
        <v/>
      </c>
      <c r="F14" s="16">
        <f>F13 / F8</f>
        <v/>
      </c>
      <c r="G14" s="16">
        <f>G13 / G8</f>
        <v/>
      </c>
      <c r="H14" s="16">
        <f>H13 / H8</f>
        <v/>
      </c>
    </row>
    <row r="15">
      <c r="B15" s="15">
        <f>B8 * Assumptions!B16</f>
        <v/>
      </c>
      <c r="C15" s="15">
        <f>C8 * Assumptions!B16</f>
        <v/>
      </c>
      <c r="D15" s="15">
        <f>D8 * Assumptions!B16</f>
        <v/>
      </c>
      <c r="E15" s="15">
        <f>E8 * Assumptions!B16</f>
        <v/>
      </c>
      <c r="F15" s="15">
        <f>F8 * Assumptions!B16</f>
        <v/>
      </c>
      <c r="G15" s="15">
        <f>G8 * Assumptions!B16</f>
        <v/>
      </c>
      <c r="H15" s="15">
        <f>H8 * Assumptions!B16</f>
        <v/>
      </c>
    </row>
    <row r="16">
      <c r="B16" s="15">
        <f>B13 - B15</f>
        <v/>
      </c>
      <c r="C16" s="15">
        <f>C13 - C15</f>
        <v/>
      </c>
      <c r="D16" s="15">
        <f>D13 - D15</f>
        <v/>
      </c>
      <c r="E16" s="15">
        <f>E13 - E15</f>
        <v/>
      </c>
      <c r="F16" s="15">
        <f>F13 - F15</f>
        <v/>
      </c>
      <c r="G16" s="15">
        <f>G13 - G15</f>
        <v/>
      </c>
      <c r="H16" s="15">
        <f>H13 - H15</f>
        <v/>
      </c>
    </row>
    <row r="17">
      <c r="B17" s="15">
        <f>MAX(0, B16) * Assumptions!B19</f>
        <v/>
      </c>
      <c r="C17" s="15">
        <f>MAX(0, C16) * Assumptions!B19</f>
        <v/>
      </c>
      <c r="D17" s="15">
        <f>MAX(0, D16) * Assumptions!B19</f>
        <v/>
      </c>
      <c r="E17" s="15">
        <f>MAX(0, E16) * Assumptions!B19</f>
        <v/>
      </c>
      <c r="F17" s="15">
        <f>MAX(0, F16) * Assumptions!B19</f>
        <v/>
      </c>
      <c r="G17" s="15">
        <f>MAX(0, G16) * Assumptions!B19</f>
        <v/>
      </c>
      <c r="H17" s="15">
        <f>MAX(0, H16) * Assumptions!B19</f>
        <v/>
      </c>
    </row>
    <row r="18">
      <c r="B18" s="15">
        <f>B16 - B17</f>
        <v/>
      </c>
      <c r="C18" s="15">
        <f>C16 - C17</f>
        <v/>
      </c>
      <c r="D18" s="15">
        <f>D16 - D17</f>
        <v/>
      </c>
      <c r="E18" s="15">
        <f>E16 - E17</f>
        <v/>
      </c>
      <c r="F18" s="15">
        <f>F16 - F17</f>
        <v/>
      </c>
      <c r="G18" s="15">
        <f>G16 - G17</f>
        <v/>
      </c>
      <c r="H18" s="15">
        <f>H16 - H17</f>
        <v/>
      </c>
    </row>
    <row r="20">
      <c r="A20" s="2" t="inlineStr">
        <is>
          <t>FCF Bridge</t>
        </is>
      </c>
    </row>
    <row r="21">
      <c r="B21" s="15">
        <f>B8 * Assumptions!B17</f>
        <v/>
      </c>
      <c r="C21" s="15">
        <f>C8 * Assumptions!B17</f>
        <v/>
      </c>
      <c r="D21" s="15">
        <f>D8 * Assumptions!B17</f>
        <v/>
      </c>
      <c r="E21" s="15">
        <f>E8 * Assumptions!B17</f>
        <v/>
      </c>
      <c r="F21" s="15">
        <f>F8 * Assumptions!B17</f>
        <v/>
      </c>
      <c r="G21" s="15">
        <f>G8 * Assumptions!B17</f>
        <v/>
      </c>
      <c r="H21" s="15">
        <f>H8 * Assumptions!B17</f>
        <v/>
      </c>
    </row>
    <row r="22">
      <c r="B22" s="15">
        <f>B8 * Assumptions!B18</f>
        <v/>
      </c>
      <c r="C22" s="15">
        <f>C8 * Assumptions!B18</f>
        <v/>
      </c>
      <c r="D22" s="15">
        <f>D8 * Assumptions!B18</f>
        <v/>
      </c>
      <c r="E22" s="15">
        <f>E8 * Assumptions!B18</f>
        <v/>
      </c>
      <c r="F22" s="15">
        <f>F8 * Assumptions!B18</f>
        <v/>
      </c>
      <c r="G22" s="15">
        <f>G8 * Assumptions!B18</f>
        <v/>
      </c>
      <c r="H22" s="15">
        <f>H8 * Assumptions!B18</f>
        <v/>
      </c>
    </row>
    <row r="23">
      <c r="B23" s="15" t="n">
        <v>0</v>
      </c>
      <c r="C23" s="15">
        <f>C22 - B22</f>
        <v/>
      </c>
      <c r="D23" s="15">
        <f>D22 - C22</f>
        <v/>
      </c>
      <c r="E23" s="15">
        <f>E22 - D22</f>
        <v/>
      </c>
      <c r="F23" s="15">
        <f>F22 - E22</f>
        <v/>
      </c>
      <c r="G23" s="15">
        <f>G22 - F22</f>
        <v/>
      </c>
      <c r="H23" s="15">
        <f>H22 - G22</f>
        <v/>
      </c>
    </row>
    <row r="24"/>
    <row r="25">
      <c r="B25" s="17">
        <f>B18 + B15 - B21 - B23</f>
        <v/>
      </c>
      <c r="C25" s="17">
        <f>C18 + C15 - C21 - C23</f>
        <v/>
      </c>
      <c r="D25" s="17">
        <f>D18 + D15 - D21 - D23</f>
        <v/>
      </c>
      <c r="E25" s="17">
        <f>E18 + E15 - E21 - E23</f>
        <v/>
      </c>
      <c r="F25" s="17">
        <f>F18 + F15 - F21 - F23</f>
        <v/>
      </c>
      <c r="G25" s="17">
        <f>G18 + G15 - G21 - G23</f>
        <v/>
      </c>
      <c r="H25" s="17">
        <f>H18 + H15 - H21 - H23</f>
        <v/>
      </c>
    </row>
    <row r="26"/>
    <row r="27"/>
    <row r="29">
      <c r="A29" s="2" t="inlineStr">
        <is>
          <t>Checks</t>
        </is>
      </c>
    </row>
    <row r="30">
      <c r="B30" s="16">
        <f>B25 / B8</f>
        <v/>
      </c>
      <c r="C30" s="16">
        <f>C25 / C8</f>
        <v/>
      </c>
      <c r="D30" s="16">
        <f>D25 / D8</f>
        <v/>
      </c>
      <c r="E30" s="16">
        <f>E25 / E8</f>
        <v/>
      </c>
      <c r="F30" s="16">
        <f>F25 / F8</f>
        <v/>
      </c>
      <c r="G30" s="16">
        <f>G25 / G8</f>
        <v/>
      </c>
      <c r="H30" s="16">
        <f>H25 / H8</f>
        <v/>
      </c>
    </row>
    <row r="31">
      <c r="B31">
        <f>IF(AND(B14&gt;=0.05, B14&lt;=0.60, B21/B8&gt;=0.01, B21/B8&lt;=0.15), "OK", "CHECK")</f>
        <v/>
      </c>
      <c r="C31">
        <f>IF(AND(C14&gt;=0.05, C14&lt;=0.60, C21/C8&gt;=0.01, C21/C8&lt;=0.15), "OK", "CHECK")</f>
        <v/>
      </c>
      <c r="D31">
        <f>IF(AND(D14&gt;=0.05, D14&lt;=0.60, D21/D8&gt;=0.01, D21/D8&lt;=0.15), "OK", "CHECK")</f>
        <v/>
      </c>
      <c r="E31">
        <f>IF(AND(E14&gt;=0.05, E14&lt;=0.60, E21/E8&gt;=0.01, E21/E8&lt;=0.15), "OK", "CHECK")</f>
        <v/>
      </c>
      <c r="F31">
        <f>IF(AND(F14&gt;=0.05, F14&lt;=0.60, F21/F8&gt;=0.01, F21/F8&lt;=0.15), "OK", "CHECK")</f>
        <v/>
      </c>
      <c r="G31">
        <f>IF(AND(G14&gt;=0.05, G14&lt;=0.60, G21/G8&gt;=0.01, G21/G8&lt;=0.15), "OK", "CHECK")</f>
        <v/>
      </c>
      <c r="H31">
        <f>IF(AND(H14&gt;=0.05, H14&lt;=0.60, H21/H8&gt;=0.01, H21/H8&lt;=0.15), "OK", "CHECK")</f>
        <v/>
      </c>
    </row>
  </sheetData>
  <mergeCells count="4">
    <mergeCell ref="A7:A10"/>
    <mergeCell ref="A12:A18"/>
    <mergeCell ref="A29:A31"/>
    <mergeCell ref="A20:A27"/>
  </mergeCells>
  <pageMargins left="0.75" right="0.75" top="1" bottom="1" header="0.5" footer="0.5"/>
  <pageSetup orientation="landscape" fitToHeight="0" fitToWidth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H37"/>
  <sheetViews>
    <sheetView workbookViewId="0">
      <selection activeCell="A1" sqref="A1"/>
    </sheetView>
  </sheetViews>
  <sheetFormatPr baseColWidth="8" defaultRowHeight="15"/>
  <cols>
    <col width="28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4">
      <c r="A4" s="12" t="inlineStr">
        <is>
          <t>Line Item</t>
        </is>
      </c>
      <c r="B4" s="12" t="inlineStr">
        <is>
          <t>Base</t>
        </is>
      </c>
      <c r="C4" s="13" t="n">
        <v>2026</v>
      </c>
      <c r="D4" s="13" t="n">
        <v>2027</v>
      </c>
      <c r="E4" s="13" t="n">
        <v>2028</v>
      </c>
      <c r="F4" s="13" t="n">
        <v>2029</v>
      </c>
      <c r="G4" s="13" t="n">
        <v>2030</v>
      </c>
      <c r="H4" s="13" t="n">
        <v>2031</v>
      </c>
    </row>
    <row r="7">
      <c r="A7" s="2" t="inlineStr">
        <is>
          <t>Discounting Block</t>
        </is>
      </c>
    </row>
    <row r="8">
      <c r="B8">
        <f>Forecast_FCF!B25</f>
        <v/>
      </c>
      <c r="C8">
        <f>Forecast_FCF!C25</f>
        <v/>
      </c>
      <c r="D8">
        <f>Forecast_FCF!D25</f>
        <v/>
      </c>
      <c r="E8">
        <f>Forecast_FCF!E25</f>
        <v/>
      </c>
      <c r="F8">
        <f>Forecast_FCF!F25</f>
        <v/>
      </c>
      <c r="G8">
        <f>Forecast_FCF!G25</f>
        <v/>
      </c>
      <c r="H8">
        <f>Forecast_FCF!H25</f>
        <v/>
      </c>
    </row>
    <row r="9">
      <c r="B9" s="4" t="b">
        <v>1</v>
      </c>
    </row>
    <row r="10">
      <c r="B10" t="n">
        <v>0.5</v>
      </c>
      <c r="C10">
        <f>B10 + 1</f>
        <v/>
      </c>
      <c r="D10">
        <f>C10 + 1</f>
        <v/>
      </c>
      <c r="E10">
        <f>D10 + 1</f>
        <v/>
      </c>
      <c r="F10">
        <f>E10 + 1</f>
        <v/>
      </c>
      <c r="G10">
        <f>F10 + 1</f>
        <v/>
      </c>
      <c r="H10">
        <f>G10 + 1</f>
        <v/>
      </c>
    </row>
    <row r="11">
      <c r="B11" s="18">
        <f>1/(1+Assumptions!B31)^B10</f>
        <v/>
      </c>
      <c r="C11" s="18">
        <f>1/(1+Assumptions!B31)^C10</f>
        <v/>
      </c>
      <c r="D11" s="18">
        <f>1/(1+Assumptions!B31)^D10</f>
        <v/>
      </c>
      <c r="E11" s="18">
        <f>1/(1+Assumptions!B31)^E10</f>
        <v/>
      </c>
      <c r="F11" s="18">
        <f>1/(1+Assumptions!B31)^F10</f>
        <v/>
      </c>
      <c r="G11" s="18">
        <f>1/(1+Assumptions!B31)^G10</f>
        <v/>
      </c>
      <c r="H11" s="18">
        <f>1/(1+Assumptions!B31)^H10</f>
        <v/>
      </c>
    </row>
    <row r="12">
      <c r="B12" s="15">
        <f>B8 * B11</f>
        <v/>
      </c>
      <c r="C12" s="15">
        <f>C8 * C11</f>
        <v/>
      </c>
      <c r="D12" s="15">
        <f>D8 * D11</f>
        <v/>
      </c>
      <c r="E12" s="15">
        <f>E8 * E11</f>
        <v/>
      </c>
      <c r="F12" s="15">
        <f>F8 * F11</f>
        <v/>
      </c>
      <c r="G12" s="15">
        <f>G8 * G11</f>
        <v/>
      </c>
      <c r="H12" s="15">
        <f>H8 * H11</f>
        <v/>
      </c>
    </row>
    <row r="13"/>
    <row r="14"/>
    <row r="16">
      <c r="A16" s="2" t="inlineStr">
        <is>
          <t>Terminal Value</t>
        </is>
      </c>
    </row>
    <row r="17">
      <c r="H17" s="15">
        <f>H8*(1+Assumptions!B35)/(Assumptions!B31-Assumptions!B35)</f>
        <v/>
      </c>
    </row>
    <row r="18">
      <c r="H18" s="15">
        <f>Forecast_FCF!H13 * Assumptions!B36</f>
        <v/>
      </c>
    </row>
    <row r="19">
      <c r="H19" s="19">
        <f>IF(Assumptions!B8="Perpetuity", H17, H18)</f>
        <v/>
      </c>
    </row>
    <row r="20">
      <c r="H20" s="20">
        <f>H19 * H11</f>
        <v/>
      </c>
    </row>
    <row r="21"/>
    <row r="22"/>
    <row r="24">
      <c r="A24" s="2" t="inlineStr">
        <is>
          <t>Enterprise Value Bridge</t>
        </is>
      </c>
    </row>
    <row r="25">
      <c r="B25" s="19">
        <f>SUM(C12:H12)</f>
        <v/>
      </c>
    </row>
    <row r="26">
      <c r="B26" s="15">
        <f>H20</f>
        <v/>
      </c>
    </row>
    <row r="27">
      <c r="B27" s="21">
        <f>B25 + B26</f>
        <v/>
      </c>
    </row>
    <row r="28"/>
    <row r="29">
      <c r="B29" s="5" t="n">
        <v>0</v>
      </c>
    </row>
    <row r="30">
      <c r="B30" s="5" t="n">
        <v>0</v>
      </c>
    </row>
    <row r="31">
      <c r="B31" s="19">
        <f>B27 - B29 + B30</f>
        <v/>
      </c>
    </row>
    <row r="32">
      <c r="B32" s="5" t="n">
        <v>3225.449984</v>
      </c>
    </row>
    <row r="33">
      <c r="B33" s="22">
        <f>B31 / B32</f>
        <v/>
      </c>
    </row>
    <row r="35">
      <c r="A35" s="2" t="inlineStr">
        <is>
          <t>Quality Checks</t>
        </is>
      </c>
    </row>
    <row r="36">
      <c r="B36" s="23">
        <f>Assumptions!B25 &gt; Assumptions!B30</f>
        <v/>
      </c>
    </row>
    <row r="37">
      <c r="B37" s="23">
        <f>Assumptions!B35 &lt; Assumptions!B31</f>
        <v/>
      </c>
    </row>
  </sheetData>
  <mergeCells count="4">
    <mergeCell ref="A35:A37"/>
    <mergeCell ref="A7:A14"/>
    <mergeCell ref="A16:A22"/>
    <mergeCell ref="A24:A33"/>
  </mergeCells>
  <conditionalFormatting sqref="B36">
    <cfRule type="cellIs" priority="1" operator="equal" dxfId="0">
      <formula>FALSE</formula>
    </cfRule>
  </conditionalFormatting>
  <conditionalFormatting sqref="B37">
    <cfRule type="cellIs" priority="2" operator="equal" dxfId="0">
      <formula>FALSE</formula>
    </cfRule>
  </conditionalFormatting>
  <pageMargins left="0.75" right="0.75" top="1" bottom="1" header="0.5" footer="0.5"/>
  <pageSetup orientation="landscape" fitToHeight="0" fitToWidth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5:G2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</cols>
  <sheetData>
    <row r="5">
      <c r="A5" s="14" t="inlineStr">
        <is>
          <t>Price per Share - WACC vs g</t>
        </is>
      </c>
    </row>
    <row r="6">
      <c r="B6" s="14" t="inlineStr">
        <is>
          <t>1.0%</t>
        </is>
      </c>
      <c r="C6" s="14" t="inlineStr">
        <is>
          <t>1.5%</t>
        </is>
      </c>
      <c r="D6" s="14" t="inlineStr">
        <is>
          <t>2.0%</t>
        </is>
      </c>
      <c r="E6" s="14" t="inlineStr">
        <is>
          <t>2.5%</t>
        </is>
      </c>
      <c r="F6" s="14" t="inlineStr">
        <is>
          <t>3.0%</t>
        </is>
      </c>
      <c r="G6" s="14" t="inlineStr">
        <is>
          <t>3.5%</t>
        </is>
      </c>
    </row>
    <row r="7">
      <c r="A7" s="14" t="inlineStr">
        <is>
          <t>6.0%</t>
        </is>
      </c>
      <c r="B7" s="23">
        <f>(DCF!B27 * (1 + (0.06 - DCF!B27)/DCF!B27)) / DCF!B32</f>
        <v/>
      </c>
      <c r="C7" s="23">
        <f>(DCF!B27 * (1 + (0.06 - DCF!B27)/DCF!B27)) / DCF!B32</f>
        <v/>
      </c>
      <c r="D7" s="23">
        <f>(DCF!B27 * (1 + (0.06 - DCF!B27)/DCF!B27)) / DCF!B32</f>
        <v/>
      </c>
      <c r="E7" s="23">
        <f>(DCF!B27 * (1 + (0.06 - DCF!B27)/DCF!B27)) / DCF!B32</f>
        <v/>
      </c>
      <c r="F7" s="23">
        <f>(DCF!B27 * (1 + (0.06 - DCF!B27)/DCF!B27)) / DCF!B32</f>
        <v/>
      </c>
      <c r="G7" s="23">
        <f>(DCF!B27 * (1 + (0.06 - DCF!B27)/DCF!B27)) / DCF!B32</f>
        <v/>
      </c>
    </row>
    <row r="8">
      <c r="A8" s="14" t="inlineStr">
        <is>
          <t>8.0%</t>
        </is>
      </c>
      <c r="B8" s="23">
        <f>(DCF!B27 * (1 + (0.08 - DCF!B27)/DCF!B27)) / DCF!B32</f>
        <v/>
      </c>
      <c r="C8" s="23">
        <f>(DCF!B27 * (1 + (0.08 - DCF!B27)/DCF!B27)) / DCF!B32</f>
        <v/>
      </c>
      <c r="D8" s="23">
        <f>(DCF!B27 * (1 + (0.08 - DCF!B27)/DCF!B27)) / DCF!B32</f>
        <v/>
      </c>
      <c r="E8" s="23">
        <f>(DCF!B27 * (1 + (0.08 - DCF!B27)/DCF!B27)) / DCF!B32</f>
        <v/>
      </c>
      <c r="F8" s="23">
        <f>(DCF!B27 * (1 + (0.08 - DCF!B27)/DCF!B27)) / DCF!B32</f>
        <v/>
      </c>
      <c r="G8" s="23">
        <f>(DCF!B27 * (1 + (0.08 - DCF!B27)/DCF!B27)) / DCF!B32</f>
        <v/>
      </c>
    </row>
    <row r="9">
      <c r="A9" s="14" t="inlineStr">
        <is>
          <t>10.0%</t>
        </is>
      </c>
      <c r="B9" s="23">
        <f>(DCF!B27 * (1 + (0.1 - DCF!B27)/DCF!B27)) / DCF!B32</f>
        <v/>
      </c>
      <c r="C9" s="23">
        <f>(DCF!B27 * (1 + (0.1 - DCF!B27)/DCF!B27)) / DCF!B32</f>
        <v/>
      </c>
      <c r="D9" s="23">
        <f>(DCF!B27 * (1 + (0.1 - DCF!B27)/DCF!B27)) / DCF!B32</f>
        <v/>
      </c>
      <c r="E9" s="24">
        <f>(DCF!B27 * (1 + (0.1 - DCF!B27)/DCF!B27)) / DCF!B32</f>
        <v/>
      </c>
      <c r="F9" s="23">
        <f>(DCF!B27 * (1 + (0.1 - DCF!B27)/DCF!B27)) / DCF!B32</f>
        <v/>
      </c>
      <c r="G9" s="23">
        <f>(DCF!B27 * (1 + (0.1 - DCF!B27)/DCF!B27)) / DCF!B32</f>
        <v/>
      </c>
    </row>
    <row r="10">
      <c r="A10" s="14" t="inlineStr">
        <is>
          <t>12.0%</t>
        </is>
      </c>
      <c r="B10" s="23">
        <f>(DCF!B27 * (1 + (0.12 - DCF!B27)/DCF!B27)) / DCF!B32</f>
        <v/>
      </c>
      <c r="C10" s="23">
        <f>(DCF!B27 * (1 + (0.12 - DCF!B27)/DCF!B27)) / DCF!B32</f>
        <v/>
      </c>
      <c r="D10" s="23">
        <f>(DCF!B27 * (1 + (0.12 - DCF!B27)/DCF!B27)) / DCF!B32</f>
        <v/>
      </c>
      <c r="E10" s="23">
        <f>(DCF!B27 * (1 + (0.12 - DCF!B27)/DCF!B27)) / DCF!B32</f>
        <v/>
      </c>
      <c r="F10" s="23">
        <f>(DCF!B27 * (1 + (0.12 - DCF!B27)/DCF!B27)) / DCF!B32</f>
        <v/>
      </c>
      <c r="G10" s="23">
        <f>(DCF!B27 * (1 + (0.12 - DCF!B27)/DCF!B27)) / DCF!B32</f>
        <v/>
      </c>
    </row>
    <row r="11">
      <c r="A11" s="14" t="inlineStr">
        <is>
          <t>14.0%</t>
        </is>
      </c>
      <c r="B11" s="23">
        <f>(DCF!B27 * (1 + (0.14 - DCF!B27)/DCF!B27)) / DCF!B32</f>
        <v/>
      </c>
      <c r="C11" s="23">
        <f>(DCF!B27 * (1 + (0.14 - DCF!B27)/DCF!B27)) / DCF!B32</f>
        <v/>
      </c>
      <c r="D11" s="23">
        <f>(DCF!B27 * (1 + (0.14 - DCF!B27)/DCF!B27)) / DCF!B32</f>
        <v/>
      </c>
      <c r="E11" s="23">
        <f>(DCF!B27 * (1 + (0.14 - DCF!B27)/DCF!B27)) / DCF!B32</f>
        <v/>
      </c>
      <c r="F11" s="23">
        <f>(DCF!B27 * (1 + (0.14 - DCF!B27)/DCF!B27)) / DCF!B32</f>
        <v/>
      </c>
      <c r="G11" s="23">
        <f>(DCF!B27 * (1 + (0.14 - DCF!B27)/DCF!B27)) / DCF!B32</f>
        <v/>
      </c>
    </row>
    <row r="22">
      <c r="A22" s="14" t="inlineStr">
        <is>
          <t>Equity Value - WACC vs Exit Multiple</t>
        </is>
      </c>
    </row>
    <row r="23">
      <c r="B23" s="14" t="inlineStr">
        <is>
          <t>6.0x</t>
        </is>
      </c>
      <c r="C23" s="14" t="inlineStr">
        <is>
          <t>8.0x</t>
        </is>
      </c>
      <c r="D23" s="14" t="inlineStr">
        <is>
          <t>10.0x</t>
        </is>
      </c>
      <c r="E23" s="14" t="inlineStr">
        <is>
          <t>12.0x</t>
        </is>
      </c>
      <c r="F23" s="14" t="inlineStr">
        <is>
          <t>14.0x</t>
        </is>
      </c>
    </row>
    <row r="24">
      <c r="A24" s="14" t="inlineStr">
        <is>
          <t>6.0%</t>
        </is>
      </c>
      <c r="B24" s="23">
        <f>DCF!B31 * (1 + (0.06 - DCF!B27)/DCF!B27)</f>
        <v/>
      </c>
      <c r="C24" s="23">
        <f>DCF!B31 * (1 + (0.06 - DCF!B27)/DCF!B27)</f>
        <v/>
      </c>
      <c r="D24" s="23">
        <f>DCF!B31 * (1 + (0.06 - DCF!B27)/DCF!B27)</f>
        <v/>
      </c>
      <c r="E24" s="23">
        <f>DCF!B31 * (1 + (0.06 - DCF!B27)/DCF!B27)</f>
        <v/>
      </c>
      <c r="F24" s="23">
        <f>DCF!B31 * (1 + (0.06 - DCF!B27)/DCF!B27)</f>
        <v/>
      </c>
    </row>
    <row r="25">
      <c r="A25" s="14" t="inlineStr">
        <is>
          <t>8.0%</t>
        </is>
      </c>
      <c r="B25" s="23">
        <f>DCF!B31 * (1 + (0.08 - DCF!B27)/DCF!B27)</f>
        <v/>
      </c>
      <c r="C25" s="23">
        <f>DCF!B31 * (1 + (0.08 - DCF!B27)/DCF!B27)</f>
        <v/>
      </c>
      <c r="D25" s="23">
        <f>DCF!B31 * (1 + (0.08 - DCF!B27)/DCF!B27)</f>
        <v/>
      </c>
      <c r="E25" s="23">
        <f>DCF!B31 * (1 + (0.08 - DCF!B27)/DCF!B27)</f>
        <v/>
      </c>
      <c r="F25" s="23">
        <f>DCF!B31 * (1 + (0.08 - DCF!B27)/DCF!B27)</f>
        <v/>
      </c>
    </row>
    <row r="26">
      <c r="A26" s="14" t="inlineStr">
        <is>
          <t>10.0%</t>
        </is>
      </c>
      <c r="B26" s="23">
        <f>DCF!B31 * (1 + (0.1 - DCF!B27)/DCF!B27)</f>
        <v/>
      </c>
      <c r="C26" s="23">
        <f>DCF!B31 * (1 + (0.1 - DCF!B27)/DCF!B27)</f>
        <v/>
      </c>
      <c r="D26" s="24">
        <f>DCF!B31 * (1 + (0.1 - DCF!B27)/DCF!B27)</f>
        <v/>
      </c>
      <c r="E26" s="23">
        <f>DCF!B31 * (1 + (0.1 - DCF!B27)/DCF!B27)</f>
        <v/>
      </c>
      <c r="F26" s="23">
        <f>DCF!B31 * (1 + (0.1 - DCF!B27)/DCF!B27)</f>
        <v/>
      </c>
    </row>
    <row r="27">
      <c r="A27" s="14" t="inlineStr">
        <is>
          <t>12.0%</t>
        </is>
      </c>
      <c r="B27" s="23">
        <f>DCF!B31 * (1 + (0.12 - DCF!B27)/DCF!B27)</f>
        <v/>
      </c>
      <c r="C27" s="23">
        <f>DCF!B31 * (1 + (0.12 - DCF!B27)/DCF!B27)</f>
        <v/>
      </c>
      <c r="D27" s="23">
        <f>DCF!B31 * (1 + (0.12 - DCF!B27)/DCF!B27)</f>
        <v/>
      </c>
      <c r="E27" s="23">
        <f>DCF!B31 * (1 + (0.12 - DCF!B27)/DCF!B27)</f>
        <v/>
      </c>
      <c r="F27" s="23">
        <f>DCF!B31 * (1 + (0.12 - DCF!B27)/DCF!B27)</f>
        <v/>
      </c>
    </row>
    <row r="28">
      <c r="A28" s="14" t="inlineStr">
        <is>
          <t>14.0%</t>
        </is>
      </c>
      <c r="B28" s="23">
        <f>DCF!B31 * (1 + (0.14 - DCF!B27)/DCF!B27)</f>
        <v/>
      </c>
      <c r="C28" s="23">
        <f>DCF!B31 * (1 + (0.14 - DCF!B27)/DCF!B27)</f>
        <v/>
      </c>
      <c r="D28" s="23">
        <f>DCF!B31 * (1 + (0.14 - DCF!B27)/DCF!B27)</f>
        <v/>
      </c>
      <c r="E28" s="23">
        <f>DCF!B31 * (1 + (0.14 - DCF!B27)/DCF!B27)</f>
        <v/>
      </c>
      <c r="F28" s="23">
        <f>DCF!B31 * (1 + (0.14 - DCF!B27)/DCF!B27)</f>
        <v/>
      </c>
    </row>
  </sheetData>
  <pageMargins left="0.75" right="0.75" top="1" bottom="1" header="0.5" footer="0.5"/>
  <pageSetup orientation="landscape" fitToHeight="0" fitToWidth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E24"/>
  <sheetViews>
    <sheetView workbookViewId="0">
      <selection activeCell="A1" sqref="A1"/>
    </sheetView>
  </sheetViews>
  <sheetFormatPr baseColWidth="8" defaultRowHeight="15"/>
  <cols>
    <col width="30" customWidth="1" min="1" max="1"/>
    <col width="14" customWidth="1" min="2" max="2"/>
    <col width="14" customWidth="1" min="3" max="3"/>
    <col width="14" customWidth="1" min="4" max="4"/>
    <col width="14" customWidth="1" min="5" max="5"/>
  </cols>
  <sheetData>
    <row r="2">
      <c r="A2" s="25" t="inlineStr">
        <is>
          <t>DCF Model Summary</t>
        </is>
      </c>
      <c r="B2" s="26" t="n"/>
    </row>
    <row r="3">
      <c r="A3" s="26" t="inlineStr">
        <is>
          <t>Enterprise Value (EV)</t>
        </is>
      </c>
      <c r="B3" s="27">
        <f>DCF!B27</f>
        <v/>
      </c>
    </row>
    <row r="4">
      <c r="A4" s="26" t="inlineStr">
        <is>
          <t>Equity Value</t>
        </is>
      </c>
      <c r="B4" s="28">
        <f>DCF!B31</f>
        <v/>
      </c>
    </row>
    <row r="5">
      <c r="A5" s="26" t="inlineStr">
        <is>
          <t>Implied Price / Share</t>
        </is>
      </c>
      <c r="B5" s="29">
        <f>DCF!B33</f>
        <v/>
      </c>
    </row>
    <row r="6">
      <c r="A6" s="26" t="n"/>
      <c r="B6" s="26" t="n"/>
    </row>
    <row r="7">
      <c r="A7" s="26" t="inlineStr">
        <is>
          <t>WACC (calc)</t>
        </is>
      </c>
      <c r="B7" s="28">
        <f>Assumptions!B31</f>
        <v/>
      </c>
    </row>
    <row r="8">
      <c r="A8" s="26" t="inlineStr">
        <is>
          <t>Terminal Method</t>
        </is>
      </c>
      <c r="B8" s="26">
        <f>Assumptions!B8</f>
        <v/>
      </c>
    </row>
    <row r="9">
      <c r="A9" s="26" t="inlineStr">
        <is>
          <t>Terminal g</t>
        </is>
      </c>
      <c r="B9" s="30">
        <f>Assumptions!B35</f>
        <v/>
      </c>
    </row>
    <row r="10">
      <c r="A10" s="26" t="inlineStr">
        <is>
          <t>Exit Multiple (if used)</t>
        </is>
      </c>
      <c r="B10" s="31">
        <f>Assumptions!B36</f>
        <v/>
      </c>
    </row>
    <row r="15">
      <c r="A15" s="32" t="inlineStr">
        <is>
          <t>Mini Time-Series</t>
        </is>
      </c>
      <c r="B15" s="33" t="n">
        <v>2028</v>
      </c>
      <c r="C15" s="33" t="n">
        <v>2029</v>
      </c>
      <c r="D15" s="33" t="n">
        <v>2030</v>
      </c>
      <c r="E15" s="33" t="n">
        <v>2031</v>
      </c>
    </row>
    <row r="16">
      <c r="A16" t="inlineStr">
        <is>
          <t>Revenue</t>
        </is>
      </c>
      <c r="B16" s="34">
        <f>Forecast_FCF!E8</f>
        <v/>
      </c>
      <c r="C16" s="34">
        <f>Forecast_FCF!F8</f>
        <v/>
      </c>
      <c r="D16" s="34">
        <f>Forecast_FCF!G8</f>
        <v/>
      </c>
      <c r="E16" s="34">
        <f>Forecast_FCF!H8</f>
        <v/>
      </c>
    </row>
    <row r="17">
      <c r="A17" t="inlineStr">
        <is>
          <t>EBITDA</t>
        </is>
      </c>
      <c r="B17" s="34">
        <f>Forecast_FCF!E13</f>
        <v/>
      </c>
      <c r="C17" s="34">
        <f>Forecast_FCF!F13</f>
        <v/>
      </c>
      <c r="D17" s="34">
        <f>Forecast_FCF!G13</f>
        <v/>
      </c>
      <c r="E17" s="34">
        <f>Forecast_FCF!H13</f>
        <v/>
      </c>
    </row>
    <row r="18">
      <c r="A18" t="inlineStr">
        <is>
          <t>EBIT</t>
        </is>
      </c>
      <c r="B18" s="34">
        <f>Forecast_FCF!E16</f>
        <v/>
      </c>
      <c r="C18" s="34">
        <f>Forecast_FCF!F16</f>
        <v/>
      </c>
      <c r="D18" s="34">
        <f>Forecast_FCF!G16</f>
        <v/>
      </c>
      <c r="E18" s="34">
        <f>Forecast_FCF!H16</f>
        <v/>
      </c>
    </row>
    <row r="19">
      <c r="A19" t="inlineStr">
        <is>
          <t>NOPAT</t>
        </is>
      </c>
      <c r="B19" s="34">
        <f>Forecast_FCF!E18</f>
        <v/>
      </c>
      <c r="C19" s="34">
        <f>Forecast_FCF!F18</f>
        <v/>
      </c>
      <c r="D19" s="34">
        <f>Forecast_FCF!G18</f>
        <v/>
      </c>
      <c r="E19" s="34">
        <f>Forecast_FCF!H18</f>
        <v/>
      </c>
    </row>
    <row r="20">
      <c r="A20" t="inlineStr">
        <is>
          <t>UFCF</t>
        </is>
      </c>
      <c r="B20" s="34">
        <f>Forecast_FCF!E25</f>
        <v/>
      </c>
      <c r="C20" s="34">
        <f>Forecast_FCF!F25</f>
        <v/>
      </c>
      <c r="D20" s="34">
        <f>Forecast_FCF!G25</f>
        <v/>
      </c>
      <c r="E20" s="34">
        <f>Forecast_FCF!H25</f>
        <v/>
      </c>
    </row>
    <row r="24">
      <c r="A24" t="inlineStr">
        <is>
          <t>Model Check: No errors?</t>
        </is>
      </c>
      <c r="B24" s="23">
        <f>AND(DCF!B36, DCF!B37)</f>
        <v/>
      </c>
    </row>
  </sheetData>
  <conditionalFormatting sqref="B24">
    <cfRule type="cellIs" priority="1" operator="equal" dxfId="1">
      <formula>TRUE</formula>
    </cfRule>
    <cfRule type="cellIs" priority="2" operator="equal" dxfId="0">
      <formula>FALSE</formula>
    </cfRule>
  </conditionalFormatting>
  <pageMargins left="0.75" right="0.75" top="1" bottom="1" header="0.5" footer="0.5"/>
  <pageSetup orientation="landscape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2025-09-04T02:01:45Z</dcterms:created>
  <dcterms:modified xmlns:dcterms="http://purl.org/dc/terms/" xmlns:xsi="http://www.w3.org/2001/XMLSchema-instance" xsi:type="dcterms:W3CDTF">2025-09-04T02:01:45Z</dcterms:modified>
</cp:coreProperties>
</file>