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andrewthomson/Library/Mobile Documents/com~apple~CloudDocs/Documents/Documents - iMac Pro/[T] iCLOUD STUDIO/[T] Active Projects/2022 | Open Building/TEUI 3.0/"/>
    </mc:Choice>
  </mc:AlternateContent>
  <xr:revisionPtr revIDLastSave="0" documentId="13_ncr:1_{A0F3A0E1-1735-7C4C-B9CA-3D4011D20892}" xr6:coauthVersionLast="47" xr6:coauthVersionMax="47" xr10:uidLastSave="{00000000-0000-0000-0000-000000000000}"/>
  <bookViews>
    <workbookView xWindow="0" yWindow="760" windowWidth="34560" windowHeight="21580" activeTab="6" xr2:uid="{00000000-000D-0000-FFFF-FFFF00000000}"/>
  </bookViews>
  <sheets>
    <sheet name="REPORT" sheetId="1" r:id="rId1"/>
    <sheet name="REFERENCE" sheetId="15" r:id="rId2"/>
    <sheet name="ENERGY-BALANCE" sheetId="10" r:id="rId3"/>
    <sheet name="CARBON IMPACTS" sheetId="18" r:id="rId4"/>
    <sheet name="CODE-VALUES" sheetId="2" r:id="rId5"/>
    <sheet name="SCHEDULES" sheetId="4" r:id="rId6"/>
    <sheet name="CANADA" sheetId="11" r:id="rId7"/>
    <sheet name="COOLING-TARGET" sheetId="8" r:id="rId8"/>
    <sheet name="COOLING-REFERENCE" sheetId="17" r:id="rId9"/>
    <sheet name="NRL50-n-Factors" sheetId="5" r:id="rId10"/>
    <sheet name="S3-Carbon-Standards" sheetId="6" r:id="rId11"/>
    <sheet name="Ontario-Emissions" sheetId="9" r:id="rId12"/>
    <sheet name="Regression-Test" sheetId="12" r:id="rId13"/>
    <sheet name="License+ChangeLog" sheetId="7" r:id="rId14"/>
    <sheet name="ECONOMICS" sheetId="13" r:id="rId15"/>
    <sheet name="HOW -TO-USE" sheetId="16" r:id="rId16"/>
  </sheets>
  <definedNames>
    <definedName name="_xlchart.v1.0" hidden="1">REPORT!$C$85:$C$95</definedName>
    <definedName name="_xlchart.v1.1" hidden="1">REPORT!$I$85:$I$95</definedName>
    <definedName name="_xlchart.v1.2" hidden="1">REFERENCE!$C$85:$C$95</definedName>
    <definedName name="_xlchart.v1.3" hidden="1">REFERENCE!$I$85:$I$95</definedName>
    <definedName name="_xlchart.v1.4" hidden="1">REPORT!$C$85:$C$95</definedName>
    <definedName name="_xlchart.v1.5" hidden="1">REPORT!$I$85:$I$95</definedName>
    <definedName name="AB" comment="Alberta">CANADA!A$116:A$170</definedName>
    <definedName name="AEFvalues" comment="Annualized Emissions Factor Lookup">'Ontario-Emissions'!$C$6:$C$32</definedName>
    <definedName name="AEFYear" comment="Reporting Year for AEF Lookup">'Ontario-Emissions'!$B$6:$B$32</definedName>
    <definedName name="ASL">CANADA!$B$229:$B$458</definedName>
    <definedName name="BC" comment="British Columbia">CANADA!A$6:A$114</definedName>
    <definedName name="CDDfuture">CANADA!$M$6:$M$699</definedName>
    <definedName name="CDDpresent">CANADA!$L$6:$L$699</definedName>
    <definedName name="ColdOne">CANADA!$D$6:$D$699</definedName>
    <definedName name="ColdTwoPointFive">CANADA!$C$6:$C$699</definedName>
    <definedName name="HDDfuture" comment="2021-2050 Future HDD">CANADA!$K$6:$K$699</definedName>
    <definedName name="HDDpresent">CANADA!$I$6:$I$699</definedName>
    <definedName name="HotDry25future" comment="Revised 2025 NBC C2 Table July Hot Dry-Bulb 2.5% Values">CANADA!$G$6:$G$699</definedName>
    <definedName name="HotDry25present">CANADA!$E$6:$E$699</definedName>
    <definedName name="HotWet25Future">CANADA!$H$6:$H$699</definedName>
    <definedName name="HotWet25Present">CANADA!$F$6:$F$699</definedName>
    <definedName name="MB" comment="Manitoba">CANADA!A$204:A$227</definedName>
    <definedName name="MinIndoorTemp">SCHEDULES!$C$13:$C$20</definedName>
    <definedName name="NB" comment="New Brunswick">CANADA!A$586:A$603</definedName>
    <definedName name="NL" comment="Newfoundland and Labrador">CANADA!A$637:A$654</definedName>
    <definedName name="NS" comment="Nova Scotia">CANADA!A$605:A$630</definedName>
    <definedName name="NT" comment="Northwest Territories">CANADA!A$666:A$682</definedName>
    <definedName name="NU" comment="Nunavut">CANADA!A$684:A$699</definedName>
    <definedName name="OccType">SCHEDULES!$B$13:$B$20</definedName>
    <definedName name="ON" comment="Ontario">CANADA!$A$229:$A$458</definedName>
    <definedName name="PE" comment="Prince Edward Island">CANADA!A$632:A$635</definedName>
    <definedName name="_xlnm.Print_Area" localSheetId="3">'CARBON IMPACTS'!$A$1:$I$35</definedName>
    <definedName name="_xlnm.Print_Area" localSheetId="2">'ENERGY-BALANCE'!$B$2:$J$90</definedName>
    <definedName name="_xlnm.Print_Area" localSheetId="1">REFERENCE!$A$1:$N$148</definedName>
    <definedName name="_xlnm.Print_Area" localSheetId="12">'Regression-Test'!$A$1:$V$52</definedName>
    <definedName name="_xlnm.Print_Area" localSheetId="0">REPORT!$A$1:$N$148</definedName>
    <definedName name="PrintEB" localSheetId="2">'ENERGY-BALANCE'!$B$2:$J$92</definedName>
    <definedName name="PrintFACTS" localSheetId="1">REFERENCE!$A$1:$N$146</definedName>
    <definedName name="PrintFACTS" localSheetId="0">REPORT!$A$1:$N$145</definedName>
    <definedName name="QC" comment="Quebec">CANADA!$A$460:$A$584</definedName>
    <definedName name="S2RefStandard" localSheetId="1">REFERENCE!$D$13</definedName>
    <definedName name="S2RepStandard">REPORT!$D$13</definedName>
    <definedName name="SK" comment="Saskatchewan">CANADA!A$172:A$202</definedName>
    <definedName name="Stories">'NRL50-n-Factors'!$D$37:$J$37</definedName>
    <definedName name="YT" comment="Yukon">CANADA!A$656:A$664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5" l="1"/>
  <c r="T120" i="1"/>
  <c r="M118" i="1" s="1"/>
  <c r="L118" i="15"/>
  <c r="T120" i="15"/>
  <c r="M118" i="15" s="1"/>
  <c r="B12" i="12"/>
  <c r="B11" i="12"/>
  <c r="B10" i="12"/>
  <c r="B9" i="12"/>
  <c r="B8" i="12"/>
  <c r="B7" i="12"/>
  <c r="B6" i="12"/>
  <c r="C17" i="12"/>
  <c r="A17" i="12"/>
  <c r="B5" i="12" s="1"/>
  <c r="T138" i="1"/>
  <c r="T139" i="1"/>
  <c r="T116" i="1"/>
  <c r="M116" i="1" s="1"/>
  <c r="T50" i="1"/>
  <c r="T127" i="15"/>
  <c r="M127" i="15" s="1"/>
  <c r="V127" i="2"/>
  <c r="T127" i="1"/>
  <c r="T119" i="1"/>
  <c r="B14" i="12" l="1"/>
  <c r="B15" i="12"/>
  <c r="B13" i="12"/>
  <c r="B17" i="12" s="1"/>
  <c r="B16" i="12"/>
  <c r="D116" i="15"/>
  <c r="D115" i="15" l="1"/>
  <c r="J117" i="1"/>
  <c r="I43" i="15"/>
  <c r="I43" i="1"/>
  <c r="H115" i="15" l="1"/>
  <c r="G27" i="2"/>
  <c r="C27" i="2"/>
  <c r="D27" i="2"/>
  <c r="E27" i="2"/>
  <c r="D16" i="15" l="1"/>
  <c r="I39" i="15"/>
  <c r="M39" i="15" s="1"/>
  <c r="A7411" i="1"/>
  <c r="A7410" i="1"/>
  <c r="A7408" i="1"/>
  <c r="A7406" i="1"/>
  <c r="A7405" i="1"/>
  <c r="A7403"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6" i="1"/>
  <c r="A7374" i="1"/>
  <c r="A7361" i="1"/>
  <c r="A7359" i="1"/>
  <c r="A7358" i="1"/>
  <c r="A7357" i="1"/>
  <c r="A7355" i="1"/>
  <c r="A7353" i="1"/>
  <c r="A7352" i="1"/>
  <c r="A7350"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3" i="1"/>
  <c r="A7321" i="1"/>
  <c r="A7308" i="1"/>
  <c r="A7306" i="1"/>
  <c r="A7304" i="1"/>
  <c r="A7303" i="1"/>
  <c r="A7302" i="1"/>
  <c r="A7300" i="1"/>
  <c r="A7298" i="1"/>
  <c r="A7297" i="1"/>
  <c r="A7295"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8" i="1"/>
  <c r="A7266" i="1"/>
  <c r="A7253" i="1"/>
  <c r="A7251" i="1"/>
  <c r="A7250" i="1"/>
  <c r="A7248" i="1"/>
  <c r="A7246" i="1"/>
  <c r="A7245" i="1"/>
  <c r="A7243"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6" i="1"/>
  <c r="A7214" i="1"/>
  <c r="A7201" i="1"/>
  <c r="A7198" i="1"/>
  <c r="A7197" i="1"/>
  <c r="A7196" i="1"/>
  <c r="A7194" i="1"/>
  <c r="A7193" i="1"/>
  <c r="A7192" i="1"/>
  <c r="A7190" i="1"/>
  <c r="A7188" i="1"/>
  <c r="A7187" i="1"/>
  <c r="A7185" i="1"/>
  <c r="A7183" i="1"/>
  <c r="A7182" i="1"/>
  <c r="A7181" i="1"/>
  <c r="A7180" i="1"/>
  <c r="A7179" i="1"/>
  <c r="A7178" i="1"/>
  <c r="A7177" i="1"/>
  <c r="A7176" i="1"/>
  <c r="A7175" i="1"/>
  <c r="A7174" i="1"/>
  <c r="A7173" i="1"/>
  <c r="A7172" i="1"/>
  <c r="A7171" i="1"/>
  <c r="A7170" i="1"/>
  <c r="A7169" i="1"/>
  <c r="A7168" i="1"/>
  <c r="A7167" i="1"/>
  <c r="A7166" i="1"/>
  <c r="A7165" i="1"/>
  <c r="A7164" i="1"/>
  <c r="A7163" i="1"/>
  <c r="A7162" i="1"/>
  <c r="A7161" i="1"/>
  <c r="A7160" i="1"/>
  <c r="A7158" i="1"/>
  <c r="A7156" i="1"/>
  <c r="A7143" i="1"/>
  <c r="A7138" i="1"/>
  <c r="A7135" i="1"/>
  <c r="A7126" i="1"/>
  <c r="A7125" i="1"/>
  <c r="A7124" i="1"/>
  <c r="A7122" i="1"/>
  <c r="A7121" i="1"/>
  <c r="A7120" i="1"/>
  <c r="A7115" i="1"/>
  <c r="A7112" i="1"/>
  <c r="A7103" i="1"/>
  <c r="A7102" i="1"/>
  <c r="A7101" i="1"/>
  <c r="A7099" i="1"/>
  <c r="A7097" i="1"/>
  <c r="A7095" i="1"/>
  <c r="A7094" i="1"/>
  <c r="A7092"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5" i="1"/>
  <c r="A7063" i="1"/>
  <c r="A7050" i="1"/>
  <c r="A7048" i="1"/>
  <c r="A7047" i="1"/>
  <c r="A7046" i="1"/>
  <c r="A7044" i="1"/>
  <c r="A7043" i="1"/>
  <c r="A7042" i="1"/>
  <c r="A7040" i="1"/>
  <c r="A7038" i="1"/>
  <c r="A7037" i="1"/>
  <c r="A7035"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8" i="1"/>
  <c r="A7006" i="1"/>
  <c r="A6993" i="1"/>
  <c r="A6991" i="1"/>
  <c r="A6990" i="1"/>
  <c r="A6988" i="1"/>
  <c r="A6987" i="1"/>
  <c r="A6986" i="1"/>
  <c r="A6984" i="1"/>
  <c r="A6982" i="1"/>
  <c r="A6981" i="1"/>
  <c r="A6979"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2" i="1"/>
  <c r="A6950" i="1"/>
  <c r="A6937" i="1"/>
  <c r="A6935" i="1"/>
  <c r="A6933" i="1"/>
  <c r="A6931" i="1"/>
  <c r="A6930" i="1"/>
  <c r="A6928"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1" i="1"/>
  <c r="A6899" i="1"/>
  <c r="A6886" i="1"/>
  <c r="A6883" i="1"/>
  <c r="A6882" i="1"/>
  <c r="A6881" i="1"/>
  <c r="A6879" i="1"/>
  <c r="A6877" i="1"/>
  <c r="A6876" i="1"/>
  <c r="A6874"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7" i="1"/>
  <c r="A6845" i="1"/>
  <c r="A6832" i="1"/>
  <c r="A6830" i="1"/>
  <c r="A6829" i="1"/>
  <c r="A6827" i="1"/>
  <c r="A6825" i="1"/>
  <c r="A6824" i="1"/>
  <c r="A6822"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5" i="1"/>
  <c r="A6793" i="1"/>
  <c r="A6780" i="1"/>
  <c r="A6778" i="1"/>
  <c r="A6775" i="1"/>
  <c r="A6770" i="1"/>
  <c r="A6769" i="1"/>
  <c r="A6768" i="1"/>
  <c r="A6766" i="1"/>
  <c r="A6765" i="1"/>
  <c r="A6764" i="1"/>
  <c r="A6762" i="1"/>
  <c r="A6760" i="1"/>
  <c r="A6759" i="1"/>
  <c r="A6758" i="1"/>
  <c r="A6757" i="1"/>
  <c r="A6756" i="1"/>
  <c r="A6755" i="1"/>
  <c r="A6753" i="1"/>
  <c r="A6751" i="1"/>
  <c r="A6738" i="1"/>
  <c r="A6734" i="1"/>
  <c r="A6731" i="1"/>
  <c r="A6726" i="1"/>
  <c r="A6725" i="1"/>
  <c r="A6724" i="1"/>
  <c r="A6722" i="1"/>
  <c r="A6721" i="1"/>
  <c r="A6720" i="1"/>
  <c r="A6718" i="1"/>
  <c r="A6716" i="1"/>
  <c r="A6715" i="1"/>
  <c r="A6714" i="1"/>
  <c r="A6712" i="1"/>
  <c r="A6710" i="1"/>
  <c r="A6697" i="1"/>
  <c r="A6692" i="1"/>
  <c r="A6689" i="1"/>
  <c r="A6684" i="1"/>
  <c r="A6683" i="1"/>
  <c r="A6682" i="1"/>
  <c r="A6680" i="1"/>
  <c r="A6679" i="1"/>
  <c r="A6678" i="1"/>
  <c r="A6676" i="1"/>
  <c r="A6673" i="1"/>
  <c r="A6671" i="1"/>
  <c r="A6658" i="1"/>
  <c r="A6655" i="1"/>
  <c r="A6653" i="1"/>
  <c r="A6652" i="1"/>
  <c r="A6650"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0" i="1"/>
  <c r="A6619" i="1"/>
  <c r="A6617" i="1"/>
  <c r="A6616" i="1"/>
  <c r="A6615" i="1"/>
  <c r="A6613" i="1"/>
  <c r="A6611" i="1"/>
  <c r="A6610" i="1"/>
  <c r="A6608"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1" i="1"/>
  <c r="A6579" i="1"/>
  <c r="A6566" i="1"/>
  <c r="A6564" i="1"/>
  <c r="A6562" i="1"/>
  <c r="A6560" i="1"/>
  <c r="A6559" i="1"/>
  <c r="A6557"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0" i="1"/>
  <c r="A6528" i="1"/>
  <c r="A6515" i="1"/>
  <c r="A6513" i="1"/>
  <c r="A6511" i="1"/>
  <c r="A6509" i="1"/>
  <c r="A6508" i="1"/>
  <c r="A6506"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79" i="1"/>
  <c r="A6477" i="1"/>
  <c r="A6464" i="1"/>
  <c r="A6462" i="1"/>
  <c r="A6460" i="1"/>
  <c r="A6458" i="1"/>
  <c r="A6457" i="1"/>
  <c r="A6455"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8" i="1"/>
  <c r="A6426" i="1"/>
  <c r="A6413" i="1"/>
  <c r="A6410" i="1"/>
  <c r="A6408" i="1"/>
  <c r="A6407" i="1"/>
  <c r="A6405"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8" i="1"/>
  <c r="A6376" i="1"/>
  <c r="A6363" i="1"/>
  <c r="A6360" i="1"/>
  <c r="A6359" i="1"/>
  <c r="A6358" i="1"/>
  <c r="A6356" i="1"/>
  <c r="A6354" i="1"/>
  <c r="A6353" i="1"/>
  <c r="A6351"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4" i="1"/>
  <c r="A6322" i="1"/>
  <c r="A6309" i="1"/>
  <c r="A6306" i="1"/>
  <c r="A6305" i="1"/>
  <c r="A6304" i="1"/>
  <c r="A6302" i="1"/>
  <c r="A6300" i="1"/>
  <c r="A6299" i="1"/>
  <c r="A6297"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0" i="1"/>
  <c r="A6268" i="1"/>
  <c r="A6255" i="1"/>
  <c r="A6253" i="1"/>
  <c r="A6252" i="1"/>
  <c r="A6250" i="1"/>
  <c r="A6248" i="1"/>
  <c r="A6247" i="1"/>
  <c r="A6245"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8" i="1"/>
  <c r="A6216" i="1"/>
  <c r="A6203" i="1"/>
  <c r="A6201" i="1"/>
  <c r="A6199" i="1"/>
  <c r="A6197" i="1"/>
  <c r="A6196" i="1"/>
  <c r="A6194"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7" i="1"/>
  <c r="A6165" i="1"/>
  <c r="A6152" i="1"/>
  <c r="A6150" i="1"/>
  <c r="A6148" i="1"/>
  <c r="A6146" i="1"/>
  <c r="A6145" i="1"/>
  <c r="A6143"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6" i="1"/>
  <c r="A6114" i="1"/>
  <c r="A6101" i="1"/>
  <c r="A6096" i="1"/>
  <c r="A6095" i="1"/>
  <c r="A6093" i="1"/>
  <c r="A6092" i="1"/>
  <c r="A6091" i="1"/>
  <c r="A6089" i="1"/>
  <c r="A6087" i="1"/>
  <c r="A6086" i="1"/>
  <c r="A6084"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7" i="1"/>
  <c r="A6055" i="1"/>
  <c r="A6042" i="1"/>
  <c r="A6037" i="1"/>
  <c r="A6034" i="1"/>
  <c r="A6030" i="1"/>
  <c r="A6029" i="1"/>
  <c r="A6027" i="1"/>
  <c r="A6023" i="1"/>
  <c r="A6018" i="1"/>
  <c r="A6015" i="1"/>
  <c r="A6011" i="1"/>
  <c r="A6010" i="1"/>
  <c r="A6008" i="1"/>
  <c r="A6007" i="1"/>
  <c r="A6006" i="1"/>
  <c r="A6004" i="1"/>
  <c r="A6002" i="1"/>
  <c r="A6001" i="1"/>
  <c r="A5999"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2" i="1"/>
  <c r="A5970" i="1"/>
  <c r="A5957" i="1"/>
  <c r="A5955" i="1"/>
  <c r="A5954" i="1"/>
  <c r="A5953" i="1"/>
  <c r="A5952" i="1"/>
  <c r="A5951" i="1"/>
  <c r="A5950" i="1"/>
  <c r="A5949" i="1"/>
  <c r="A5948" i="1"/>
  <c r="A5947" i="1"/>
  <c r="A5946" i="1"/>
  <c r="A5945" i="1"/>
  <c r="A5944" i="1"/>
  <c r="A5943" i="1"/>
  <c r="A5942" i="1"/>
  <c r="A5941" i="1"/>
  <c r="A5940" i="1"/>
  <c r="A5939" i="1"/>
  <c r="A5938" i="1"/>
  <c r="A5936" i="1"/>
  <c r="A5934" i="1"/>
  <c r="A5921" i="1"/>
  <c r="A5918" i="1"/>
  <c r="A5916" i="1"/>
  <c r="A5915" i="1"/>
  <c r="A5913" i="1"/>
  <c r="A5911" i="1"/>
  <c r="A5910" i="1"/>
  <c r="A5909" i="1"/>
  <c r="A5908" i="1"/>
  <c r="A5907" i="1"/>
  <c r="A5906" i="1"/>
  <c r="A5904" i="1"/>
  <c r="A5903" i="1"/>
  <c r="A5901" i="1"/>
  <c r="A5900" i="1"/>
  <c r="A5899" i="1"/>
  <c r="A5897" i="1"/>
  <c r="A5895" i="1"/>
  <c r="A5894" i="1"/>
  <c r="A5892"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5" i="1"/>
  <c r="A5863" i="1"/>
  <c r="A5850" i="1"/>
  <c r="A5848" i="1"/>
  <c r="A5847" i="1"/>
  <c r="A5846" i="1"/>
  <c r="A5844" i="1"/>
  <c r="A5842" i="1"/>
  <c r="A5841" i="1"/>
  <c r="A5839"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2" i="1"/>
  <c r="A5810" i="1"/>
  <c r="A5797" i="1"/>
  <c r="A5795" i="1"/>
  <c r="A5793" i="1"/>
  <c r="A5791" i="1"/>
  <c r="A5790" i="1"/>
  <c r="A5788"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1" i="1"/>
  <c r="A5759" i="1"/>
  <c r="A5746" i="1"/>
  <c r="A5744" i="1"/>
  <c r="A5743" i="1"/>
  <c r="A5741" i="1"/>
  <c r="A5739" i="1"/>
  <c r="A5738" i="1"/>
  <c r="A5736"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09" i="1"/>
  <c r="A5707" i="1"/>
  <c r="A5694" i="1"/>
  <c r="A5692" i="1"/>
  <c r="A5690" i="1"/>
  <c r="A5688" i="1"/>
  <c r="A5687" i="1"/>
  <c r="A5685"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8" i="1"/>
  <c r="A5656" i="1"/>
  <c r="A5643" i="1"/>
  <c r="A5640" i="1"/>
  <c r="A5639" i="1"/>
  <c r="A5637" i="1"/>
  <c r="A5636" i="1"/>
  <c r="A5635" i="1"/>
  <c r="A5633" i="1"/>
  <c r="A5631" i="1"/>
  <c r="A5630" i="1"/>
  <c r="A5628"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1" i="1"/>
  <c r="A5599" i="1"/>
  <c r="A5586" i="1"/>
  <c r="A5581" i="1"/>
  <c r="A5578" i="1"/>
  <c r="A5574" i="1"/>
  <c r="A5573" i="1"/>
  <c r="A5571" i="1"/>
  <c r="A5570" i="1"/>
  <c r="A5569" i="1"/>
  <c r="A5567" i="1"/>
  <c r="A5565" i="1"/>
  <c r="A5564" i="1"/>
  <c r="A5562"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5" i="1"/>
  <c r="A5533" i="1"/>
  <c r="A5520" i="1"/>
  <c r="A5515" i="1"/>
  <c r="A5514" i="1"/>
  <c r="A5512" i="1"/>
  <c r="A5511" i="1"/>
  <c r="A5510" i="1"/>
  <c r="A5508" i="1"/>
  <c r="A5506" i="1"/>
  <c r="A5505" i="1"/>
  <c r="A5503"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6" i="1"/>
  <c r="A5474" i="1"/>
  <c r="A5461" i="1"/>
  <c r="A5458" i="1"/>
  <c r="A5456" i="1"/>
  <c r="A5455" i="1"/>
  <c r="A5453"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6" i="1"/>
  <c r="A5424" i="1"/>
  <c r="A5411" i="1"/>
  <c r="A5409" i="1"/>
  <c r="A5407" i="1"/>
  <c r="A5405" i="1"/>
  <c r="A5404" i="1"/>
  <c r="A5402"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5" i="1"/>
  <c r="A5373" i="1"/>
  <c r="A5360" i="1"/>
  <c r="A5357" i="1"/>
  <c r="A5355" i="1"/>
  <c r="A5354" i="1"/>
  <c r="A5352"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5" i="1"/>
  <c r="A5323" i="1"/>
  <c r="A5310" i="1"/>
  <c r="A5307" i="1"/>
  <c r="A5305" i="1"/>
  <c r="A5304" i="1"/>
  <c r="A5302"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5" i="1"/>
  <c r="A5273" i="1"/>
  <c r="A5260" i="1"/>
  <c r="A5255" i="1"/>
  <c r="A5252" i="1"/>
  <c r="A5248" i="1"/>
  <c r="A5247" i="1"/>
  <c r="A5245" i="1"/>
  <c r="A5244" i="1"/>
  <c r="A5243" i="1"/>
  <c r="A5241" i="1"/>
  <c r="A5239" i="1"/>
  <c r="A5238" i="1"/>
  <c r="A5236"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09" i="1"/>
  <c r="A5207" i="1"/>
  <c r="A5194" i="1"/>
  <c r="A5191" i="1"/>
  <c r="A5189" i="1"/>
  <c r="A5188" i="1"/>
  <c r="A5186"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59" i="1"/>
  <c r="A5157" i="1"/>
  <c r="A5144" i="1"/>
  <c r="A5141" i="1"/>
  <c r="A5139" i="1"/>
  <c r="A5138" i="1"/>
  <c r="A5136"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09" i="1"/>
  <c r="A5107" i="1"/>
  <c r="A5094" i="1"/>
  <c r="A5091" i="1"/>
  <c r="A5089" i="1"/>
  <c r="A5088" i="1"/>
  <c r="A5086"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59" i="1"/>
  <c r="A5057" i="1"/>
  <c r="A5044" i="1"/>
  <c r="A5039" i="1"/>
  <c r="A5036" i="1"/>
  <c r="A5032" i="1"/>
  <c r="A5031" i="1"/>
  <c r="A5029" i="1"/>
  <c r="A5028" i="1"/>
  <c r="A5027" i="1"/>
  <c r="A5025" i="1"/>
  <c r="A5023" i="1"/>
  <c r="A5022" i="1"/>
  <c r="A5020"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3" i="1"/>
  <c r="A4991" i="1"/>
  <c r="A4978" i="1"/>
  <c r="A4975" i="1"/>
  <c r="A4973" i="1"/>
  <c r="A4972" i="1"/>
  <c r="A4970"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3" i="1"/>
  <c r="A4941" i="1"/>
  <c r="A4928" i="1"/>
  <c r="A4925" i="1"/>
  <c r="A4923" i="1"/>
  <c r="A4922" i="1"/>
  <c r="A4920"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3" i="1"/>
  <c r="A4891" i="1"/>
  <c r="A4878" i="1"/>
  <c r="A4876" i="1"/>
  <c r="A4875" i="1"/>
  <c r="A4873" i="1"/>
  <c r="A4871" i="1"/>
  <c r="A4870" i="1"/>
  <c r="A4868"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1" i="1"/>
  <c r="A4839" i="1"/>
  <c r="A4826" i="1"/>
  <c r="A4824" i="1"/>
  <c r="A4811" i="1"/>
  <c r="A4806" i="1"/>
  <c r="A4803" i="1"/>
  <c r="A4799" i="1"/>
  <c r="A4798" i="1"/>
  <c r="A4796" i="1"/>
  <c r="A4795" i="1"/>
  <c r="A4794" i="1"/>
  <c r="A4792" i="1"/>
  <c r="A4790" i="1"/>
  <c r="A4789" i="1"/>
  <c r="A4787"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0" i="1"/>
  <c r="A4758" i="1"/>
  <c r="A4745" i="1"/>
  <c r="A4742" i="1"/>
  <c r="A4740" i="1"/>
  <c r="A4739" i="1"/>
  <c r="A4737"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0" i="1"/>
  <c r="A4708" i="1"/>
  <c r="A4695" i="1"/>
  <c r="A4692" i="1"/>
  <c r="A4690" i="1"/>
  <c r="A4689" i="1"/>
  <c r="A4687"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0" i="1"/>
  <c r="A4658" i="1"/>
  <c r="A4645" i="1"/>
  <c r="A4643" i="1"/>
  <c r="A4642" i="1"/>
  <c r="A4640" i="1"/>
  <c r="A4638" i="1"/>
  <c r="A4637" i="1"/>
  <c r="A4635"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8" i="1"/>
  <c r="A4606" i="1"/>
  <c r="A4593" i="1"/>
  <c r="A4591" i="1"/>
  <c r="A4589" i="1"/>
  <c r="A4588" i="1"/>
  <c r="A4587" i="1"/>
  <c r="A4585" i="1"/>
  <c r="A4583" i="1"/>
  <c r="A4582" i="1"/>
  <c r="A4580"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3" i="1"/>
  <c r="A4551" i="1"/>
  <c r="A4538" i="1"/>
  <c r="A4533" i="1"/>
  <c r="A4530" i="1"/>
  <c r="A4528" i="1"/>
  <c r="A4526" i="1"/>
  <c r="A4524" i="1"/>
  <c r="A4523" i="1"/>
  <c r="A4521"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4" i="1"/>
  <c r="A4492" i="1"/>
  <c r="A4479" i="1"/>
  <c r="A4477" i="1"/>
  <c r="A4476" i="1"/>
  <c r="A4474" i="1"/>
  <c r="A4473" i="1"/>
  <c r="A4471"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4" i="1"/>
  <c r="A4442" i="1"/>
  <c r="A4429" i="1"/>
  <c r="A4427" i="1"/>
  <c r="A4425" i="1"/>
  <c r="A4424" i="1"/>
  <c r="A4422" i="1"/>
  <c r="A4421" i="1"/>
  <c r="A4419"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2" i="1"/>
  <c r="A4390" i="1"/>
  <c r="A4377" i="1"/>
  <c r="A4372" i="1"/>
  <c r="A4369" i="1"/>
  <c r="A4365" i="1"/>
  <c r="A4364" i="1"/>
  <c r="A4362" i="1"/>
  <c r="A4361" i="1"/>
  <c r="A4359" i="1"/>
  <c r="A4358" i="1"/>
  <c r="A4356"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29" i="1"/>
  <c r="A4327" i="1"/>
  <c r="A4314" i="1"/>
  <c r="A4312" i="1"/>
  <c r="A4311" i="1"/>
  <c r="A4309" i="1"/>
  <c r="A4308" i="1"/>
  <c r="A4306"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79" i="1"/>
  <c r="A4277" i="1"/>
  <c r="A4264" i="1"/>
  <c r="A4262" i="1"/>
  <c r="A4261" i="1"/>
  <c r="A4259" i="1"/>
  <c r="A4258" i="1"/>
  <c r="A4256"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29" i="1"/>
  <c r="A4227" i="1"/>
  <c r="A4214" i="1"/>
  <c r="A4212" i="1"/>
  <c r="A4211" i="1"/>
  <c r="A4209" i="1"/>
  <c r="A4208" i="1"/>
  <c r="A4206"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79" i="1"/>
  <c r="A4177" i="1"/>
  <c r="A4164" i="1"/>
  <c r="A4162" i="1"/>
  <c r="A4160" i="1"/>
  <c r="A4159" i="1"/>
  <c r="A4157" i="1"/>
  <c r="A4156" i="1"/>
  <c r="A4154"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7" i="1"/>
  <c r="A4125" i="1"/>
  <c r="A4112" i="1"/>
  <c r="A4107" i="1"/>
  <c r="A4104" i="1"/>
  <c r="A4100" i="1"/>
  <c r="A4099" i="1"/>
  <c r="A4097" i="1"/>
  <c r="A4096" i="1"/>
  <c r="A4094" i="1"/>
  <c r="A4093" i="1"/>
  <c r="A4091"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4" i="1"/>
  <c r="A4062" i="1"/>
  <c r="A4049" i="1"/>
  <c r="A4047" i="1"/>
  <c r="A4046" i="1"/>
  <c r="A4044" i="1"/>
  <c r="A4043" i="1"/>
  <c r="A4041"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4" i="1"/>
  <c r="A4012" i="1"/>
  <c r="A3999" i="1"/>
  <c r="A3995" i="1"/>
  <c r="A3992" i="1"/>
  <c r="A3988" i="1"/>
  <c r="A3987" i="1"/>
  <c r="A3985" i="1"/>
  <c r="A3984" i="1"/>
  <c r="A3982" i="1"/>
  <c r="A3981" i="1"/>
  <c r="A3979"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2" i="1"/>
  <c r="A3950" i="1"/>
  <c r="A3937" i="1"/>
  <c r="A3934" i="1"/>
  <c r="A3933" i="1"/>
  <c r="A3931" i="1"/>
  <c r="A3930" i="1"/>
  <c r="A3928"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1" i="1"/>
  <c r="A3899" i="1"/>
  <c r="A3886" i="1"/>
  <c r="A3882" i="1"/>
  <c r="A3881" i="1"/>
  <c r="A3879" i="1"/>
  <c r="A3878"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1" i="1"/>
  <c r="A3849" i="1"/>
  <c r="A3836" i="1"/>
  <c r="A3832" i="1"/>
  <c r="A3831" i="1"/>
  <c r="A3829" i="1"/>
  <c r="A3828"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1" i="1"/>
  <c r="A3799" i="1"/>
  <c r="A3786" i="1"/>
  <c r="A3781" i="1"/>
  <c r="A3778" i="1"/>
  <c r="A3774" i="1"/>
  <c r="A3773" i="1"/>
  <c r="A3771" i="1"/>
  <c r="A3770"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3" i="1"/>
  <c r="A3741" i="1"/>
  <c r="A3728" i="1"/>
  <c r="A3726" i="1"/>
  <c r="A3723" i="1"/>
  <c r="A3719" i="1"/>
  <c r="A3718"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1" i="1"/>
  <c r="A3689" i="1"/>
  <c r="A3676" i="1"/>
  <c r="A3672" i="1"/>
  <c r="A3668" i="1"/>
  <c r="A3667"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0" i="1"/>
  <c r="A3638" i="1"/>
  <c r="A3625" i="1"/>
  <c r="A3621" i="1"/>
  <c r="A3617" i="1"/>
  <c r="A3616"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89" i="1"/>
  <c r="A3587" i="1"/>
  <c r="A3574" i="1"/>
  <c r="A3572" i="1"/>
  <c r="A3569" i="1"/>
  <c r="A3565" i="1"/>
  <c r="A3564" i="1"/>
  <c r="A3562" i="1"/>
  <c r="A3561" i="1"/>
  <c r="A3560" i="1"/>
  <c r="A3559" i="1"/>
  <c r="A3558" i="1"/>
  <c r="A3557" i="1"/>
  <c r="A3556" i="1"/>
  <c r="A3555" i="1"/>
  <c r="A3554" i="1"/>
  <c r="A3553" i="1"/>
  <c r="A3552" i="1"/>
  <c r="A3551" i="1"/>
  <c r="A3550" i="1"/>
  <c r="A3549" i="1"/>
  <c r="A3548" i="1"/>
  <c r="A3547" i="1"/>
  <c r="A3546" i="1"/>
  <c r="A3545" i="1"/>
  <c r="A3544" i="1"/>
  <c r="A3543" i="1"/>
  <c r="A3542" i="1"/>
  <c r="A3541" i="1"/>
  <c r="A3539" i="1"/>
  <c r="A3537" i="1"/>
  <c r="A3524" i="1"/>
  <c r="A3522" i="1"/>
  <c r="A3519" i="1"/>
  <c r="A3515" i="1"/>
  <c r="A3514" i="1"/>
  <c r="A3512" i="1"/>
  <c r="A3511" i="1"/>
  <c r="A3510" i="1"/>
  <c r="A3509" i="1"/>
  <c r="A3508" i="1"/>
  <c r="A3507" i="1"/>
  <c r="A3506" i="1"/>
  <c r="A3505" i="1"/>
  <c r="A3504" i="1"/>
  <c r="A3503" i="1"/>
  <c r="A3502" i="1"/>
  <c r="A3501" i="1"/>
  <c r="A3500" i="1"/>
  <c r="A3499" i="1"/>
  <c r="A3498" i="1"/>
  <c r="A3497" i="1"/>
  <c r="A3496" i="1"/>
  <c r="A3495" i="1"/>
  <c r="A3494" i="1"/>
  <c r="A3493" i="1"/>
  <c r="A3492" i="1"/>
  <c r="A3491" i="1"/>
  <c r="A3489" i="1"/>
  <c r="A3487" i="1"/>
  <c r="A3474" i="1"/>
  <c r="A3469" i="1"/>
  <c r="A3466" i="1"/>
  <c r="A3462" i="1"/>
  <c r="A3461" i="1"/>
  <c r="A3459" i="1"/>
  <c r="A3458" i="1"/>
  <c r="A3457" i="1"/>
  <c r="A3456" i="1"/>
  <c r="A3455" i="1"/>
  <c r="A3454" i="1"/>
  <c r="A3453" i="1"/>
  <c r="A3452" i="1"/>
  <c r="A3451" i="1"/>
  <c r="A3450" i="1"/>
  <c r="A3449" i="1"/>
  <c r="A3448" i="1"/>
  <c r="A3447" i="1"/>
  <c r="A3446" i="1"/>
  <c r="A3445" i="1"/>
  <c r="A3444" i="1"/>
  <c r="A3443" i="1"/>
  <c r="A3442" i="1"/>
  <c r="A3441" i="1"/>
  <c r="A3440" i="1"/>
  <c r="A3439" i="1"/>
  <c r="A3438" i="1"/>
  <c r="A3436" i="1"/>
  <c r="A3434" i="1"/>
  <c r="A3421" i="1"/>
  <c r="A3416" i="1"/>
  <c r="A3413" i="1"/>
  <c r="A3409" i="1"/>
  <c r="A3408" i="1"/>
  <c r="A3406" i="1"/>
  <c r="A3405" i="1"/>
  <c r="A3404" i="1"/>
  <c r="A3403" i="1"/>
  <c r="A3402" i="1"/>
  <c r="A3401" i="1"/>
  <c r="A3400" i="1"/>
  <c r="A3399" i="1"/>
  <c r="A3398" i="1"/>
  <c r="A3397" i="1"/>
  <c r="A3396" i="1"/>
  <c r="A3395" i="1"/>
  <c r="A3394" i="1"/>
  <c r="A3393" i="1"/>
  <c r="A3392" i="1"/>
  <c r="A3391" i="1"/>
  <c r="A3390" i="1"/>
  <c r="A3389" i="1"/>
  <c r="A3388" i="1"/>
  <c r="A3387" i="1"/>
  <c r="A3385" i="1"/>
  <c r="A3383" i="1"/>
  <c r="A3370" i="1"/>
  <c r="A3365" i="1"/>
  <c r="A3362" i="1"/>
  <c r="A3358" i="1"/>
  <c r="A3357" i="1"/>
  <c r="A3355" i="1"/>
  <c r="A3354" i="1"/>
  <c r="A3353" i="1"/>
  <c r="A3352" i="1"/>
  <c r="A3351" i="1"/>
  <c r="A3350" i="1"/>
  <c r="A3349" i="1"/>
  <c r="A3348" i="1"/>
  <c r="A3347" i="1"/>
  <c r="A3346" i="1"/>
  <c r="A3345" i="1"/>
  <c r="A3344" i="1"/>
  <c r="A3343" i="1"/>
  <c r="A3342" i="1"/>
  <c r="A3341" i="1"/>
  <c r="A3340" i="1"/>
  <c r="A3339" i="1"/>
  <c r="A3338" i="1"/>
  <c r="A3337" i="1"/>
  <c r="A3336" i="1"/>
  <c r="A3334" i="1"/>
  <c r="A3332" i="1"/>
  <c r="A3319" i="1"/>
  <c r="A3314" i="1"/>
  <c r="A3311" i="1"/>
  <c r="A3307" i="1"/>
  <c r="A3306" i="1"/>
  <c r="A3304" i="1"/>
  <c r="A3303" i="1"/>
  <c r="A3302" i="1"/>
  <c r="A3301" i="1"/>
  <c r="A3300" i="1"/>
  <c r="A3299" i="1"/>
  <c r="A3298" i="1"/>
  <c r="A3297" i="1"/>
  <c r="A3296" i="1"/>
  <c r="A3295" i="1"/>
  <c r="A3294" i="1"/>
  <c r="A3293" i="1"/>
  <c r="A3292" i="1"/>
  <c r="A3291" i="1"/>
  <c r="A3290" i="1"/>
  <c r="A3289" i="1"/>
  <c r="A3288" i="1"/>
  <c r="A3287" i="1"/>
  <c r="A3286" i="1"/>
  <c r="A3285" i="1"/>
  <c r="A3283" i="1"/>
  <c r="A3281" i="1"/>
  <c r="A3268" i="1"/>
  <c r="A3263" i="1"/>
  <c r="A3260" i="1"/>
  <c r="A3256" i="1"/>
  <c r="A3255" i="1"/>
  <c r="A3253" i="1"/>
  <c r="A3252" i="1"/>
  <c r="A3251" i="1"/>
  <c r="A3250" i="1"/>
  <c r="A3249" i="1"/>
  <c r="A3248" i="1"/>
  <c r="A3247" i="1"/>
  <c r="A3246" i="1"/>
  <c r="A3245" i="1"/>
  <c r="A3244" i="1"/>
  <c r="A3243" i="1"/>
  <c r="A3242" i="1"/>
  <c r="A3241" i="1"/>
  <c r="A3240" i="1"/>
  <c r="A3239" i="1"/>
  <c r="A3238" i="1"/>
  <c r="A3237" i="1"/>
  <c r="A3236" i="1"/>
  <c r="A3234" i="1"/>
  <c r="A3232" i="1"/>
  <c r="A3219" i="1"/>
  <c r="A3214" i="1"/>
  <c r="A3211" i="1"/>
  <c r="A3207" i="1"/>
  <c r="A3206" i="1"/>
  <c r="A3204" i="1"/>
  <c r="A3203" i="1"/>
  <c r="A3202" i="1"/>
  <c r="A3201" i="1"/>
  <c r="A3200" i="1"/>
  <c r="A3199" i="1"/>
  <c r="A3198" i="1"/>
  <c r="A3197" i="1"/>
  <c r="A3196" i="1"/>
  <c r="A3195" i="1"/>
  <c r="A3194" i="1"/>
  <c r="A3193" i="1"/>
  <c r="A3192" i="1"/>
  <c r="A3191" i="1"/>
  <c r="A3190" i="1"/>
  <c r="A3189" i="1"/>
  <c r="A3188" i="1"/>
  <c r="A3187" i="1"/>
  <c r="A3185" i="1"/>
  <c r="A3183" i="1"/>
  <c r="A3170" i="1"/>
  <c r="A3165" i="1"/>
  <c r="A3162" i="1"/>
  <c r="A3158" i="1"/>
  <c r="A3157" i="1"/>
  <c r="A3155" i="1"/>
  <c r="A3154" i="1"/>
  <c r="A3153" i="1"/>
  <c r="A3152" i="1"/>
  <c r="A3151" i="1"/>
  <c r="A3150" i="1"/>
  <c r="A3149" i="1"/>
  <c r="A3148" i="1"/>
  <c r="A3147" i="1"/>
  <c r="A3146" i="1"/>
  <c r="A3145" i="1"/>
  <c r="A3144" i="1"/>
  <c r="A3143" i="1"/>
  <c r="A3142" i="1"/>
  <c r="A3141" i="1"/>
  <c r="A3140" i="1"/>
  <c r="A3139" i="1"/>
  <c r="A3138" i="1"/>
  <c r="A3136" i="1"/>
  <c r="A3134" i="1"/>
  <c r="A3121" i="1"/>
  <c r="A3116" i="1"/>
  <c r="A3113" i="1"/>
  <c r="A3109" i="1"/>
  <c r="A3108" i="1"/>
  <c r="A3106" i="1"/>
  <c r="A3105" i="1"/>
  <c r="A3104" i="1"/>
  <c r="A3103" i="1"/>
  <c r="A3102" i="1"/>
  <c r="A3101" i="1"/>
  <c r="A3100" i="1"/>
  <c r="A3099" i="1"/>
  <c r="A3098" i="1"/>
  <c r="A3097" i="1"/>
  <c r="A3096" i="1"/>
  <c r="A3095" i="1"/>
  <c r="A3094" i="1"/>
  <c r="A3093" i="1"/>
  <c r="A3092" i="1"/>
  <c r="A3091" i="1"/>
  <c r="A3089" i="1"/>
  <c r="A3087" i="1"/>
  <c r="A3074" i="1"/>
  <c r="A3069" i="1"/>
  <c r="A3066" i="1"/>
  <c r="A3062" i="1"/>
  <c r="A3061" i="1"/>
  <c r="A3059" i="1"/>
  <c r="A3058" i="1"/>
  <c r="A3057" i="1"/>
  <c r="A3056" i="1"/>
  <c r="A3055" i="1"/>
  <c r="A3054" i="1"/>
  <c r="A3053" i="1"/>
  <c r="A3052" i="1"/>
  <c r="A3051" i="1"/>
  <c r="A3050" i="1"/>
  <c r="A3049" i="1"/>
  <c r="A3048" i="1"/>
  <c r="A3047" i="1"/>
  <c r="A3046" i="1"/>
  <c r="A3045" i="1"/>
  <c r="A3044" i="1"/>
  <c r="A3042" i="1"/>
  <c r="A3040" i="1"/>
  <c r="A3027" i="1"/>
  <c r="A3022" i="1"/>
  <c r="A3019" i="1"/>
  <c r="A3015" i="1"/>
  <c r="A3014" i="1"/>
  <c r="A3012" i="1"/>
  <c r="A3011" i="1"/>
  <c r="A3010" i="1"/>
  <c r="A3009" i="1"/>
  <c r="A3008" i="1"/>
  <c r="A3007" i="1"/>
  <c r="A3006" i="1"/>
  <c r="A3005" i="1"/>
  <c r="A3004" i="1"/>
  <c r="A3003" i="1"/>
  <c r="A3002" i="1"/>
  <c r="A3001" i="1"/>
  <c r="A3000" i="1"/>
  <c r="A2999" i="1"/>
  <c r="A2998" i="1"/>
  <c r="A2997" i="1"/>
  <c r="A2995" i="1"/>
  <c r="A2993" i="1"/>
  <c r="A2980" i="1"/>
  <c r="A2975" i="1"/>
  <c r="A2972" i="1"/>
  <c r="A2968" i="1"/>
  <c r="A2967" i="1"/>
  <c r="A2965" i="1"/>
  <c r="A2964" i="1"/>
  <c r="A2963" i="1"/>
  <c r="A2962" i="1"/>
  <c r="A2961" i="1"/>
  <c r="A2960" i="1"/>
  <c r="A2959" i="1"/>
  <c r="A2958" i="1"/>
  <c r="A2957" i="1"/>
  <c r="A2956" i="1"/>
  <c r="A2955" i="1"/>
  <c r="A2954" i="1"/>
  <c r="A2953" i="1"/>
  <c r="A2952" i="1"/>
  <c r="A2950" i="1"/>
  <c r="A2948" i="1"/>
  <c r="A2935" i="1"/>
  <c r="A2930" i="1"/>
  <c r="A2927" i="1"/>
  <c r="A2923" i="1"/>
  <c r="A2922" i="1"/>
  <c r="A2920" i="1"/>
  <c r="A2919" i="1"/>
  <c r="A2918" i="1"/>
  <c r="A2917" i="1"/>
  <c r="A2916" i="1"/>
  <c r="A2915" i="1"/>
  <c r="A2914" i="1"/>
  <c r="A2913" i="1"/>
  <c r="A2912" i="1"/>
  <c r="A2911" i="1"/>
  <c r="A2910" i="1"/>
  <c r="A2909" i="1"/>
  <c r="A2908" i="1"/>
  <c r="A2907" i="1"/>
  <c r="A2905" i="1"/>
  <c r="A2903" i="1"/>
  <c r="A2890" i="1"/>
  <c r="A2885" i="1"/>
  <c r="A2882" i="1"/>
  <c r="A2878" i="1"/>
  <c r="A2877" i="1"/>
  <c r="A2875" i="1"/>
  <c r="A2874" i="1"/>
  <c r="A2873" i="1"/>
  <c r="A2872" i="1"/>
  <c r="A2871" i="1"/>
  <c r="A2870" i="1"/>
  <c r="A2869" i="1"/>
  <c r="A2868" i="1"/>
  <c r="A2867" i="1"/>
  <c r="A2866" i="1"/>
  <c r="A2865" i="1"/>
  <c r="A2864" i="1"/>
  <c r="A2863" i="1"/>
  <c r="A2862" i="1"/>
  <c r="A2860" i="1"/>
  <c r="A2858" i="1"/>
  <c r="A2845" i="1"/>
  <c r="A2840" i="1"/>
  <c r="A2837" i="1"/>
  <c r="A2833" i="1"/>
  <c r="A2832" i="1"/>
  <c r="A2830" i="1"/>
  <c r="A2829" i="1"/>
  <c r="A2828" i="1"/>
  <c r="A2827" i="1"/>
  <c r="A2826" i="1"/>
  <c r="A2825" i="1"/>
  <c r="A2824" i="1"/>
  <c r="A2823" i="1"/>
  <c r="A2822" i="1"/>
  <c r="A2821" i="1"/>
  <c r="A2820" i="1"/>
  <c r="A2819" i="1"/>
  <c r="A2817" i="1"/>
  <c r="A2815" i="1"/>
  <c r="A2802" i="1"/>
  <c r="A2797" i="1"/>
  <c r="A2794" i="1"/>
  <c r="A2790" i="1"/>
  <c r="A2789" i="1"/>
  <c r="A2787" i="1"/>
  <c r="A2786" i="1"/>
  <c r="A2785" i="1"/>
  <c r="A2784" i="1"/>
  <c r="A2783" i="1"/>
  <c r="A2782" i="1"/>
  <c r="A2781" i="1"/>
  <c r="A2780" i="1"/>
  <c r="A2779" i="1"/>
  <c r="A2778" i="1"/>
  <c r="A2777" i="1"/>
  <c r="A2776" i="1"/>
  <c r="A2774" i="1"/>
  <c r="A2772" i="1"/>
  <c r="A2759" i="1"/>
  <c r="A2754" i="1"/>
  <c r="A2751" i="1"/>
  <c r="A2747" i="1"/>
  <c r="A2746" i="1"/>
  <c r="A2744" i="1"/>
  <c r="A2743" i="1"/>
  <c r="A2742" i="1"/>
  <c r="A2741" i="1"/>
  <c r="A2740" i="1"/>
  <c r="A2739" i="1"/>
  <c r="A2738" i="1"/>
  <c r="A2737" i="1"/>
  <c r="A2736" i="1"/>
  <c r="A2735" i="1"/>
  <c r="A2734" i="1"/>
  <c r="A2733" i="1"/>
  <c r="A2731" i="1"/>
  <c r="A2729" i="1"/>
  <c r="A2716" i="1"/>
  <c r="A2711" i="1"/>
  <c r="A2708" i="1"/>
  <c r="A2704" i="1"/>
  <c r="A2703" i="1"/>
  <c r="A2701" i="1"/>
  <c r="A2700" i="1"/>
  <c r="A2699" i="1"/>
  <c r="A2698" i="1"/>
  <c r="A2697" i="1"/>
  <c r="A2696" i="1"/>
  <c r="A2695" i="1"/>
  <c r="A2694" i="1"/>
  <c r="A2693" i="1"/>
  <c r="A2692" i="1"/>
  <c r="A2690" i="1"/>
  <c r="A2688" i="1"/>
  <c r="A2675" i="1"/>
  <c r="A2670" i="1"/>
  <c r="A2667" i="1"/>
  <c r="A2663" i="1"/>
  <c r="A2662" i="1"/>
  <c r="A2660" i="1"/>
  <c r="A2659" i="1"/>
  <c r="A2658" i="1"/>
  <c r="A2657" i="1"/>
  <c r="A2656" i="1"/>
  <c r="A2655" i="1"/>
  <c r="A2654" i="1"/>
  <c r="A2653" i="1"/>
  <c r="A2652" i="1"/>
  <c r="A2651" i="1"/>
  <c r="A2649" i="1"/>
  <c r="A2647" i="1"/>
  <c r="A2634" i="1"/>
  <c r="A2629" i="1"/>
  <c r="A2626" i="1"/>
  <c r="A2622" i="1"/>
  <c r="A2621" i="1"/>
  <c r="A2619" i="1"/>
  <c r="A2618" i="1"/>
  <c r="A2617" i="1"/>
  <c r="A2616" i="1"/>
  <c r="A2615" i="1"/>
  <c r="A2614" i="1"/>
  <c r="A2613" i="1"/>
  <c r="A2612" i="1"/>
  <c r="A2611" i="1"/>
  <c r="A2610" i="1"/>
  <c r="A2608" i="1"/>
  <c r="A2606" i="1"/>
  <c r="A2593" i="1"/>
  <c r="A2588" i="1"/>
  <c r="A2585" i="1"/>
  <c r="A2581" i="1"/>
  <c r="A2580" i="1"/>
  <c r="A2578" i="1"/>
  <c r="A2577" i="1"/>
  <c r="A2576" i="1"/>
  <c r="A2575" i="1"/>
  <c r="A2574" i="1"/>
  <c r="A2573" i="1"/>
  <c r="A2572" i="1"/>
  <c r="A2571" i="1"/>
  <c r="A2569" i="1"/>
  <c r="A2567" i="1"/>
  <c r="A2554" i="1"/>
  <c r="A2549" i="1"/>
  <c r="A2546" i="1"/>
  <c r="A2542" i="1"/>
  <c r="A2541" i="1"/>
  <c r="A2539" i="1"/>
  <c r="A2538" i="1"/>
  <c r="A2537" i="1"/>
  <c r="A2536" i="1"/>
  <c r="A2535" i="1"/>
  <c r="A2534" i="1"/>
  <c r="A2533" i="1"/>
  <c r="A2532" i="1"/>
  <c r="A2530" i="1"/>
  <c r="A2528" i="1"/>
  <c r="A2515" i="1"/>
  <c r="A2510" i="1"/>
  <c r="A2507" i="1"/>
  <c r="A2503" i="1"/>
  <c r="A2502" i="1"/>
  <c r="A2500" i="1"/>
  <c r="A2499" i="1"/>
  <c r="A2498" i="1"/>
  <c r="A2497" i="1"/>
  <c r="A2496" i="1"/>
  <c r="A2495" i="1"/>
  <c r="A2494" i="1"/>
  <c r="A2493" i="1"/>
  <c r="A2491" i="1"/>
  <c r="A2489" i="1"/>
  <c r="A2476" i="1"/>
  <c r="A2471" i="1"/>
  <c r="A2468" i="1"/>
  <c r="A2464" i="1"/>
  <c r="A2463" i="1"/>
  <c r="A2461" i="1"/>
  <c r="A2460" i="1"/>
  <c r="A2459" i="1"/>
  <c r="A2458" i="1"/>
  <c r="A2457" i="1"/>
  <c r="A2456" i="1"/>
  <c r="A2454" i="1"/>
  <c r="A2452" i="1"/>
  <c r="A2439" i="1"/>
  <c r="A2434" i="1"/>
  <c r="A2431" i="1"/>
  <c r="A2427" i="1"/>
  <c r="A2426" i="1"/>
  <c r="A2424" i="1"/>
  <c r="A2423" i="1"/>
  <c r="A2422" i="1"/>
  <c r="A2421" i="1"/>
  <c r="A2420" i="1"/>
  <c r="A2419" i="1"/>
  <c r="A2417" i="1"/>
  <c r="A2415" i="1"/>
  <c r="A2402" i="1"/>
  <c r="A2397" i="1"/>
  <c r="A2394" i="1"/>
  <c r="A2390" i="1"/>
  <c r="A2389" i="1"/>
  <c r="A2387" i="1"/>
  <c r="A2386" i="1"/>
  <c r="A2385" i="1"/>
  <c r="A2384" i="1"/>
  <c r="A2383" i="1"/>
  <c r="A2382" i="1"/>
  <c r="A2380" i="1"/>
  <c r="A2378" i="1"/>
  <c r="A2365" i="1"/>
  <c r="A2360" i="1"/>
  <c r="A2357" i="1"/>
  <c r="A2353" i="1"/>
  <c r="A2352" i="1"/>
  <c r="A2350" i="1"/>
  <c r="A2349" i="1"/>
  <c r="A2348" i="1"/>
  <c r="A2347" i="1"/>
  <c r="A2345" i="1"/>
  <c r="A2343" i="1"/>
  <c r="A2330" i="1"/>
  <c r="A2325" i="1"/>
  <c r="A2322" i="1"/>
  <c r="A2318" i="1"/>
  <c r="A2317" i="1"/>
  <c r="A2315" i="1"/>
  <c r="A2314" i="1"/>
  <c r="A2313" i="1"/>
  <c r="A2312" i="1"/>
  <c r="A2310" i="1"/>
  <c r="A2308" i="1"/>
  <c r="A2295" i="1"/>
  <c r="A2290" i="1"/>
  <c r="A2287" i="1"/>
  <c r="A2283" i="1"/>
  <c r="A2282" i="1"/>
  <c r="A2280" i="1"/>
  <c r="A2279" i="1"/>
  <c r="A2278" i="1"/>
  <c r="A2277" i="1"/>
  <c r="A2275" i="1"/>
  <c r="A2273" i="1"/>
  <c r="A2260" i="1"/>
  <c r="A2255" i="1"/>
  <c r="A2252" i="1"/>
  <c r="A2248" i="1"/>
  <c r="A2247" i="1"/>
  <c r="A2245" i="1"/>
  <c r="A2244" i="1"/>
  <c r="A2242" i="1"/>
  <c r="A2240" i="1"/>
  <c r="A2227" i="1"/>
  <c r="A2222" i="1"/>
  <c r="A2219" i="1"/>
  <c r="A2215" i="1"/>
  <c r="A2214" i="1"/>
  <c r="A2212" i="1"/>
  <c r="A2211" i="1"/>
  <c r="A2209" i="1"/>
  <c r="A2207" i="1"/>
  <c r="A2194" i="1"/>
  <c r="A2189" i="1"/>
  <c r="A2186" i="1"/>
  <c r="A2182" i="1"/>
  <c r="A2181" i="1"/>
  <c r="A2179" i="1"/>
  <c r="A2178" i="1"/>
  <c r="A2176" i="1"/>
  <c r="A2174" i="1"/>
  <c r="A2161" i="1"/>
  <c r="A2156" i="1"/>
  <c r="A2153" i="1"/>
  <c r="A2149" i="1"/>
  <c r="A2148" i="1"/>
  <c r="A2146" i="1"/>
  <c r="A2145" i="1"/>
  <c r="A2143" i="1"/>
  <c r="A2141" i="1"/>
  <c r="A2128" i="1"/>
  <c r="A2123" i="1"/>
  <c r="A2120" i="1"/>
  <c r="A2116" i="1"/>
  <c r="A2115" i="1"/>
  <c r="A2113" i="1"/>
  <c r="A2112" i="1"/>
  <c r="A2110" i="1"/>
  <c r="A2108" i="1"/>
  <c r="A2095" i="1"/>
  <c r="A2090" i="1"/>
  <c r="A2087" i="1"/>
  <c r="A2083" i="1"/>
  <c r="A2082" i="1"/>
  <c r="A2080" i="1"/>
  <c r="A2079" i="1"/>
  <c r="A2077" i="1"/>
  <c r="A2075" i="1"/>
  <c r="A2062" i="1"/>
  <c r="A2057" i="1"/>
  <c r="A2054" i="1"/>
  <c r="A2050" i="1"/>
  <c r="A2049" i="1"/>
  <c r="A2047" i="1"/>
  <c r="A2046" i="1"/>
  <c r="A2044" i="1"/>
  <c r="A2042" i="1"/>
  <c r="A2029" i="1"/>
  <c r="A2024" i="1"/>
  <c r="A2021" i="1"/>
  <c r="A2017" i="1"/>
  <c r="A2016" i="1"/>
  <c r="A2014" i="1"/>
  <c r="A2013" i="1"/>
  <c r="A2011" i="1"/>
  <c r="A2009" i="1"/>
  <c r="A1996" i="1"/>
  <c r="A1991" i="1"/>
  <c r="A1988" i="1"/>
  <c r="A1984" i="1"/>
  <c r="A1983" i="1"/>
  <c r="A1981" i="1"/>
  <c r="A1980" i="1"/>
  <c r="A1978" i="1"/>
  <c r="A1976" i="1"/>
  <c r="A1963" i="1"/>
  <c r="A1958" i="1"/>
  <c r="A1955" i="1"/>
  <c r="A1951" i="1"/>
  <c r="A1950" i="1"/>
  <c r="A1948" i="1"/>
  <c r="A1947" i="1"/>
  <c r="A1945" i="1"/>
  <c r="A1943" i="1"/>
  <c r="A1930" i="1"/>
  <c r="A1925" i="1"/>
  <c r="A1922" i="1"/>
  <c r="A1918" i="1"/>
  <c r="A1917" i="1"/>
  <c r="A1915" i="1"/>
  <c r="A1914" i="1"/>
  <c r="A1912" i="1"/>
  <c r="A1910" i="1"/>
  <c r="A1897" i="1"/>
  <c r="A1892" i="1"/>
  <c r="A1889" i="1"/>
  <c r="A1885" i="1"/>
  <c r="A1884" i="1"/>
  <c r="A1882" i="1"/>
  <c r="A1881" i="1"/>
  <c r="A1879" i="1"/>
  <c r="A1877" i="1"/>
  <c r="A1864" i="1"/>
  <c r="A1859" i="1"/>
  <c r="A1856" i="1"/>
  <c r="A1852" i="1"/>
  <c r="A1851" i="1"/>
  <c r="A1849" i="1"/>
  <c r="A1848" i="1"/>
  <c r="A1846" i="1"/>
  <c r="A1844" i="1"/>
  <c r="A1831" i="1"/>
  <c r="A1826" i="1"/>
  <c r="A1823" i="1"/>
  <c r="A1819" i="1"/>
  <c r="A1818" i="1"/>
  <c r="A1816" i="1"/>
  <c r="A1815" i="1"/>
  <c r="A1813" i="1"/>
  <c r="A1811" i="1"/>
  <c r="A1798" i="1"/>
  <c r="A1793" i="1"/>
  <c r="A1790" i="1"/>
  <c r="A1786" i="1"/>
  <c r="A1785" i="1"/>
  <c r="A1783" i="1"/>
  <c r="A1782" i="1"/>
  <c r="A1780" i="1"/>
  <c r="A1778" i="1"/>
  <c r="A1765" i="1"/>
  <c r="A1760" i="1"/>
  <c r="A1757" i="1"/>
  <c r="A1753" i="1"/>
  <c r="A1752" i="1"/>
  <c r="A1750" i="1"/>
  <c r="A1749" i="1"/>
  <c r="A1747" i="1"/>
  <c r="A1745" i="1"/>
  <c r="A1732" i="1"/>
  <c r="A1727" i="1"/>
  <c r="A1724" i="1"/>
  <c r="A1720" i="1"/>
  <c r="A1719" i="1"/>
  <c r="A1717" i="1"/>
  <c r="A1716" i="1"/>
  <c r="A1714" i="1"/>
  <c r="A1712" i="1"/>
  <c r="A1699" i="1"/>
  <c r="A1696" i="1"/>
  <c r="A1683" i="1"/>
  <c r="A1678" i="1"/>
  <c r="A1675" i="1"/>
  <c r="A1671" i="1"/>
  <c r="A1670" i="1"/>
  <c r="A1668" i="1"/>
  <c r="A1667" i="1"/>
  <c r="A1665" i="1"/>
  <c r="A1663" i="1"/>
  <c r="A1650" i="1"/>
  <c r="A1645" i="1"/>
  <c r="A1642" i="1"/>
  <c r="A1638" i="1"/>
  <c r="A1637" i="1"/>
  <c r="A1635" i="1"/>
  <c r="A1634" i="1"/>
  <c r="A1632" i="1"/>
  <c r="A1630" i="1"/>
  <c r="A1617" i="1"/>
  <c r="A1612" i="1"/>
  <c r="A1609" i="1"/>
  <c r="A1605" i="1"/>
  <c r="A1604" i="1"/>
  <c r="A1602" i="1"/>
  <c r="A1601" i="1"/>
  <c r="A1599" i="1"/>
  <c r="A1586" i="1"/>
  <c r="A1581" i="1"/>
  <c r="A1578" i="1"/>
  <c r="A1574" i="1"/>
  <c r="A1573" i="1"/>
  <c r="A1571" i="1"/>
  <c r="A1570" i="1"/>
  <c r="A1568" i="1"/>
  <c r="A1555" i="1"/>
  <c r="A1550" i="1"/>
  <c r="A1547" i="1"/>
  <c r="A1543" i="1"/>
  <c r="A1542" i="1"/>
  <c r="A1540" i="1"/>
  <c r="A1539" i="1"/>
  <c r="A1537" i="1"/>
  <c r="A1524" i="1"/>
  <c r="A1519" i="1"/>
  <c r="A1516" i="1"/>
  <c r="A1512" i="1"/>
  <c r="A1511" i="1"/>
  <c r="A1509" i="1"/>
  <c r="A1496" i="1"/>
  <c r="A1491" i="1"/>
  <c r="A1488" i="1"/>
  <c r="A1484" i="1"/>
  <c r="A1483" i="1"/>
  <c r="A1469" i="1"/>
  <c r="A1464" i="1"/>
  <c r="A1461" i="1"/>
  <c r="A1457" i="1"/>
  <c r="A1456" i="1"/>
  <c r="A1442" i="1"/>
  <c r="A1437" i="1"/>
  <c r="A1434" i="1"/>
  <c r="A1430" i="1"/>
  <c r="A1429" i="1"/>
  <c r="A1415" i="1"/>
  <c r="A1410" i="1"/>
  <c r="A1407" i="1"/>
  <c r="A1403" i="1"/>
  <c r="A1402" i="1"/>
  <c r="A1388" i="1"/>
  <c r="A1383" i="1"/>
  <c r="A1380" i="1"/>
  <c r="A1376" i="1"/>
  <c r="A1375" i="1"/>
  <c r="A1362" i="1"/>
  <c r="A1357" i="1"/>
  <c r="A1354" i="1"/>
  <c r="A1350" i="1"/>
  <c r="A1349" i="1"/>
  <c r="A1337" i="1"/>
  <c r="A1332" i="1"/>
  <c r="A1329" i="1"/>
  <c r="A1325" i="1"/>
  <c r="A1324" i="1"/>
  <c r="A1312" i="1"/>
  <c r="A1307" i="1"/>
  <c r="A1304" i="1"/>
  <c r="A1300" i="1"/>
  <c r="A1299" i="1"/>
  <c r="A1287" i="1"/>
  <c r="A1282" i="1"/>
  <c r="A1279" i="1"/>
  <c r="A1275" i="1"/>
  <c r="A1274" i="1"/>
  <c r="A1262" i="1"/>
  <c r="A1257" i="1"/>
  <c r="A1254" i="1"/>
  <c r="A1250" i="1"/>
  <c r="A1249" i="1"/>
  <c r="A1237" i="1"/>
  <c r="A1232" i="1"/>
  <c r="A1229" i="1"/>
  <c r="A1225" i="1"/>
  <c r="A1224" i="1"/>
  <c r="A1212" i="1"/>
  <c r="A1207" i="1"/>
  <c r="A1204" i="1"/>
  <c r="A1200" i="1"/>
  <c r="A1199" i="1"/>
  <c r="A1187" i="1"/>
  <c r="A1182" i="1"/>
  <c r="A1179" i="1"/>
  <c r="A1175" i="1"/>
  <c r="A1174" i="1"/>
  <c r="A1162" i="1"/>
  <c r="A1157" i="1"/>
  <c r="A1154" i="1"/>
  <c r="A1150" i="1"/>
  <c r="A1149" i="1"/>
  <c r="A1137" i="1"/>
  <c r="A1132" i="1"/>
  <c r="A1129" i="1"/>
  <c r="A1125" i="1"/>
  <c r="A1124" i="1"/>
  <c r="A1113" i="1"/>
  <c r="A1108" i="1"/>
  <c r="A1105" i="1"/>
  <c r="A1101" i="1"/>
  <c r="A1100" i="1"/>
  <c r="A1089" i="1"/>
  <c r="A1084" i="1"/>
  <c r="A1081" i="1"/>
  <c r="A1077" i="1"/>
  <c r="A1067" i="1"/>
  <c r="A1062" i="1"/>
  <c r="A1059" i="1"/>
  <c r="A1055" i="1"/>
  <c r="A1045" i="1"/>
  <c r="A1040" i="1"/>
  <c r="A1037" i="1"/>
  <c r="A1033" i="1"/>
  <c r="A1024" i="1"/>
  <c r="A1019" i="1"/>
  <c r="A1016" i="1"/>
  <c r="A1012" i="1"/>
  <c r="A1003" i="1"/>
  <c r="A998" i="1"/>
  <c r="A995" i="1"/>
  <c r="A991" i="1"/>
  <c r="A983" i="1"/>
  <c r="A978" i="1"/>
  <c r="A975" i="1"/>
  <c r="A971" i="1"/>
  <c r="A963" i="1"/>
  <c r="A958" i="1"/>
  <c r="A955" i="1"/>
  <c r="A944" i="1"/>
  <c r="A939" i="1"/>
  <c r="A936" i="1"/>
  <c r="A925" i="1"/>
  <c r="A920" i="1"/>
  <c r="A917" i="1"/>
  <c r="A906" i="1"/>
  <c r="A901" i="1"/>
  <c r="A898" i="1"/>
  <c r="A887" i="1"/>
  <c r="A882" i="1"/>
  <c r="A879" i="1"/>
  <c r="A868" i="1"/>
  <c r="A863" i="1"/>
  <c r="A860" i="1"/>
  <c r="A849" i="1"/>
  <c r="A844" i="1"/>
  <c r="A841" i="1"/>
  <c r="A830" i="1"/>
  <c r="A825" i="1"/>
  <c r="A822" i="1"/>
  <c r="A811" i="1"/>
  <c r="A806" i="1"/>
  <c r="A803" i="1"/>
  <c r="A792" i="1"/>
  <c r="A787" i="1"/>
  <c r="A784" i="1"/>
  <c r="A774" i="1"/>
  <c r="A769" i="1"/>
  <c r="A766" i="1"/>
  <c r="A756" i="1"/>
  <c r="A751" i="1"/>
  <c r="A748" i="1"/>
  <c r="A738" i="1"/>
  <c r="A733" i="1"/>
  <c r="A730" i="1"/>
  <c r="A720" i="1"/>
  <c r="A715" i="1"/>
  <c r="A712" i="1"/>
  <c r="A702" i="1"/>
  <c r="A697" i="1"/>
  <c r="A694" i="1"/>
  <c r="A684" i="1"/>
  <c r="A679" i="1"/>
  <c r="A676" i="1"/>
  <c r="A667" i="1"/>
  <c r="A662" i="1"/>
  <c r="A659" i="1"/>
  <c r="A650" i="1"/>
  <c r="A645" i="1"/>
  <c r="A642" i="1"/>
  <c r="A634" i="1"/>
  <c r="A629" i="1"/>
  <c r="A626" i="1"/>
  <c r="A618" i="1"/>
  <c r="A613" i="1"/>
  <c r="A610" i="1"/>
  <c r="A602" i="1"/>
  <c r="A597" i="1"/>
  <c r="A594" i="1"/>
  <c r="A586" i="1"/>
  <c r="A581" i="1"/>
  <c r="A578" i="1"/>
  <c r="A570" i="1"/>
  <c r="A565" i="1"/>
  <c r="A562" i="1"/>
  <c r="A554" i="1"/>
  <c r="A549" i="1"/>
  <c r="A546" i="1"/>
  <c r="A539" i="1"/>
  <c r="A534" i="1"/>
  <c r="A531" i="1"/>
  <c r="A524" i="1"/>
  <c r="A519" i="1"/>
  <c r="A516" i="1"/>
  <c r="A510" i="1"/>
  <c r="A505" i="1"/>
  <c r="A502" i="1"/>
  <c r="A496" i="1"/>
  <c r="A491" i="1"/>
  <c r="A488" i="1"/>
  <c r="A482" i="1"/>
  <c r="A477" i="1"/>
  <c r="A474" i="1"/>
  <c r="A468" i="1"/>
  <c r="A463" i="1"/>
  <c r="A460" i="1"/>
  <c r="A454" i="1"/>
  <c r="A449" i="1"/>
  <c r="A446" i="1"/>
  <c r="A440" i="1"/>
  <c r="A435" i="1"/>
  <c r="A432" i="1"/>
  <c r="A426" i="1"/>
  <c r="A421" i="1"/>
  <c r="A418" i="1"/>
  <c r="A412" i="1"/>
  <c r="A407" i="1"/>
  <c r="A404" i="1"/>
  <c r="A399" i="1"/>
  <c r="A394" i="1"/>
  <c r="A391" i="1"/>
  <c r="A386" i="1"/>
  <c r="A381" i="1"/>
  <c r="A378" i="1"/>
  <c r="A373" i="1"/>
  <c r="A368" i="1"/>
  <c r="A365" i="1"/>
  <c r="A360" i="1"/>
  <c r="A355" i="1"/>
  <c r="A352" i="1"/>
  <c r="A347" i="1"/>
  <c r="A342" i="1"/>
  <c r="A339" i="1"/>
  <c r="A336" i="1"/>
  <c r="A331" i="1"/>
  <c r="A328" i="1"/>
  <c r="A323" i="1"/>
  <c r="A320" i="1"/>
  <c r="A315" i="1"/>
  <c r="A313" i="1"/>
  <c r="A308" i="1"/>
  <c r="A306" i="1"/>
  <c r="A301" i="1"/>
  <c r="A299" i="1"/>
  <c r="A294" i="1"/>
  <c r="A292" i="1"/>
  <c r="A287" i="1"/>
  <c r="A285" i="1"/>
  <c r="A280" i="1"/>
  <c r="A278" i="1"/>
  <c r="A273" i="1"/>
  <c r="A271" i="1"/>
  <c r="A266" i="1"/>
  <c r="A264" i="1"/>
  <c r="A259" i="1"/>
  <c r="A254" i="1"/>
  <c r="A249" i="1"/>
  <c r="A244" i="1"/>
  <c r="A239" i="1"/>
  <c r="A234" i="1"/>
  <c r="A229" i="1"/>
  <c r="A224" i="1"/>
  <c r="A219" i="1"/>
  <c r="A214" i="1"/>
  <c r="I39" i="1"/>
  <c r="M39" i="1" s="1"/>
  <c r="J54" i="15" l="1"/>
  <c r="E51" i="15"/>
  <c r="H28" i="15" s="1"/>
  <c r="H49" i="15"/>
  <c r="H50" i="15" s="1"/>
  <c r="L15" i="15"/>
  <c r="L14" i="15"/>
  <c r="L13" i="15"/>
  <c r="P115" i="15" s="1"/>
  <c r="L12" i="15"/>
  <c r="D24" i="1"/>
  <c r="E24" i="1" s="1"/>
  <c r="D108" i="15"/>
  <c r="G108" i="1"/>
  <c r="A6476" i="1" l="1"/>
  <c r="A6164" i="1"/>
  <c r="A7062" i="1"/>
  <c r="A6750" i="1"/>
  <c r="A6054" i="1"/>
  <c r="A5862" i="1"/>
  <c r="A5706" i="1"/>
  <c r="A7373" i="1"/>
  <c r="A7265" i="1"/>
  <c r="A6425" i="1"/>
  <c r="A6113" i="1"/>
  <c r="A5969" i="1"/>
  <c r="A5933" i="1"/>
  <c r="A6844" i="1"/>
  <c r="A7155" i="1"/>
  <c r="A6375" i="1"/>
  <c r="A6267" i="1"/>
  <c r="A5655" i="1"/>
  <c r="A6578" i="1"/>
  <c r="A7005" i="1"/>
  <c r="A6321" i="1"/>
  <c r="A5809" i="1"/>
  <c r="A4940" i="1"/>
  <c r="A4757" i="1"/>
  <c r="A4061" i="1"/>
  <c r="A7320" i="1"/>
  <c r="A6949" i="1"/>
  <c r="A6527" i="1"/>
  <c r="A4890" i="1"/>
  <c r="A4276" i="1"/>
  <c r="A3688" i="1"/>
  <c r="A5532" i="1"/>
  <c r="A4707" i="1"/>
  <c r="A4838" i="1"/>
  <c r="A6898" i="1"/>
  <c r="A5598" i="1"/>
  <c r="A4657" i="1"/>
  <c r="A4441" i="1"/>
  <c r="A4823" i="1"/>
  <c r="A7213" i="1"/>
  <c r="A6792" i="1"/>
  <c r="A5372" i="1"/>
  <c r="A6709" i="1"/>
  <c r="A5473" i="1"/>
  <c r="A4326" i="1"/>
  <c r="A5423" i="1"/>
  <c r="A5322" i="1"/>
  <c r="A3637" i="1"/>
  <c r="A6215" i="1"/>
  <c r="A4605" i="1"/>
  <c r="A3331" i="1"/>
  <c r="A2947" i="1"/>
  <c r="A6670" i="1"/>
  <c r="A5758" i="1"/>
  <c r="A4226" i="1"/>
  <c r="A3586" i="1"/>
  <c r="A3536" i="1"/>
  <c r="A3486" i="1"/>
  <c r="A2814" i="1"/>
  <c r="A2646" i="1"/>
  <c r="A3798" i="1"/>
  <c r="A3848" i="1"/>
  <c r="A3280" i="1"/>
  <c r="A2992" i="1"/>
  <c r="A3949" i="1"/>
  <c r="A3898" i="1"/>
  <c r="A3231" i="1"/>
  <c r="A3039" i="1"/>
  <c r="A5056" i="1"/>
  <c r="A4990" i="1"/>
  <c r="A3182" i="1"/>
  <c r="A3086" i="1"/>
  <c r="A4124" i="1"/>
  <c r="A4550" i="1"/>
  <c r="A3433" i="1"/>
  <c r="A2687" i="1"/>
  <c r="A2451" i="1"/>
  <c r="A2307" i="1"/>
  <c r="A4491" i="1"/>
  <c r="A4389" i="1"/>
  <c r="A3382" i="1"/>
  <c r="A2414" i="1"/>
  <c r="A2342" i="1"/>
  <c r="A5106" i="1"/>
  <c r="A5272" i="1"/>
  <c r="A2902" i="1"/>
  <c r="A3133" i="1"/>
  <c r="A5156" i="1"/>
  <c r="A4011" i="1"/>
  <c r="A2771" i="1"/>
  <c r="A1598" i="1"/>
  <c r="A1454" i="1"/>
  <c r="A2605" i="1"/>
  <c r="A2107" i="1"/>
  <c r="A1942" i="1"/>
  <c r="A1777" i="1"/>
  <c r="A5206" i="1"/>
  <c r="A2728" i="1"/>
  <c r="A2272" i="1"/>
  <c r="A2377" i="1"/>
  <c r="A1843" i="1"/>
  <c r="A4176" i="1"/>
  <c r="A2488" i="1"/>
  <c r="A2173" i="1"/>
  <c r="A2008" i="1"/>
  <c r="A1629" i="1"/>
  <c r="A3740" i="1"/>
  <c r="A2566" i="1"/>
  <c r="A2239" i="1"/>
  <c r="A2074" i="1"/>
  <c r="A1536" i="1"/>
  <c r="A2857" i="1"/>
  <c r="A1744" i="1"/>
  <c r="A1567" i="1"/>
  <c r="A2527" i="1"/>
  <c r="A1909" i="1"/>
  <c r="A1975" i="1"/>
  <c r="A2140" i="1"/>
  <c r="A1695" i="1"/>
  <c r="A1662" i="1"/>
  <c r="A1400" i="1"/>
  <c r="A1876" i="1"/>
  <c r="A1810" i="1"/>
  <c r="A1427" i="1"/>
  <c r="A2206" i="1"/>
  <c r="A1711" i="1"/>
  <c r="A1481" i="1"/>
  <c r="A2041" i="1"/>
  <c r="A1508" i="1"/>
  <c r="D4" i="4"/>
  <c r="G63" i="15"/>
  <c r="D46" i="15"/>
  <c r="D45" i="15"/>
  <c r="D44" i="15"/>
  <c r="D23" i="1" l="1"/>
  <c r="E23" i="1" s="1"/>
  <c r="P27" i="1" l="1"/>
  <c r="D21" i="1" l="1"/>
  <c r="E21" i="1" s="1"/>
  <c r="D20" i="1"/>
  <c r="D65" i="1"/>
  <c r="I85" i="1" l="1"/>
  <c r="A18" i="12"/>
  <c r="B18" i="12" s="1"/>
  <c r="A6667" i="1"/>
  <c r="A7002" i="1"/>
  <c r="A5861" i="1"/>
  <c r="A5703" i="1"/>
  <c r="A6266" i="1"/>
  <c r="A5653" i="1"/>
  <c r="A5808" i="1"/>
  <c r="A3796" i="1"/>
  <c r="A4987" i="1"/>
  <c r="A4549" i="1"/>
  <c r="A4548" i="1"/>
  <c r="A4547" i="1"/>
  <c r="A5320" i="1"/>
  <c r="A5271" i="1"/>
  <c r="A2901" i="1"/>
  <c r="A4604" i="1"/>
  <c r="A3485" i="1"/>
  <c r="A3534" i="1"/>
  <c r="A3533" i="1"/>
  <c r="A3038" i="1"/>
  <c r="A2644" i="1"/>
  <c r="A2602" i="1"/>
  <c r="A1742" i="1"/>
  <c r="A7153" i="1"/>
  <c r="A1478" i="1"/>
  <c r="A2106" i="1"/>
  <c r="A2269" i="1"/>
  <c r="A1841" i="1"/>
  <c r="A3037" i="1"/>
  <c r="A1974" i="1"/>
  <c r="A1076" i="1"/>
  <c r="A1424" i="1"/>
  <c r="A1397" i="1"/>
  <c r="A1506" i="1"/>
  <c r="A1399" i="1"/>
  <c r="A1940" i="1"/>
  <c r="A1222" i="1"/>
  <c r="A2412" i="1"/>
  <c r="A1775" i="1"/>
  <c r="A1425" i="1"/>
  <c r="A1054" i="1"/>
  <c r="A1566" i="1"/>
  <c r="A5932" i="1"/>
  <c r="A7004" i="1"/>
  <c r="A7061" i="1"/>
  <c r="A5705" i="1"/>
  <c r="A6748" i="1"/>
  <c r="A7059" i="1"/>
  <c r="A6110" i="1"/>
  <c r="A6669" i="1"/>
  <c r="A5470" i="1"/>
  <c r="A4325" i="1"/>
  <c r="A5652" i="1"/>
  <c r="A4938" i="1"/>
  <c r="A4754" i="1"/>
  <c r="A4489" i="1"/>
  <c r="A4488" i="1"/>
  <c r="A5270" i="1"/>
  <c r="A3380" i="1"/>
  <c r="A3636" i="1"/>
  <c r="A3329" i="1"/>
  <c r="A3484" i="1"/>
  <c r="A3483" i="1"/>
  <c r="A4822" i="1"/>
  <c r="A2990" i="1"/>
  <c r="A2854" i="1"/>
  <c r="A2603" i="1"/>
  <c r="A1875" i="1"/>
  <c r="A2563" i="1"/>
  <c r="A1694" i="1"/>
  <c r="A5104" i="1"/>
  <c r="A4821" i="1"/>
  <c r="A2038" i="1"/>
  <c r="A2376" i="1"/>
  <c r="A1426" i="1"/>
  <c r="A2171" i="1"/>
  <c r="A1808" i="1"/>
  <c r="A2340" i="1"/>
  <c r="A1907" i="1"/>
  <c r="A2237" i="1"/>
  <c r="A1453" i="1"/>
  <c r="A1479" i="1"/>
  <c r="A1708" i="1"/>
  <c r="A2104" i="1"/>
  <c r="A1533" i="1"/>
  <c r="A1398" i="1"/>
  <c r="A1372" i="1"/>
  <c r="A6051" i="1"/>
  <c r="A1973" i="1"/>
  <c r="A1098" i="1"/>
  <c r="A6896" i="1"/>
  <c r="A6475" i="1"/>
  <c r="A5597" i="1"/>
  <c r="A6843" i="1"/>
  <c r="A5595" i="1"/>
  <c r="A6525" i="1"/>
  <c r="A5420" i="1"/>
  <c r="A4121" i="1"/>
  <c r="A4888" i="1"/>
  <c r="A4706" i="1"/>
  <c r="A4440" i="1"/>
  <c r="A4439" i="1"/>
  <c r="A5205" i="1"/>
  <c r="A5471" i="1"/>
  <c r="A2900" i="1"/>
  <c r="A3379" i="1"/>
  <c r="A2945" i="1"/>
  <c r="A3328" i="1"/>
  <c r="A4275" i="1"/>
  <c r="A2769" i="1"/>
  <c r="A2564" i="1"/>
  <c r="A4387" i="1"/>
  <c r="A3036" i="1"/>
  <c r="A1941" i="1"/>
  <c r="A2105" i="1"/>
  <c r="A1661" i="1"/>
  <c r="A2411" i="1"/>
  <c r="A2072" i="1"/>
  <c r="A1840" i="1"/>
  <c r="A2238" i="1"/>
  <c r="A2304" i="1"/>
  <c r="A1451" i="1"/>
  <c r="A1480" i="1"/>
  <c r="A1322" i="1"/>
  <c r="A4820" i="1"/>
  <c r="A1595" i="1"/>
  <c r="A3739" i="1"/>
  <c r="A4274" i="1"/>
  <c r="A1626" i="1"/>
  <c r="A6319" i="1"/>
  <c r="A6749" i="1"/>
  <c r="A5369" i="1"/>
  <c r="A6424" i="1"/>
  <c r="A6747" i="1"/>
  <c r="A7370" i="1"/>
  <c r="A5966" i="1"/>
  <c r="A4988" i="1"/>
  <c r="A4755" i="1"/>
  <c r="A6946" i="1"/>
  <c r="A4273" i="1"/>
  <c r="A5154" i="1"/>
  <c r="A4175" i="1"/>
  <c r="A2768" i="1"/>
  <c r="A2526" i="1"/>
  <c r="A2813" i="1"/>
  <c r="A3279" i="1"/>
  <c r="A3948" i="1"/>
  <c r="A2726" i="1"/>
  <c r="A2604" i="1"/>
  <c r="A2524" i="1"/>
  <c r="A1743" i="1"/>
  <c r="A2486" i="1"/>
  <c r="A4386" i="1"/>
  <c r="A1346" i="1"/>
  <c r="A1709" i="1"/>
  <c r="A1776" i="1"/>
  <c r="A1246" i="1"/>
  <c r="A1564" i="1"/>
  <c r="A2170" i="1"/>
  <c r="A2073" i="1"/>
  <c r="A1628" i="1"/>
  <c r="A3738" i="1"/>
  <c r="A2236" i="1"/>
  <c r="A1247" i="1"/>
  <c r="A1452" i="1"/>
  <c r="A2339" i="1"/>
  <c r="A1807" i="1"/>
  <c r="A3179" i="1"/>
  <c r="A1741" i="1"/>
  <c r="A1272" i="1"/>
  <c r="A1596" i="1"/>
  <c r="A1371" i="1"/>
  <c r="A4889" i="1"/>
  <c r="A2856" i="1"/>
  <c r="A6668" i="1"/>
  <c r="A6474" i="1"/>
  <c r="A6473" i="1"/>
  <c r="A5321" i="1"/>
  <c r="A6423" i="1"/>
  <c r="A7262" i="1"/>
  <c r="A5930" i="1"/>
  <c r="A6213" i="1"/>
  <c r="A3845" i="1"/>
  <c r="A4939" i="1"/>
  <c r="A7319" i="1"/>
  <c r="A4225" i="1"/>
  <c r="A6264" i="1"/>
  <c r="A5103" i="1"/>
  <c r="A4123" i="1"/>
  <c r="A5370" i="1"/>
  <c r="A6373" i="1"/>
  <c r="A3635" i="1"/>
  <c r="A2645" i="1"/>
  <c r="A3897" i="1"/>
  <c r="A2565" i="1"/>
  <c r="A2487" i="1"/>
  <c r="A5053" i="1"/>
  <c r="A2450" i="1"/>
  <c r="A4490" i="1"/>
  <c r="A3895" i="1"/>
  <c r="A1597" i="1"/>
  <c r="A1908" i="1"/>
  <c r="A6790" i="1"/>
  <c r="A5531" i="1"/>
  <c r="A4835" i="1"/>
  <c r="A6372" i="1"/>
  <c r="A3278" i="1"/>
  <c r="A3431" i="1"/>
  <c r="A1774" i="1"/>
  <c r="A1321" i="1"/>
  <c r="A1297" i="1"/>
  <c r="A4438" i="1"/>
  <c r="A3847" i="1"/>
  <c r="A1710" i="1"/>
  <c r="A1692" i="1"/>
  <c r="A1171" i="1"/>
  <c r="A1373" i="1"/>
  <c r="A2643" i="1"/>
  <c r="A3132" i="1"/>
  <c r="A2725" i="1"/>
  <c r="A2005" i="1"/>
  <c r="A1146" i="1"/>
  <c r="A1122" i="1"/>
  <c r="A2448" i="1"/>
  <c r="A2203" i="1"/>
  <c r="A1221" i="1"/>
  <c r="A6524" i="1"/>
  <c r="A6163" i="1"/>
  <c r="A6318" i="1"/>
  <c r="A5153" i="1"/>
  <c r="A6112" i="1"/>
  <c r="A7154" i="1"/>
  <c r="A3797" i="1"/>
  <c r="A6948" i="1"/>
  <c r="A7318" i="1"/>
  <c r="A6265" i="1"/>
  <c r="A5054" i="1"/>
  <c r="A2899" i="1"/>
  <c r="A5756" i="1"/>
  <c r="A2944" i="1"/>
  <c r="A3846" i="1"/>
  <c r="A2525" i="1"/>
  <c r="A4388" i="1"/>
  <c r="A3430" i="1"/>
  <c r="A2205" i="1"/>
  <c r="A4010" i="1"/>
  <c r="A5204" i="1"/>
  <c r="A1809" i="1"/>
  <c r="A4837" i="1"/>
  <c r="A4323" i="1"/>
  <c r="A2812" i="1"/>
  <c r="A2341" i="1"/>
  <c r="A4836" i="1"/>
  <c r="A3230" i="1"/>
  <c r="A2139" i="1"/>
  <c r="A2684" i="1"/>
  <c r="A2413" i="1"/>
  <c r="A1906" i="1"/>
  <c r="A2946" i="1"/>
  <c r="A2006" i="1"/>
  <c r="A1147" i="1"/>
  <c r="A2007" i="1"/>
  <c r="A2039" i="1"/>
  <c r="A1534" i="1"/>
  <c r="A1347" i="1"/>
  <c r="A5755" i="1"/>
  <c r="A6162" i="1"/>
  <c r="A5105" i="1"/>
  <c r="A6052" i="1"/>
  <c r="A7317" i="1"/>
  <c r="A5757" i="1"/>
  <c r="A4756" i="1"/>
  <c r="A6706" i="1"/>
  <c r="A6947" i="1"/>
  <c r="A5530" i="1"/>
  <c r="A5704" i="1"/>
  <c r="A6577" i="1"/>
  <c r="A5269" i="1"/>
  <c r="A5421" i="1"/>
  <c r="A4602" i="1"/>
  <c r="A5654" i="1"/>
  <c r="A2991" i="1"/>
  <c r="A7212" i="1"/>
  <c r="A5055" i="1"/>
  <c r="A3946" i="1"/>
  <c r="A7152" i="1"/>
  <c r="A2040" i="1"/>
  <c r="A2770" i="1"/>
  <c r="A4654" i="1"/>
  <c r="A4059" i="1"/>
  <c r="A1939" i="1"/>
  <c r="A3130" i="1"/>
  <c r="A2855" i="1"/>
  <c r="A1505" i="1"/>
  <c r="A3686" i="1"/>
  <c r="A2811" i="1"/>
  <c r="A2270" i="1"/>
  <c r="A3229" i="1"/>
  <c r="A2375" i="1"/>
  <c r="A1660" i="1"/>
  <c r="A3330" i="1"/>
  <c r="A3795" i="1"/>
  <c r="A2138" i="1"/>
  <c r="A3181" i="1"/>
  <c r="A2172" i="1"/>
  <c r="A1172" i="1"/>
  <c r="A1196" i="1"/>
  <c r="A1693" i="1"/>
  <c r="A3585" i="1"/>
  <c r="A3084" i="1"/>
  <c r="A2374" i="1"/>
  <c r="A3180" i="1"/>
  <c r="A3277" i="1"/>
  <c r="A2989" i="1"/>
  <c r="A2305" i="1"/>
  <c r="A6320" i="1"/>
  <c r="A6161" i="1"/>
  <c r="A4937" i="1"/>
  <c r="A5968" i="1"/>
  <c r="A6111" i="1"/>
  <c r="A6842" i="1"/>
  <c r="A7211" i="1"/>
  <c r="A7210" i="1"/>
  <c r="A4324" i="1"/>
  <c r="A6526" i="1"/>
  <c r="A5806" i="1"/>
  <c r="A5596" i="1"/>
  <c r="A4603" i="1"/>
  <c r="A3737" i="1"/>
  <c r="A5319" i="1"/>
  <c r="A4224" i="1"/>
  <c r="A4223" i="1"/>
  <c r="A6841" i="1"/>
  <c r="A2271" i="1"/>
  <c r="A3947" i="1"/>
  <c r="A2306" i="1"/>
  <c r="A3896" i="1"/>
  <c r="A1873" i="1"/>
  <c r="A4009" i="1"/>
  <c r="A4008" i="1"/>
  <c r="A4058" i="1"/>
  <c r="A1842" i="1"/>
  <c r="A2485" i="1"/>
  <c r="A3687" i="1"/>
  <c r="A2449" i="1"/>
  <c r="A1535" i="1"/>
  <c r="A1565" i="1"/>
  <c r="A4989" i="1"/>
  <c r="A5529" i="1"/>
  <c r="A6791" i="1"/>
  <c r="A3432" i="1"/>
  <c r="A3228" i="1"/>
  <c r="A1296" i="1"/>
  <c r="A1972" i="1"/>
  <c r="A5472" i="1"/>
  <c r="A4174" i="1"/>
  <c r="A3634" i="1"/>
  <c r="A2727" i="1"/>
  <c r="A3083" i="1"/>
  <c r="A2204" i="1"/>
  <c r="A3131" i="1"/>
  <c r="A2137" i="1"/>
  <c r="A1197" i="1"/>
  <c r="A1271" i="1"/>
  <c r="A6214" i="1"/>
  <c r="A3085" i="1"/>
  <c r="A2685" i="1"/>
  <c r="A1659" i="1"/>
  <c r="A1627" i="1"/>
  <c r="A1507" i="1"/>
  <c r="A1874" i="1"/>
  <c r="A2071" i="1"/>
  <c r="A6212" i="1"/>
  <c r="A5371" i="1"/>
  <c r="A5203" i="1"/>
  <c r="A6053" i="1"/>
  <c r="A7372" i="1"/>
  <c r="A5860" i="1"/>
  <c r="A5967" i="1"/>
  <c r="A6708" i="1"/>
  <c r="A6707" i="1"/>
  <c r="A5807" i="1"/>
  <c r="A7003" i="1"/>
  <c r="A5155" i="1"/>
  <c r="A7264" i="1"/>
  <c r="A7371" i="1"/>
  <c r="A5931" i="1"/>
  <c r="A6422" i="1"/>
  <c r="A6897" i="1"/>
  <c r="A6575" i="1"/>
  <c r="A4060" i="1"/>
  <c r="A4705" i="1"/>
  <c r="A4704" i="1"/>
  <c r="A5422" i="1"/>
  <c r="A6576" i="1"/>
  <c r="A3381" i="1"/>
  <c r="A4122" i="1"/>
  <c r="A6895" i="1"/>
  <c r="A7060" i="1"/>
  <c r="A7263" i="1"/>
  <c r="A5859" i="1"/>
  <c r="A6374" i="1"/>
  <c r="A6789" i="1"/>
  <c r="A4887" i="1"/>
  <c r="A4656" i="1"/>
  <c r="A4655" i="1"/>
  <c r="A3685" i="1"/>
  <c r="A4173" i="1"/>
  <c r="A3535" i="1"/>
  <c r="A3584" i="1"/>
  <c r="A3583" i="1"/>
  <c r="A2686" i="1"/>
  <c r="H23" i="1"/>
  <c r="M75" i="1"/>
  <c r="C68" i="10"/>
  <c r="C20" i="10"/>
  <c r="C81" i="4" l="1"/>
  <c r="E81" i="4" s="1"/>
  <c r="F81" i="4" s="1"/>
  <c r="F78" i="4"/>
  <c r="C78" i="4"/>
  <c r="E78" i="4" s="1"/>
  <c r="C80" i="4"/>
  <c r="E80" i="4" s="1"/>
  <c r="F80" i="4" s="1"/>
  <c r="E75" i="4"/>
  <c r="F75" i="4" s="1"/>
  <c r="E74" i="4"/>
  <c r="F74" i="4" s="1"/>
  <c r="E73" i="4"/>
  <c r="F73" i="4" s="1"/>
  <c r="E72" i="4"/>
  <c r="F72" i="4" s="1"/>
  <c r="E71" i="4"/>
  <c r="F71" i="4" s="1"/>
  <c r="E70" i="4"/>
  <c r="F70" i="4" s="1"/>
  <c r="E69" i="4"/>
  <c r="F69" i="4" s="1"/>
  <c r="E68" i="4"/>
  <c r="F68" i="4" s="1"/>
  <c r="F79" i="4" l="1"/>
  <c r="E79" i="4" s="1"/>
  <c r="C79" i="4" s="1"/>
  <c r="B79" i="4" s="1"/>
  <c r="P3" i="1"/>
  <c r="D3" i="6"/>
  <c r="D4" i="6"/>
  <c r="D5" i="6"/>
  <c r="E5" i="6" s="1"/>
  <c r="F5" i="6" s="1"/>
  <c r="G5" i="6" s="1"/>
  <c r="I5" i="6" s="1"/>
  <c r="K5" i="6" s="1"/>
  <c r="D16" i="1" s="1"/>
  <c r="D6" i="6"/>
  <c r="E6" i="6" s="1"/>
  <c r="F6" i="6" s="1"/>
  <c r="G6" i="6" s="1"/>
  <c r="I6" i="6" s="1"/>
  <c r="K6" i="6" s="1"/>
  <c r="D15" i="6"/>
  <c r="D16" i="6"/>
  <c r="H16" i="6"/>
  <c r="H17" i="6" s="1"/>
  <c r="D17" i="6"/>
  <c r="D18" i="6"/>
  <c r="D19" i="6"/>
  <c r="D21" i="6"/>
  <c r="D22" i="6"/>
  <c r="D23" i="6"/>
  <c r="L6" i="6" l="1"/>
  <c r="L5" i="6"/>
  <c r="E9" i="18"/>
  <c r="M43" i="15"/>
  <c r="D78" i="15"/>
  <c r="M78" i="15"/>
  <c r="M78" i="1"/>
  <c r="K78" i="1" s="1"/>
  <c r="M73" i="1"/>
  <c r="M77" i="1"/>
  <c r="C54" i="10"/>
  <c r="E13" i="18" l="1"/>
  <c r="E12" i="18"/>
  <c r="T92" i="15"/>
  <c r="T92" i="1"/>
  <c r="M92" i="1" s="1"/>
  <c r="F92" i="1"/>
  <c r="E92" i="1" s="1"/>
  <c r="D92" i="1"/>
  <c r="M77" i="15"/>
  <c r="D77" i="15"/>
  <c r="K77" i="1"/>
  <c r="D61" i="10" s="1"/>
  <c r="C61" i="10" s="1"/>
  <c r="K77" i="15" l="1"/>
  <c r="D92" i="15"/>
  <c r="G92" i="15"/>
  <c r="F92" i="15" s="1"/>
  <c r="E92" i="15" s="1"/>
  <c r="I77" i="15"/>
  <c r="I77" i="1"/>
  <c r="D12" i="10" s="1"/>
  <c r="C12" i="10" s="1"/>
  <c r="M92" i="15" l="1"/>
  <c r="P77" i="1"/>
  <c r="E60" i="17"/>
  <c r="E59" i="17"/>
  <c r="E54" i="17"/>
  <c r="H8" i="17" s="1"/>
  <c r="H9" i="17" s="1"/>
  <c r="A52" i="17"/>
  <c r="A49" i="17"/>
  <c r="E48" i="17"/>
  <c r="E44" i="17"/>
  <c r="D44" i="17"/>
  <c r="A44" i="17"/>
  <c r="H27" i="17"/>
  <c r="Q21" i="17"/>
  <c r="R20" i="17"/>
  <c r="R17" i="17" s="1"/>
  <c r="H11" i="17"/>
  <c r="A9" i="17"/>
  <c r="E5" i="17" s="1"/>
  <c r="H7" i="17" a="1"/>
  <c r="H7" i="17" s="1"/>
  <c r="E12" i="17" s="1"/>
  <c r="H6" i="17" a="1"/>
  <c r="H6" i="17" s="1"/>
  <c r="H5" i="17" a="1"/>
  <c r="H5" i="17" s="1"/>
  <c r="H4" i="17" a="1"/>
  <c r="H4" i="17" s="1"/>
  <c r="H20" i="15"/>
  <c r="E65" i="17" l="1"/>
  <c r="H3" i="17"/>
  <c r="E14" i="17"/>
  <c r="E15" i="17" s="1"/>
  <c r="E11" i="17"/>
  <c r="E64" i="17"/>
  <c r="E66" i="17" l="1"/>
  <c r="A50" i="17"/>
  <c r="A56" i="17" s="1"/>
  <c r="A58" i="17" s="1"/>
  <c r="A62" i="17" s="1"/>
  <c r="E21" i="17"/>
  <c r="E22" i="17" s="1"/>
  <c r="E16" i="17"/>
  <c r="E63" i="10"/>
  <c r="D94" i="15"/>
  <c r="M74" i="15"/>
  <c r="M75" i="15"/>
  <c r="M76" i="15"/>
  <c r="M73" i="15"/>
  <c r="K92" i="1"/>
  <c r="D53" i="10" s="1"/>
  <c r="E45" i="17" l="1"/>
  <c r="H10" i="17"/>
  <c r="E17" i="17"/>
  <c r="E23" i="17" s="1"/>
  <c r="E18" i="17"/>
  <c r="E24" i="17" s="1"/>
  <c r="C67" i="10"/>
  <c r="C6" i="10"/>
  <c r="C5" i="10"/>
  <c r="H19" i="15"/>
  <c r="D19" i="15"/>
  <c r="H13" i="15"/>
  <c r="H14" i="15"/>
  <c r="H15" i="15"/>
  <c r="H17" i="15"/>
  <c r="H16" i="15"/>
  <c r="D12" i="15"/>
  <c r="M76" i="1"/>
  <c r="M74" i="1"/>
  <c r="D62" i="10" l="1"/>
  <c r="C62" i="10" s="1"/>
  <c r="M19" i="15"/>
  <c r="L16" i="15"/>
  <c r="P77" i="15"/>
  <c r="I110" i="15"/>
  <c r="G103" i="15"/>
  <c r="D103" i="15"/>
  <c r="D105" i="15"/>
  <c r="D120" i="15" s="1"/>
  <c r="D96" i="15"/>
  <c r="D95" i="15"/>
  <c r="D87" i="15"/>
  <c r="D86" i="15"/>
  <c r="D85" i="15"/>
  <c r="H120" i="15" l="1"/>
  <c r="F120" i="15"/>
  <c r="J37" i="4"/>
  <c r="D67" i="15" s="1"/>
  <c r="K78" i="15"/>
  <c r="D76" i="15"/>
  <c r="D75" i="15"/>
  <c r="D74" i="15"/>
  <c r="D73" i="15"/>
  <c r="D64" i="15"/>
  <c r="D63" i="15"/>
  <c r="I50" i="15" l="1"/>
  <c r="I49" i="15"/>
  <c r="J50" i="15"/>
  <c r="D31" i="15"/>
  <c r="F31" i="15" s="1"/>
  <c r="D30" i="15"/>
  <c r="H30" i="15" s="1"/>
  <c r="D29" i="15"/>
  <c r="G29" i="15" s="1"/>
  <c r="D28" i="15"/>
  <c r="G28" i="15" s="1"/>
  <c r="D27" i="15"/>
  <c r="T140" i="15"/>
  <c r="T119" i="15"/>
  <c r="D119" i="15" s="1"/>
  <c r="T118" i="15"/>
  <c r="D118" i="15" s="1"/>
  <c r="T117" i="15"/>
  <c r="T116" i="15"/>
  <c r="T113" i="15"/>
  <c r="F113" i="15" s="1"/>
  <c r="T110" i="15"/>
  <c r="T109" i="15"/>
  <c r="T108" i="15"/>
  <c r="T104" i="15"/>
  <c r="D102" i="15"/>
  <c r="H95" i="15" s="1"/>
  <c r="T107" i="15"/>
  <c r="D106" i="15"/>
  <c r="D40" i="15" s="1"/>
  <c r="T95" i="15"/>
  <c r="F95" i="15" s="1"/>
  <c r="T94" i="15"/>
  <c r="F94" i="15" s="1"/>
  <c r="T93" i="15"/>
  <c r="G93" i="15" s="1"/>
  <c r="F93" i="15" s="1"/>
  <c r="E93" i="15" s="1"/>
  <c r="D93" i="15"/>
  <c r="T91" i="15"/>
  <c r="G91" i="15" s="1"/>
  <c r="F91" i="15" s="1"/>
  <c r="D91" i="15"/>
  <c r="T90" i="15"/>
  <c r="G90" i="15" s="1"/>
  <c r="F90" i="15" s="1"/>
  <c r="E90" i="15" s="1"/>
  <c r="D90" i="15"/>
  <c r="T89" i="15"/>
  <c r="G89" i="15" s="1"/>
  <c r="F89" i="15" s="1"/>
  <c r="E89" i="15" s="1"/>
  <c r="D89" i="15"/>
  <c r="T88" i="15"/>
  <c r="G88" i="15" s="1"/>
  <c r="F88" i="15" s="1"/>
  <c r="E88" i="15" s="1"/>
  <c r="D88" i="15"/>
  <c r="T87" i="15"/>
  <c r="F87" i="15" s="1"/>
  <c r="T86" i="15"/>
  <c r="F86" i="15" s="1"/>
  <c r="T85" i="15"/>
  <c r="I78" i="15"/>
  <c r="I76" i="15"/>
  <c r="I75" i="15"/>
  <c r="I74" i="15"/>
  <c r="K74" i="15"/>
  <c r="I73" i="15"/>
  <c r="T67" i="15"/>
  <c r="T66" i="15"/>
  <c r="T65" i="15"/>
  <c r="D65" i="15" s="1"/>
  <c r="T24" i="15"/>
  <c r="T23" i="15"/>
  <c r="H23" i="15" s="1"/>
  <c r="T59" i="15"/>
  <c r="M59" i="15"/>
  <c r="T58" i="15"/>
  <c r="D58" i="15" s="1"/>
  <c r="M58" i="15" s="1"/>
  <c r="T57" i="15"/>
  <c r="D57" i="15" s="1"/>
  <c r="M57" i="15" s="1"/>
  <c r="T56" i="15"/>
  <c r="D56" i="15" s="1"/>
  <c r="M56" i="15" s="1"/>
  <c r="T53" i="15"/>
  <c r="M53" i="15" s="1"/>
  <c r="T52" i="15"/>
  <c r="D52" i="15" s="1"/>
  <c r="T49" i="15"/>
  <c r="M49" i="15" s="1"/>
  <c r="I45" i="15"/>
  <c r="D43" i="15"/>
  <c r="T40" i="15"/>
  <c r="T39" i="15"/>
  <c r="T37" i="15"/>
  <c r="T35" i="15"/>
  <c r="L27" i="15"/>
  <c r="T13" i="15"/>
  <c r="P28" i="15"/>
  <c r="T8" i="15"/>
  <c r="T6" i="15"/>
  <c r="T3" i="15"/>
  <c r="T140" i="1"/>
  <c r="T113" i="1"/>
  <c r="M113" i="1" s="1"/>
  <c r="M119" i="1"/>
  <c r="T118" i="1"/>
  <c r="T117" i="1"/>
  <c r="T110" i="1"/>
  <c r="T109" i="1"/>
  <c r="M109" i="1" s="1"/>
  <c r="T108" i="1"/>
  <c r="T104" i="1"/>
  <c r="T107" i="1"/>
  <c r="T95" i="1"/>
  <c r="M95" i="1" s="1"/>
  <c r="T94" i="1"/>
  <c r="M94" i="1" s="1"/>
  <c r="T93" i="1"/>
  <c r="M93" i="1" s="1"/>
  <c r="T91" i="1"/>
  <c r="M91" i="1" s="1"/>
  <c r="T90" i="1"/>
  <c r="M90" i="1" s="1"/>
  <c r="T89" i="1"/>
  <c r="M89" i="1" s="1"/>
  <c r="T88" i="1"/>
  <c r="M88" i="1" s="1"/>
  <c r="T87" i="1"/>
  <c r="M87" i="1" s="1"/>
  <c r="T86" i="1"/>
  <c r="M86" i="1" s="1"/>
  <c r="T85" i="1"/>
  <c r="M85" i="1" s="1"/>
  <c r="T67" i="1"/>
  <c r="T66" i="1"/>
  <c r="M66" i="1" s="1"/>
  <c r="T65" i="1"/>
  <c r="T24" i="1"/>
  <c r="M24" i="1" s="1"/>
  <c r="T23" i="1"/>
  <c r="T59" i="1"/>
  <c r="T58" i="1"/>
  <c r="T57" i="1"/>
  <c r="T56" i="1"/>
  <c r="T52" i="1"/>
  <c r="M52" i="1" s="1"/>
  <c r="T49" i="1"/>
  <c r="T40" i="1"/>
  <c r="T38" i="1"/>
  <c r="T35" i="1"/>
  <c r="T13" i="1"/>
  <c r="T8" i="1"/>
  <c r="T6" i="1"/>
  <c r="T3" i="1"/>
  <c r="T53" i="1"/>
  <c r="M53" i="1" s="1"/>
  <c r="J116" i="15" l="1"/>
  <c r="M116" i="15" s="1"/>
  <c r="R108" i="1"/>
  <c r="M107" i="1"/>
  <c r="J117" i="15"/>
  <c r="F119" i="15"/>
  <c r="M119" i="15"/>
  <c r="H119" i="15"/>
  <c r="M113" i="15"/>
  <c r="H113" i="15"/>
  <c r="J113" i="15" s="1"/>
  <c r="F27" i="15"/>
  <c r="D53" i="15"/>
  <c r="J30" i="15"/>
  <c r="P7" i="15" s="1"/>
  <c r="R7" i="1" s="1"/>
  <c r="A174" i="15"/>
  <c r="A178" i="15"/>
  <c r="A182" i="15"/>
  <c r="M52" i="15"/>
  <c r="E52" i="15"/>
  <c r="J51" i="15"/>
  <c r="D54" i="15"/>
  <c r="H31" i="15"/>
  <c r="J31" i="15" s="1"/>
  <c r="H29" i="15"/>
  <c r="J29" i="15" s="1"/>
  <c r="P6" i="15" s="1"/>
  <c r="R6" i="1" s="1"/>
  <c r="F30" i="15"/>
  <c r="G30" i="15"/>
  <c r="K73" i="15"/>
  <c r="P73" i="15" s="1"/>
  <c r="M109" i="15"/>
  <c r="H94" i="15"/>
  <c r="D107" i="15"/>
  <c r="M107" i="15" s="1"/>
  <c r="K76" i="15"/>
  <c r="P76" i="15" s="1"/>
  <c r="K75" i="15"/>
  <c r="D98" i="15"/>
  <c r="L141" i="15"/>
  <c r="F28" i="15"/>
  <c r="P74" i="15"/>
  <c r="F29" i="15"/>
  <c r="M89" i="15"/>
  <c r="M90" i="15"/>
  <c r="M91" i="15"/>
  <c r="D66" i="15"/>
  <c r="M66" i="15" s="1"/>
  <c r="H24" i="15"/>
  <c r="M93" i="15"/>
  <c r="M88" i="15"/>
  <c r="G95" i="15"/>
  <c r="E95" i="15"/>
  <c r="G86" i="15"/>
  <c r="E86" i="15"/>
  <c r="E87" i="15"/>
  <c r="G87" i="15"/>
  <c r="G94" i="15"/>
  <c r="E94" i="15"/>
  <c r="M94" i="15"/>
  <c r="M87" i="15"/>
  <c r="M95" i="15"/>
  <c r="M86" i="15"/>
  <c r="F85" i="15"/>
  <c r="E91" i="15"/>
  <c r="P78" i="15"/>
  <c r="I79" i="15"/>
  <c r="M65" i="15"/>
  <c r="K30" i="15"/>
  <c r="D101" i="15"/>
  <c r="H92" i="15" s="1"/>
  <c r="J114" i="15" l="1"/>
  <c r="E53" i="15"/>
  <c r="J52" i="15" s="1"/>
  <c r="G31" i="15"/>
  <c r="K31" i="15"/>
  <c r="D60" i="15" s="1"/>
  <c r="P8" i="15"/>
  <c r="R8" i="1" s="1"/>
  <c r="P30" i="15"/>
  <c r="E6" i="18"/>
  <c r="K29" i="15"/>
  <c r="J75" i="15"/>
  <c r="J77" i="15"/>
  <c r="I24" i="15"/>
  <c r="A8" i="17"/>
  <c r="G27" i="15"/>
  <c r="F32" i="15"/>
  <c r="K79" i="15"/>
  <c r="I105" i="15"/>
  <c r="G105" i="15"/>
  <c r="J76" i="15"/>
  <c r="J74" i="15"/>
  <c r="D34" i="15"/>
  <c r="J73" i="15"/>
  <c r="J78" i="15"/>
  <c r="D33" i="15"/>
  <c r="F34" i="15" s="1"/>
  <c r="P75" i="15"/>
  <c r="G102" i="15"/>
  <c r="E98" i="15" s="1"/>
  <c r="M24" i="15"/>
  <c r="M85" i="15"/>
  <c r="G85" i="15"/>
  <c r="E85" i="15"/>
  <c r="H87" i="15"/>
  <c r="H85" i="15"/>
  <c r="H86" i="15"/>
  <c r="H89" i="15"/>
  <c r="G108" i="15"/>
  <c r="H90" i="15"/>
  <c r="H88" i="15"/>
  <c r="H93" i="15"/>
  <c r="H91" i="15"/>
  <c r="K51" i="15" l="1"/>
  <c r="P51" i="15"/>
  <c r="J53" i="15"/>
  <c r="P53" i="15" s="1"/>
  <c r="K50" i="15"/>
  <c r="G32" i="15"/>
  <c r="L75" i="15"/>
  <c r="L77" i="15"/>
  <c r="E7" i="17"/>
  <c r="A59" i="17"/>
  <c r="A60" i="17" s="1"/>
  <c r="A61" i="17" s="1"/>
  <c r="A63" i="17" s="1"/>
  <c r="A51" i="17"/>
  <c r="E19" i="17"/>
  <c r="A16" i="17"/>
  <c r="E20" i="17"/>
  <c r="A17" i="17"/>
  <c r="L76" i="15"/>
  <c r="L74" i="15"/>
  <c r="L78" i="15"/>
  <c r="L73" i="15"/>
  <c r="J79" i="15"/>
  <c r="D109" i="15"/>
  <c r="D110" i="15" s="1"/>
  <c r="M110" i="15" s="1"/>
  <c r="G101" i="15"/>
  <c r="H98" i="15"/>
  <c r="L79" i="15" l="1"/>
  <c r="G104" i="15"/>
  <c r="M104" i="15" s="1"/>
  <c r="L141" i="1" l="1"/>
  <c r="D93" i="1" l="1"/>
  <c r="D91" i="1"/>
  <c r="D90" i="1"/>
  <c r="D89" i="1"/>
  <c r="D88" i="1"/>
  <c r="D43" i="1"/>
  <c r="F27" i="1" s="1"/>
  <c r="I74" i="1" l="1"/>
  <c r="D9" i="10" s="1"/>
  <c r="C9" i="10" s="1"/>
  <c r="K74" i="1"/>
  <c r="D58" i="10" s="1"/>
  <c r="C58" i="10" s="1"/>
  <c r="K75" i="1"/>
  <c r="D59" i="10" s="1"/>
  <c r="C59" i="10" s="1"/>
  <c r="I75" i="1"/>
  <c r="D10" i="10" s="1"/>
  <c r="C10" i="10" s="1"/>
  <c r="K73" i="1"/>
  <c r="D57" i="10" s="1"/>
  <c r="C57" i="10" s="1"/>
  <c r="I73" i="1"/>
  <c r="K76" i="1"/>
  <c r="D60" i="10" s="1"/>
  <c r="C60" i="10" s="1"/>
  <c r="I76" i="1"/>
  <c r="D11" i="10" s="1"/>
  <c r="C11" i="10" s="1"/>
  <c r="I78" i="1"/>
  <c r="L27" i="1"/>
  <c r="D13" i="10" l="1"/>
  <c r="C13" i="10" s="1"/>
  <c r="P78" i="1"/>
  <c r="D8" i="10"/>
  <c r="C8" i="10" s="1"/>
  <c r="P74" i="1"/>
  <c r="P75" i="1"/>
  <c r="P76" i="1"/>
  <c r="P73" i="1"/>
  <c r="I79" i="1"/>
  <c r="K79" i="1"/>
  <c r="L77" i="1" l="1"/>
  <c r="E34" i="17"/>
  <c r="J78" i="1"/>
  <c r="J77" i="1"/>
  <c r="J73" i="1"/>
  <c r="J76" i="1"/>
  <c r="J74" i="1"/>
  <c r="J75" i="1"/>
  <c r="L74" i="1"/>
  <c r="E34" i="8"/>
  <c r="L76" i="1"/>
  <c r="L78" i="1"/>
  <c r="L75" i="1"/>
  <c r="L73" i="1"/>
  <c r="H113" i="1"/>
  <c r="J113" i="1" s="1"/>
  <c r="J79" i="1" l="1"/>
  <c r="L79" i="1"/>
  <c r="F7" i="10" l="1"/>
  <c r="E7" i="10" l="1"/>
  <c r="V9" i="13" l="1"/>
  <c r="W9" i="13" s="1"/>
  <c r="V8" i="13"/>
  <c r="W8" i="13" s="1"/>
  <c r="X7" i="13"/>
  <c r="W7" i="13"/>
  <c r="X6" i="13"/>
  <c r="W6" i="13"/>
  <c r="X2" i="13"/>
  <c r="W2" i="13"/>
  <c r="P7" i="1"/>
  <c r="P8" i="1"/>
  <c r="P6" i="1"/>
  <c r="X8" i="13" l="1"/>
  <c r="X9" i="13"/>
  <c r="F16" i="4"/>
  <c r="W39" i="4"/>
  <c r="F20" i="4" s="1"/>
  <c r="F17" i="4"/>
  <c r="F15" i="4"/>
  <c r="W26" i="4"/>
  <c r="Z26" i="4" s="1"/>
  <c r="AC31" i="4"/>
  <c r="AA31" i="4"/>
  <c r="Z31" i="4"/>
  <c r="Y31" i="4"/>
  <c r="X31" i="4"/>
  <c r="W17" i="4"/>
  <c r="F19" i="4" s="1"/>
  <c r="W9" i="4"/>
  <c r="Y9" i="4" s="1"/>
  <c r="W3" i="4"/>
  <c r="F18" i="4" s="1"/>
  <c r="X17" i="4"/>
  <c r="Y17" i="4"/>
  <c r="Z17" i="4"/>
  <c r="AA17" i="4"/>
  <c r="AC17" i="4"/>
  <c r="X18" i="4"/>
  <c r="Y18" i="4"/>
  <c r="Z18" i="4"/>
  <c r="AA18" i="4"/>
  <c r="AC18" i="4"/>
  <c r="X19" i="4"/>
  <c r="Y19" i="4"/>
  <c r="Z19" i="4"/>
  <c r="AA19" i="4"/>
  <c r="AC19" i="4"/>
  <c r="AC60" i="4"/>
  <c r="AC59" i="4"/>
  <c r="F14" i="4" s="1"/>
  <c r="AC54" i="4"/>
  <c r="AC53" i="4"/>
  <c r="AC52" i="4"/>
  <c r="AC51" i="4"/>
  <c r="AC50" i="4"/>
  <c r="AC49" i="4"/>
  <c r="AC48" i="4"/>
  <c r="AC47" i="4"/>
  <c r="AC46" i="4"/>
  <c r="AC45" i="4"/>
  <c r="AC44" i="4"/>
  <c r="AC43" i="4"/>
  <c r="AC42" i="4"/>
  <c r="AC41" i="4"/>
  <c r="AC40" i="4"/>
  <c r="AC39" i="4"/>
  <c r="AC38" i="4"/>
  <c r="AC37" i="4"/>
  <c r="AC36" i="4"/>
  <c r="AC35" i="4"/>
  <c r="AC34" i="4"/>
  <c r="AC33" i="4"/>
  <c r="AC32" i="4"/>
  <c r="AC30" i="4"/>
  <c r="AC29" i="4"/>
  <c r="AC28" i="4"/>
  <c r="AC27" i="4"/>
  <c r="AC57" i="4"/>
  <c r="AC56" i="4"/>
  <c r="AC55" i="4"/>
  <c r="AC25" i="4"/>
  <c r="AC24" i="4"/>
  <c r="AC23" i="4"/>
  <c r="AC22" i="4"/>
  <c r="AC21" i="4"/>
  <c r="AC16" i="4"/>
  <c r="AC15" i="4"/>
  <c r="AC14" i="4"/>
  <c r="AC13" i="4"/>
  <c r="AC12" i="4"/>
  <c r="AC11" i="4"/>
  <c r="AC10" i="4"/>
  <c r="AC8" i="4"/>
  <c r="AC7" i="4"/>
  <c r="AC5" i="4"/>
  <c r="AC6" i="4"/>
  <c r="AC4" i="4"/>
  <c r="AA54" i="4"/>
  <c r="Z54" i="4"/>
  <c r="Y54" i="4"/>
  <c r="X54" i="4"/>
  <c r="AA53" i="4"/>
  <c r="Z53" i="4"/>
  <c r="Y53" i="4"/>
  <c r="X53" i="4"/>
  <c r="AA52" i="4"/>
  <c r="Z52" i="4"/>
  <c r="Y52" i="4"/>
  <c r="X52" i="4"/>
  <c r="AA51" i="4"/>
  <c r="Z51" i="4"/>
  <c r="Y51" i="4"/>
  <c r="X51" i="4"/>
  <c r="AA50" i="4"/>
  <c r="Z50" i="4"/>
  <c r="Y50" i="4"/>
  <c r="X50" i="4"/>
  <c r="AA49" i="4"/>
  <c r="Z49" i="4"/>
  <c r="Y49" i="4"/>
  <c r="X49" i="4"/>
  <c r="AA48" i="4"/>
  <c r="Z48" i="4"/>
  <c r="Y48" i="4"/>
  <c r="X48" i="4"/>
  <c r="AA47" i="4"/>
  <c r="Z47" i="4"/>
  <c r="Y47" i="4"/>
  <c r="X47" i="4"/>
  <c r="AA46" i="4"/>
  <c r="Z46" i="4"/>
  <c r="Y46" i="4"/>
  <c r="X46" i="4"/>
  <c r="AA45" i="4"/>
  <c r="Z45" i="4"/>
  <c r="Y45" i="4"/>
  <c r="X45" i="4"/>
  <c r="AA44" i="4"/>
  <c r="Z44" i="4"/>
  <c r="Y44" i="4"/>
  <c r="X44" i="4"/>
  <c r="AA43" i="4"/>
  <c r="Z43" i="4"/>
  <c r="Y43" i="4"/>
  <c r="X43" i="4"/>
  <c r="AA42" i="4"/>
  <c r="Z42" i="4"/>
  <c r="Y42" i="4"/>
  <c r="X42" i="4"/>
  <c r="AA41" i="4"/>
  <c r="Z41" i="4"/>
  <c r="Y41" i="4"/>
  <c r="X41" i="4"/>
  <c r="AA40" i="4"/>
  <c r="Z40" i="4"/>
  <c r="Y40" i="4"/>
  <c r="X40" i="4"/>
  <c r="X39" i="4"/>
  <c r="AA38" i="4"/>
  <c r="Z38" i="4"/>
  <c r="Y38" i="4"/>
  <c r="X38" i="4"/>
  <c r="AA37" i="4"/>
  <c r="Z37" i="4"/>
  <c r="Y37" i="4"/>
  <c r="X37" i="4"/>
  <c r="AA36" i="4"/>
  <c r="Z36" i="4"/>
  <c r="Y36" i="4"/>
  <c r="X36" i="4"/>
  <c r="AA35" i="4"/>
  <c r="Z35" i="4"/>
  <c r="Y35" i="4"/>
  <c r="X35" i="4"/>
  <c r="AA34" i="4"/>
  <c r="Z34" i="4"/>
  <c r="Y34" i="4"/>
  <c r="X34" i="4"/>
  <c r="AA33" i="4"/>
  <c r="Z33" i="4"/>
  <c r="Y33" i="4"/>
  <c r="X33" i="4"/>
  <c r="AA32" i="4"/>
  <c r="Z32" i="4"/>
  <c r="Y32" i="4"/>
  <c r="X32" i="4"/>
  <c r="AA30" i="4"/>
  <c r="Z30" i="4"/>
  <c r="Y30" i="4"/>
  <c r="X30" i="4"/>
  <c r="AA29" i="4"/>
  <c r="Z29" i="4"/>
  <c r="Y29" i="4"/>
  <c r="X29" i="4"/>
  <c r="AA28" i="4"/>
  <c r="Z28" i="4"/>
  <c r="Y28" i="4"/>
  <c r="X28" i="4"/>
  <c r="AA27" i="4"/>
  <c r="Z27" i="4"/>
  <c r="Y27" i="4"/>
  <c r="X27" i="4"/>
  <c r="AA57" i="4"/>
  <c r="Z57" i="4"/>
  <c r="Y57" i="4"/>
  <c r="X57" i="4"/>
  <c r="AA56" i="4"/>
  <c r="Z56" i="4"/>
  <c r="Y56" i="4"/>
  <c r="X56" i="4"/>
  <c r="AA55" i="4"/>
  <c r="Z55" i="4"/>
  <c r="Y55" i="4"/>
  <c r="X55" i="4"/>
  <c r="AA25" i="4"/>
  <c r="Z25" i="4"/>
  <c r="Y25" i="4"/>
  <c r="X25" i="4"/>
  <c r="AA24" i="4"/>
  <c r="Z24" i="4"/>
  <c r="Y24" i="4"/>
  <c r="X24" i="4"/>
  <c r="AA23" i="4"/>
  <c r="Z23" i="4"/>
  <c r="Y23" i="4"/>
  <c r="X23" i="4"/>
  <c r="AA22" i="4"/>
  <c r="Z22" i="4"/>
  <c r="Y22" i="4"/>
  <c r="X22" i="4"/>
  <c r="AA21" i="4"/>
  <c r="Z21" i="4"/>
  <c r="Y21" i="4"/>
  <c r="X21" i="4"/>
  <c r="AA20" i="4"/>
  <c r="Z20" i="4"/>
  <c r="Y20" i="4"/>
  <c r="X20" i="4"/>
  <c r="AA16" i="4"/>
  <c r="Z16" i="4"/>
  <c r="Y16" i="4"/>
  <c r="X16" i="4"/>
  <c r="AA15" i="4"/>
  <c r="Z15" i="4"/>
  <c r="Y15" i="4"/>
  <c r="X15" i="4"/>
  <c r="AA14" i="4"/>
  <c r="Z14" i="4"/>
  <c r="Y14" i="4"/>
  <c r="X14" i="4"/>
  <c r="AA13" i="4"/>
  <c r="Z13" i="4"/>
  <c r="Y13" i="4"/>
  <c r="X13" i="4"/>
  <c r="AA12" i="4"/>
  <c r="Z12" i="4"/>
  <c r="Y12" i="4"/>
  <c r="X12" i="4"/>
  <c r="AA11" i="4"/>
  <c r="Z11" i="4"/>
  <c r="Y11" i="4"/>
  <c r="X11" i="4"/>
  <c r="AA10" i="4"/>
  <c r="Z10" i="4"/>
  <c r="Y10" i="4"/>
  <c r="X10" i="4"/>
  <c r="AA8" i="4"/>
  <c r="Z8" i="4"/>
  <c r="Y8" i="4"/>
  <c r="X8" i="4"/>
  <c r="AA7" i="4"/>
  <c r="Z7" i="4"/>
  <c r="Y7" i="4"/>
  <c r="X7" i="4"/>
  <c r="AA6" i="4"/>
  <c r="Z6" i="4"/>
  <c r="Y6" i="4"/>
  <c r="X6" i="4"/>
  <c r="AA5" i="4"/>
  <c r="Z5" i="4"/>
  <c r="Y5" i="4"/>
  <c r="X5" i="4"/>
  <c r="AA4" i="4"/>
  <c r="Z4" i="4"/>
  <c r="Y4" i="4"/>
  <c r="X4" i="4"/>
  <c r="AA3" i="4"/>
  <c r="Z3" i="4"/>
  <c r="Y3" i="4"/>
  <c r="Y39" i="4" l="1"/>
  <c r="Z39" i="4"/>
  <c r="AA39" i="4"/>
  <c r="AC20" i="4"/>
  <c r="AA26" i="4"/>
  <c r="X3" i="4"/>
  <c r="Z9" i="4"/>
  <c r="AA9" i="4"/>
  <c r="X9" i="4"/>
  <c r="AC26" i="4"/>
  <c r="F13" i="4"/>
  <c r="H27" i="2" s="1"/>
  <c r="X26" i="4"/>
  <c r="Y26" i="4"/>
  <c r="AC9" i="4"/>
  <c r="AC3" i="4" s="1"/>
  <c r="E2" i="12"/>
  <c r="E1" i="12"/>
  <c r="C6" i="4"/>
  <c r="C4" i="4"/>
  <c r="F27" i="2" l="1"/>
  <c r="M23" i="1"/>
  <c r="D21" i="15"/>
  <c r="E21" i="15" l="1"/>
  <c r="K92" i="15"/>
  <c r="D20" i="15"/>
  <c r="I92" i="1"/>
  <c r="F12" i="10" s="1"/>
  <c r="K89" i="15"/>
  <c r="K93" i="15"/>
  <c r="K86" i="15"/>
  <c r="K87" i="15"/>
  <c r="K88" i="15"/>
  <c r="K90" i="15"/>
  <c r="K91" i="15"/>
  <c r="K85" i="15"/>
  <c r="J101" i="15"/>
  <c r="K101" i="15" s="1"/>
  <c r="M23" i="15"/>
  <c r="I23" i="15"/>
  <c r="I87" i="1"/>
  <c r="P87" i="1" s="1"/>
  <c r="I86" i="1"/>
  <c r="P86" i="1" s="1"/>
  <c r="P85" i="1"/>
  <c r="K86" i="1"/>
  <c r="D47" i="10" s="1"/>
  <c r="K87" i="1"/>
  <c r="K85" i="1"/>
  <c r="D46" i="10" s="1"/>
  <c r="Y7" i="13"/>
  <c r="Y2" i="13"/>
  <c r="Y6" i="13"/>
  <c r="Y8" i="13"/>
  <c r="Y9" i="13"/>
  <c r="E18" i="12"/>
  <c r="E5" i="12" s="1"/>
  <c r="D44" i="8"/>
  <c r="E44" i="8"/>
  <c r="E14" i="8" s="1"/>
  <c r="I92" i="15" l="1"/>
  <c r="D121" i="15"/>
  <c r="I121" i="15" s="1"/>
  <c r="M121" i="15" s="1"/>
  <c r="P121" i="15" s="1"/>
  <c r="I90" i="15"/>
  <c r="P90" i="15" s="1"/>
  <c r="I86" i="15"/>
  <c r="P86" i="15" s="1"/>
  <c r="I93" i="15"/>
  <c r="P93" i="15" s="1"/>
  <c r="I87" i="15"/>
  <c r="P87" i="15" s="1"/>
  <c r="I89" i="15"/>
  <c r="P89" i="15" s="1"/>
  <c r="J19" i="15"/>
  <c r="I91" i="15"/>
  <c r="P91" i="15" s="1"/>
  <c r="H101" i="15"/>
  <c r="I101" i="15" s="1"/>
  <c r="I88" i="15"/>
  <c r="P88" i="15" s="1"/>
  <c r="P92" i="15"/>
  <c r="I85" i="15"/>
  <c r="P85" i="15" s="1"/>
  <c r="P92" i="1"/>
  <c r="C47" i="10"/>
  <c r="Z8" i="13"/>
  <c r="AA8" i="13" s="1"/>
  <c r="Z9" i="13"/>
  <c r="AA9" i="13" s="1"/>
  <c r="Z2" i="13"/>
  <c r="Z7" i="13"/>
  <c r="AA7" i="13" s="1"/>
  <c r="Z6" i="13"/>
  <c r="AA6" i="13" s="1"/>
  <c r="E6" i="12"/>
  <c r="E16" i="12"/>
  <c r="E15" i="12"/>
  <c r="E14" i="12"/>
  <c r="E13" i="12"/>
  <c r="E12" i="12"/>
  <c r="E11" i="12"/>
  <c r="E8" i="12"/>
  <c r="E10" i="12"/>
  <c r="E9" i="12"/>
  <c r="E7" i="12"/>
  <c r="H7" i="8" a="1"/>
  <c r="H7" i="8" s="1"/>
  <c r="H6" i="8" a="1"/>
  <c r="H6" i="8" s="1"/>
  <c r="H5" i="8" a="1"/>
  <c r="H5" i="8" s="1"/>
  <c r="H4" i="8" a="1"/>
  <c r="H4" i="8" s="1"/>
  <c r="E17" i="12" l="1"/>
  <c r="D23" i="15"/>
  <c r="C52" i="5"/>
  <c r="C51" i="5"/>
  <c r="C53" i="5"/>
  <c r="D137" i="15" l="1"/>
  <c r="I137" i="15" s="1"/>
  <c r="E23" i="15"/>
  <c r="D24" i="15"/>
  <c r="E47" i="17"/>
  <c r="A45" i="17" s="1"/>
  <c r="C54" i="5"/>
  <c r="D140" i="15" l="1"/>
  <c r="D138" i="15"/>
  <c r="G140" i="15" s="1"/>
  <c r="E24" i="15"/>
  <c r="E59" i="8"/>
  <c r="E60" i="8"/>
  <c r="R140" i="15" l="1"/>
  <c r="M140" i="15"/>
  <c r="G138" i="15"/>
  <c r="I138" i="15"/>
  <c r="A49" i="8"/>
  <c r="E65" i="8" l="1"/>
  <c r="E64" i="8"/>
  <c r="M59" i="1"/>
  <c r="E66" i="8" l="1"/>
  <c r="AM229" i="11"/>
  <c r="AM447" i="11"/>
  <c r="AM435" i="11"/>
  <c r="AM424" i="11"/>
  <c r="AM412" i="11"/>
  <c r="AM400" i="11"/>
  <c r="AM388" i="11"/>
  <c r="AM376" i="11"/>
  <c r="AM365" i="11"/>
  <c r="AM353" i="11"/>
  <c r="AM341" i="11"/>
  <c r="AM329" i="11"/>
  <c r="AM317" i="11"/>
  <c r="AM305" i="11"/>
  <c r="AM293" i="11"/>
  <c r="AM281" i="11"/>
  <c r="AM269" i="11"/>
  <c r="AM257" i="11"/>
  <c r="AM245" i="11"/>
  <c r="AM233" i="11"/>
  <c r="AM445" i="11"/>
  <c r="AM434" i="11"/>
  <c r="AM422" i="11"/>
  <c r="AM398" i="11"/>
  <c r="AM386" i="11"/>
  <c r="AM374" i="11"/>
  <c r="AM363" i="11"/>
  <c r="AM351" i="11"/>
  <c r="AM339" i="11"/>
  <c r="AM327" i="11"/>
  <c r="AM303" i="11"/>
  <c r="AM291" i="11"/>
  <c r="AM279" i="11"/>
  <c r="AM267" i="11"/>
  <c r="AM255" i="11"/>
  <c r="AM243" i="11"/>
  <c r="AM231" i="11"/>
  <c r="AM456" i="11"/>
  <c r="AM326" i="11"/>
  <c r="AM266" i="11"/>
  <c r="AM230" i="11"/>
  <c r="AM455" i="11"/>
  <c r="AM432" i="11"/>
  <c r="AM420" i="11"/>
  <c r="AM396" i="11"/>
  <c r="AM372" i="11"/>
  <c r="AM349" i="11"/>
  <c r="AM325" i="11"/>
  <c r="AM301" i="11"/>
  <c r="AM289" i="11"/>
  <c r="AM265" i="11"/>
  <c r="AM241" i="11"/>
  <c r="AM442" i="11"/>
  <c r="AM419" i="11"/>
  <c r="AM371" i="11"/>
  <c r="AM336" i="11"/>
  <c r="AM312" i="11"/>
  <c r="AM288" i="11"/>
  <c r="AM264" i="11"/>
  <c r="AM240" i="11"/>
  <c r="AM441" i="11"/>
  <c r="AM430" i="11"/>
  <c r="AM406" i="11"/>
  <c r="AM394" i="11"/>
  <c r="AM347" i="11"/>
  <c r="AM323" i="11"/>
  <c r="AM299" i="11"/>
  <c r="AM275" i="11"/>
  <c r="AM251" i="11"/>
  <c r="AM440" i="11"/>
  <c r="AM393" i="11"/>
  <c r="AM370" i="11"/>
  <c r="AM346" i="11"/>
  <c r="AM322" i="11"/>
  <c r="AM298" i="11"/>
  <c r="AM274" i="11"/>
  <c r="AM250" i="11"/>
  <c r="AM439" i="11"/>
  <c r="AM428" i="11"/>
  <c r="AM404" i="11"/>
  <c r="AM369" i="11"/>
  <c r="AM345" i="11"/>
  <c r="AM321" i="11"/>
  <c r="AM285" i="11"/>
  <c r="AM458" i="11"/>
  <c r="AM446" i="11"/>
  <c r="AM423" i="11"/>
  <c r="AM399" i="11"/>
  <c r="AM387" i="11"/>
  <c r="AM375" i="11"/>
  <c r="AM364" i="11"/>
  <c r="AM352" i="11"/>
  <c r="AM340" i="11"/>
  <c r="AM328" i="11"/>
  <c r="AM316" i="11"/>
  <c r="AM304" i="11"/>
  <c r="AM292" i="11"/>
  <c r="AM280" i="11"/>
  <c r="AM268" i="11"/>
  <c r="AM256" i="11"/>
  <c r="AM244" i="11"/>
  <c r="AM232" i="11"/>
  <c r="AM410" i="11"/>
  <c r="AM315" i="11"/>
  <c r="AM444" i="11"/>
  <c r="AM433" i="11"/>
  <c r="AM421" i="11"/>
  <c r="AM409" i="11"/>
  <c r="AM397" i="11"/>
  <c r="AM385" i="11"/>
  <c r="AM373" i="11"/>
  <c r="AM362" i="11"/>
  <c r="AM350" i="11"/>
  <c r="AM338" i="11"/>
  <c r="AM314" i="11"/>
  <c r="AM302" i="11"/>
  <c r="AM290" i="11"/>
  <c r="AM278" i="11"/>
  <c r="AM254" i="11"/>
  <c r="AM242" i="11"/>
  <c r="AM443" i="11"/>
  <c r="AM408" i="11"/>
  <c r="AM384" i="11"/>
  <c r="AM361" i="11"/>
  <c r="AM313" i="11"/>
  <c r="AM277" i="11"/>
  <c r="AM253" i="11"/>
  <c r="AM454" i="11"/>
  <c r="AM431" i="11"/>
  <c r="AM407" i="11"/>
  <c r="AM395" i="11"/>
  <c r="AM383" i="11"/>
  <c r="AM360" i="11"/>
  <c r="AM348" i="11"/>
  <c r="AM324" i="11"/>
  <c r="AM300" i="11"/>
  <c r="AM276" i="11"/>
  <c r="AM252" i="11"/>
  <c r="AM453" i="11"/>
  <c r="AM418" i="11"/>
  <c r="AM382" i="11"/>
  <c r="AM359" i="11"/>
  <c r="AM335" i="11"/>
  <c r="AM311" i="11"/>
  <c r="AM287" i="11"/>
  <c r="AM263" i="11"/>
  <c r="AM239" i="11"/>
  <c r="AM452" i="11"/>
  <c r="AM429" i="11"/>
  <c r="AM417" i="11"/>
  <c r="AM405" i="11"/>
  <c r="AM381" i="11"/>
  <c r="AM358" i="11"/>
  <c r="AM334" i="11"/>
  <c r="AM286" i="11"/>
  <c r="AM262" i="11"/>
  <c r="AM238" i="11"/>
  <c r="AM451" i="11"/>
  <c r="AM416" i="11"/>
  <c r="AM392" i="11"/>
  <c r="AM357" i="11"/>
  <c r="AM333" i="11"/>
  <c r="AM297" i="11"/>
  <c r="AM273" i="11"/>
  <c r="AM450" i="11"/>
  <c r="AM438" i="11"/>
  <c r="AM427" i="11"/>
  <c r="AM415" i="11"/>
  <c r="AM403" i="11"/>
  <c r="AM391" i="11"/>
  <c r="AM379" i="11"/>
  <c r="AM368" i="11"/>
  <c r="AM356" i="11"/>
  <c r="AM344" i="11"/>
  <c r="AM332" i="11"/>
  <c r="AM320" i="11"/>
  <c r="AM308" i="11"/>
  <c r="AM296" i="11"/>
  <c r="AM284" i="11"/>
  <c r="AM272" i="11"/>
  <c r="AM260" i="11"/>
  <c r="AM248" i="11"/>
  <c r="AM236" i="11"/>
  <c r="AM449" i="11"/>
  <c r="AM437" i="11"/>
  <c r="AM426" i="11"/>
  <c r="AM414" i="11"/>
  <c r="AM402" i="11"/>
  <c r="AM390" i="11"/>
  <c r="AM378" i="11"/>
  <c r="AM367" i="11"/>
  <c r="AM355" i="11"/>
  <c r="AM343" i="11"/>
  <c r="AM331" i="11"/>
  <c r="AM319" i="11"/>
  <c r="AM307" i="11"/>
  <c r="AM295" i="11"/>
  <c r="AM283" i="11"/>
  <c r="AM271" i="11"/>
  <c r="AM259" i="11"/>
  <c r="AM247" i="11"/>
  <c r="AM235" i="11"/>
  <c r="AM448" i="11"/>
  <c r="AM436" i="11"/>
  <c r="AM425" i="11"/>
  <c r="AM413" i="11"/>
  <c r="AM401" i="11"/>
  <c r="AM389" i="11"/>
  <c r="AM377" i="11"/>
  <c r="AM366" i="11"/>
  <c r="AM354" i="11"/>
  <c r="AM342" i="11"/>
  <c r="AM330" i="11"/>
  <c r="AM318" i="11"/>
  <c r="AM306" i="11"/>
  <c r="AM294" i="11"/>
  <c r="AM282" i="11"/>
  <c r="AM270" i="11"/>
  <c r="AM258" i="11"/>
  <c r="AM246" i="11"/>
  <c r="AM234" i="11"/>
  <c r="AM380" i="11"/>
  <c r="AM309" i="11"/>
  <c r="AM261" i="11"/>
  <c r="AM249" i="11"/>
  <c r="AM237" i="11"/>
  <c r="A50" i="8"/>
  <c r="A56" i="8" s="1"/>
  <c r="A58" i="8" s="1"/>
  <c r="A52" i="8"/>
  <c r="H11" i="8"/>
  <c r="H27" i="8"/>
  <c r="E54" i="8"/>
  <c r="H8" i="8" s="1"/>
  <c r="H9" i="8" s="1"/>
  <c r="D6" i="4"/>
  <c r="E32" i="17" l="1"/>
  <c r="E11" i="8"/>
  <c r="E21" i="8" s="1"/>
  <c r="E12" i="8"/>
  <c r="K699" i="11"/>
  <c r="K698" i="11"/>
  <c r="K697" i="11"/>
  <c r="K696" i="11"/>
  <c r="K695" i="11"/>
  <c r="K694" i="11"/>
  <c r="K693" i="11"/>
  <c r="K692" i="11"/>
  <c r="K691" i="11"/>
  <c r="K690" i="11"/>
  <c r="K689" i="11"/>
  <c r="K688" i="11"/>
  <c r="K687" i="11"/>
  <c r="K686" i="11"/>
  <c r="K685" i="11"/>
  <c r="K684" i="11"/>
  <c r="K682" i="11"/>
  <c r="K681" i="11"/>
  <c r="K680" i="11"/>
  <c r="K679" i="11"/>
  <c r="K678" i="11"/>
  <c r="K677" i="11"/>
  <c r="K676" i="11"/>
  <c r="K675" i="11"/>
  <c r="K674" i="11"/>
  <c r="K673" i="11"/>
  <c r="K672" i="11"/>
  <c r="K671" i="11"/>
  <c r="K670" i="11"/>
  <c r="K669" i="11"/>
  <c r="K668" i="11"/>
  <c r="K667" i="11"/>
  <c r="K666" i="11"/>
  <c r="K664" i="11"/>
  <c r="K663" i="11"/>
  <c r="K662" i="11"/>
  <c r="K661" i="11"/>
  <c r="K660" i="11"/>
  <c r="K659" i="11"/>
  <c r="K658" i="11"/>
  <c r="K657" i="11"/>
  <c r="K656" i="11"/>
  <c r="K654" i="11"/>
  <c r="K653" i="11"/>
  <c r="K652" i="11"/>
  <c r="K651" i="11"/>
  <c r="K650" i="11"/>
  <c r="K649" i="11"/>
  <c r="K648" i="11"/>
  <c r="K647" i="11"/>
  <c r="K646" i="11"/>
  <c r="K645" i="11"/>
  <c r="K644" i="11"/>
  <c r="K643" i="11"/>
  <c r="K642" i="11"/>
  <c r="K641" i="11"/>
  <c r="K640" i="11"/>
  <c r="K639" i="11"/>
  <c r="K638" i="11"/>
  <c r="K637" i="11"/>
  <c r="K635" i="11"/>
  <c r="K634" i="11"/>
  <c r="K633" i="11"/>
  <c r="K632" i="11"/>
  <c r="K630" i="11"/>
  <c r="K629" i="11"/>
  <c r="K628" i="11"/>
  <c r="K627" i="11"/>
  <c r="K626" i="11"/>
  <c r="K625" i="11"/>
  <c r="K624" i="11"/>
  <c r="K623" i="11"/>
  <c r="K622" i="11"/>
  <c r="K621" i="11"/>
  <c r="K620" i="11"/>
  <c r="K619" i="11"/>
  <c r="K618" i="11"/>
  <c r="K617" i="11"/>
  <c r="K616" i="11"/>
  <c r="K615" i="11"/>
  <c r="K614" i="11"/>
  <c r="K613" i="11"/>
  <c r="K611" i="11"/>
  <c r="K610" i="11"/>
  <c r="K609" i="11"/>
  <c r="K608" i="11"/>
  <c r="K607" i="11"/>
  <c r="K606" i="11"/>
  <c r="K605" i="11"/>
  <c r="K603" i="11"/>
  <c r="K602" i="11"/>
  <c r="K601" i="11"/>
  <c r="K600" i="11"/>
  <c r="K599" i="11"/>
  <c r="K598" i="11"/>
  <c r="K597" i="11"/>
  <c r="K596" i="11"/>
  <c r="K595" i="11"/>
  <c r="K594" i="11"/>
  <c r="K593" i="11"/>
  <c r="K592" i="11"/>
  <c r="K591" i="11"/>
  <c r="K590" i="11"/>
  <c r="K589" i="11"/>
  <c r="K588" i="11"/>
  <c r="K587" i="11"/>
  <c r="K586" i="11"/>
  <c r="K584" i="11"/>
  <c r="K583" i="11"/>
  <c r="K582" i="11"/>
  <c r="K581" i="11"/>
  <c r="K580" i="11"/>
  <c r="K579" i="11"/>
  <c r="K578" i="11"/>
  <c r="K577" i="11"/>
  <c r="K576" i="11"/>
  <c r="K575" i="11"/>
  <c r="K574" i="11"/>
  <c r="K573" i="11"/>
  <c r="K572" i="11"/>
  <c r="K571" i="11"/>
  <c r="K570" i="11"/>
  <c r="K569" i="11"/>
  <c r="K568" i="11"/>
  <c r="K567" i="11"/>
  <c r="K566" i="11"/>
  <c r="K565" i="11"/>
  <c r="K564" i="11"/>
  <c r="K563" i="11"/>
  <c r="K562" i="11"/>
  <c r="K561" i="11"/>
  <c r="K560" i="11"/>
  <c r="K559" i="11"/>
  <c r="K558" i="11"/>
  <c r="K557" i="11"/>
  <c r="K556" i="11"/>
  <c r="K555" i="11"/>
  <c r="K554" i="11"/>
  <c r="K553" i="11"/>
  <c r="K552" i="11"/>
  <c r="K551" i="11"/>
  <c r="K550" i="11"/>
  <c r="K549" i="11"/>
  <c r="K548" i="11"/>
  <c r="K547" i="11"/>
  <c r="K546" i="11"/>
  <c r="K545" i="11"/>
  <c r="K544" i="11"/>
  <c r="K543" i="11"/>
  <c r="K542" i="11"/>
  <c r="K541" i="11"/>
  <c r="K540" i="11"/>
  <c r="K539" i="11"/>
  <c r="K538" i="11"/>
  <c r="K537" i="11"/>
  <c r="K536" i="11"/>
  <c r="K535" i="11"/>
  <c r="K534" i="11"/>
  <c r="K533" i="11"/>
  <c r="K532" i="11"/>
  <c r="K531" i="11"/>
  <c r="K530" i="11"/>
  <c r="K529" i="11"/>
  <c r="K528" i="11"/>
  <c r="K527" i="11"/>
  <c r="K526" i="11"/>
  <c r="K525" i="11"/>
  <c r="K524" i="11"/>
  <c r="K523" i="11"/>
  <c r="K522" i="11"/>
  <c r="K521" i="11"/>
  <c r="K520" i="11"/>
  <c r="K519" i="11"/>
  <c r="K518" i="11"/>
  <c r="K517" i="11"/>
  <c r="K516" i="11"/>
  <c r="K515" i="11"/>
  <c r="K514" i="11"/>
  <c r="K513" i="11"/>
  <c r="K512" i="11"/>
  <c r="K511" i="11"/>
  <c r="K510" i="11"/>
  <c r="K509" i="11"/>
  <c r="K508" i="11"/>
  <c r="K507" i="11"/>
  <c r="K506" i="11"/>
  <c r="K505" i="11"/>
  <c r="K504" i="11"/>
  <c r="K503" i="11"/>
  <c r="K502" i="11"/>
  <c r="K501" i="11"/>
  <c r="K500" i="11"/>
  <c r="K499" i="11"/>
  <c r="K498" i="11"/>
  <c r="K497" i="11"/>
  <c r="K496" i="11"/>
  <c r="K495" i="11"/>
  <c r="K494" i="11"/>
  <c r="K493" i="11"/>
  <c r="K492" i="11"/>
  <c r="K491" i="11"/>
  <c r="K490" i="11"/>
  <c r="K489" i="11"/>
  <c r="K488" i="11"/>
  <c r="K487" i="11"/>
  <c r="K486" i="11"/>
  <c r="K485" i="11"/>
  <c r="K484" i="11"/>
  <c r="K483" i="11"/>
  <c r="K482" i="11"/>
  <c r="K481" i="11"/>
  <c r="K480" i="11"/>
  <c r="K479" i="11"/>
  <c r="K478" i="11"/>
  <c r="K477" i="11"/>
  <c r="K476" i="11"/>
  <c r="K475" i="11"/>
  <c r="K474" i="11"/>
  <c r="K473" i="11"/>
  <c r="K472" i="11"/>
  <c r="K471" i="11"/>
  <c r="K470" i="11"/>
  <c r="K469" i="11"/>
  <c r="K468" i="11"/>
  <c r="K467" i="11"/>
  <c r="K466" i="11"/>
  <c r="K465" i="11"/>
  <c r="K464" i="11"/>
  <c r="K463" i="11"/>
  <c r="K462" i="11"/>
  <c r="K461" i="11"/>
  <c r="K460" i="11"/>
  <c r="K458" i="11"/>
  <c r="K457" i="11"/>
  <c r="K456" i="11"/>
  <c r="K455" i="11"/>
  <c r="K454" i="11"/>
  <c r="K453" i="11"/>
  <c r="K452" i="11"/>
  <c r="K451" i="11"/>
  <c r="K450" i="11"/>
  <c r="K449" i="11"/>
  <c r="K448" i="11"/>
  <c r="K447" i="11"/>
  <c r="K446" i="11"/>
  <c r="K445" i="11"/>
  <c r="K444" i="11"/>
  <c r="K443" i="11"/>
  <c r="K442" i="11"/>
  <c r="K441" i="11"/>
  <c r="K440" i="11"/>
  <c r="K439" i="11"/>
  <c r="K438" i="11"/>
  <c r="K437" i="11"/>
  <c r="K436" i="11"/>
  <c r="K435" i="11"/>
  <c r="K434" i="11"/>
  <c r="K433" i="11"/>
  <c r="K432" i="11"/>
  <c r="K431" i="11"/>
  <c r="K430" i="11"/>
  <c r="K429" i="11"/>
  <c r="K428" i="11"/>
  <c r="K427" i="11"/>
  <c r="K426" i="11"/>
  <c r="K425" i="11"/>
  <c r="K424" i="11"/>
  <c r="K423" i="11"/>
  <c r="K422" i="11"/>
  <c r="K421" i="11"/>
  <c r="K420" i="11"/>
  <c r="K419" i="11"/>
  <c r="K418" i="11"/>
  <c r="K417" i="11"/>
  <c r="K416" i="11"/>
  <c r="K415" i="11"/>
  <c r="K414" i="11"/>
  <c r="K413" i="11"/>
  <c r="K412" i="11"/>
  <c r="K411" i="11"/>
  <c r="K410" i="11"/>
  <c r="K409" i="11"/>
  <c r="K408" i="11"/>
  <c r="K407" i="11"/>
  <c r="K406" i="11"/>
  <c r="K405" i="11"/>
  <c r="K404" i="11"/>
  <c r="K403" i="11"/>
  <c r="K402" i="11"/>
  <c r="K401" i="11"/>
  <c r="K400" i="11"/>
  <c r="K399" i="11"/>
  <c r="K398" i="11"/>
  <c r="K397" i="11"/>
  <c r="K396" i="11"/>
  <c r="K395" i="11"/>
  <c r="K394" i="11"/>
  <c r="K393" i="11"/>
  <c r="K392" i="11"/>
  <c r="K391" i="11"/>
  <c r="K390" i="11"/>
  <c r="K389" i="11"/>
  <c r="K388" i="11"/>
  <c r="K387" i="11"/>
  <c r="K386" i="11"/>
  <c r="K385" i="11"/>
  <c r="K384" i="11"/>
  <c r="K383" i="11"/>
  <c r="K382" i="11"/>
  <c r="K381" i="11"/>
  <c r="K380" i="11"/>
  <c r="K379" i="11"/>
  <c r="K378" i="11"/>
  <c r="K377" i="11"/>
  <c r="K376" i="11"/>
  <c r="K375" i="11"/>
  <c r="K374" i="11"/>
  <c r="K373" i="11"/>
  <c r="K372" i="11"/>
  <c r="K371" i="11"/>
  <c r="K370" i="11"/>
  <c r="K369" i="11"/>
  <c r="K368" i="11"/>
  <c r="K367" i="11"/>
  <c r="K366" i="11"/>
  <c r="K365" i="11"/>
  <c r="K364" i="11"/>
  <c r="K363" i="11"/>
  <c r="K362" i="11"/>
  <c r="K361" i="11"/>
  <c r="K360" i="11"/>
  <c r="K359" i="11"/>
  <c r="K358" i="11"/>
  <c r="K357" i="11"/>
  <c r="K356" i="11"/>
  <c r="K355" i="11"/>
  <c r="K354" i="11"/>
  <c r="K353" i="11"/>
  <c r="K352" i="11"/>
  <c r="K351" i="11"/>
  <c r="K350" i="11"/>
  <c r="K349" i="11"/>
  <c r="K348" i="11"/>
  <c r="K347" i="11"/>
  <c r="K346" i="11"/>
  <c r="K345" i="11"/>
  <c r="K344" i="11"/>
  <c r="K343" i="11"/>
  <c r="K342" i="11"/>
  <c r="K341" i="11"/>
  <c r="K340" i="11"/>
  <c r="K339" i="11"/>
  <c r="K338" i="11"/>
  <c r="K337" i="11"/>
  <c r="K336" i="11"/>
  <c r="K335" i="11"/>
  <c r="K334" i="11"/>
  <c r="K333" i="11"/>
  <c r="K332" i="11"/>
  <c r="K331" i="11"/>
  <c r="K330" i="11"/>
  <c r="K329" i="11"/>
  <c r="K328" i="11"/>
  <c r="K327" i="11"/>
  <c r="K326" i="11"/>
  <c r="K325" i="11"/>
  <c r="K324" i="11"/>
  <c r="K323" i="11"/>
  <c r="K322" i="11"/>
  <c r="K321" i="11"/>
  <c r="K320" i="11"/>
  <c r="K319" i="11"/>
  <c r="K318" i="11"/>
  <c r="K317" i="11"/>
  <c r="K316" i="11"/>
  <c r="K315" i="11"/>
  <c r="K314" i="11"/>
  <c r="K313" i="11"/>
  <c r="K312" i="11"/>
  <c r="K311" i="11"/>
  <c r="K310" i="11"/>
  <c r="K309" i="11"/>
  <c r="K308" i="11"/>
  <c r="K307" i="11"/>
  <c r="K306" i="11"/>
  <c r="K305" i="11"/>
  <c r="K304" i="11"/>
  <c r="K303" i="11"/>
  <c r="K302" i="11"/>
  <c r="K301" i="11"/>
  <c r="K300" i="11"/>
  <c r="K299" i="11"/>
  <c r="K298" i="11"/>
  <c r="K297" i="11"/>
  <c r="K296" i="11"/>
  <c r="K295" i="11"/>
  <c r="K294" i="11"/>
  <c r="K293" i="11"/>
  <c r="K292" i="11"/>
  <c r="K291" i="11"/>
  <c r="K290" i="11"/>
  <c r="K289" i="11"/>
  <c r="K288" i="11"/>
  <c r="K287" i="11"/>
  <c r="K286" i="11"/>
  <c r="K285" i="11"/>
  <c r="K284" i="11"/>
  <c r="K283" i="11"/>
  <c r="K282" i="11"/>
  <c r="K281" i="11"/>
  <c r="K280" i="11"/>
  <c r="K279" i="11"/>
  <c r="K278" i="11"/>
  <c r="K277" i="11"/>
  <c r="K276" i="11"/>
  <c r="K275" i="11"/>
  <c r="K274" i="11"/>
  <c r="K273" i="11"/>
  <c r="K272" i="11"/>
  <c r="K271" i="11"/>
  <c r="K270" i="11"/>
  <c r="K269" i="11"/>
  <c r="K268" i="11"/>
  <c r="K267" i="11"/>
  <c r="K266" i="11"/>
  <c r="K265" i="11"/>
  <c r="K264" i="11"/>
  <c r="K263" i="11"/>
  <c r="K262" i="11"/>
  <c r="K261" i="11"/>
  <c r="K260" i="11"/>
  <c r="K259" i="11"/>
  <c r="K258" i="11"/>
  <c r="K257" i="11"/>
  <c r="K256" i="11"/>
  <c r="K255" i="11"/>
  <c r="K254" i="11"/>
  <c r="K253" i="11"/>
  <c r="K252" i="11"/>
  <c r="K251" i="11"/>
  <c r="K250" i="11"/>
  <c r="K249" i="11"/>
  <c r="K248" i="11"/>
  <c r="K247" i="11"/>
  <c r="K246" i="11"/>
  <c r="K245" i="11"/>
  <c r="K244" i="11"/>
  <c r="K243" i="11"/>
  <c r="K242" i="11"/>
  <c r="K241" i="11"/>
  <c r="K240" i="11"/>
  <c r="K239" i="11"/>
  <c r="K238" i="11"/>
  <c r="K237" i="11"/>
  <c r="K236" i="11"/>
  <c r="K235" i="11"/>
  <c r="K234" i="11"/>
  <c r="K233" i="11"/>
  <c r="K232" i="11"/>
  <c r="K231" i="11"/>
  <c r="K230" i="11"/>
  <c r="K229"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4" i="11"/>
  <c r="K113" i="11"/>
  <c r="K112" i="11"/>
  <c r="K111" i="11"/>
  <c r="K110" i="11"/>
  <c r="K109" i="11"/>
  <c r="K108"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E16" i="8" l="1"/>
  <c r="L27" i="2"/>
  <c r="J27" i="2"/>
  <c r="I27" i="2"/>
  <c r="K27" i="2"/>
  <c r="E52" i="1" l="1"/>
  <c r="I24" i="1"/>
  <c r="H4" i="4"/>
  <c r="N4" i="4" l="1"/>
  <c r="N5" i="4"/>
  <c r="J36" i="4"/>
  <c r="D34" i="5"/>
  <c r="K29" i="5"/>
  <c r="K28" i="5"/>
  <c r="K27" i="5"/>
  <c r="J30" i="5"/>
  <c r="I30" i="5"/>
  <c r="H30" i="5"/>
  <c r="J24" i="5"/>
  <c r="I24" i="5"/>
  <c r="H24" i="5"/>
  <c r="K22" i="5"/>
  <c r="K21" i="5"/>
  <c r="J18" i="5"/>
  <c r="I18" i="5"/>
  <c r="H18" i="5"/>
  <c r="K17" i="5"/>
  <c r="K16" i="5"/>
  <c r="K15" i="5"/>
  <c r="J12" i="5"/>
  <c r="I12" i="5"/>
  <c r="H12" i="5"/>
  <c r="M26" i="5"/>
  <c r="M20" i="5"/>
  <c r="M14" i="5"/>
  <c r="M8" i="5"/>
  <c r="K9" i="5"/>
  <c r="A7100" i="1" l="1"/>
  <c r="A6884" i="1"/>
  <c r="A7195" i="1"/>
  <c r="A7123" i="1"/>
  <c r="A6307" i="1"/>
  <c r="A6618" i="1"/>
  <c r="A6989" i="1"/>
  <c r="A5513" i="1"/>
  <c r="A6028" i="1"/>
  <c r="A6723" i="1"/>
  <c r="A7305" i="1"/>
  <c r="A6681" i="1"/>
  <c r="A6009" i="1"/>
  <c r="A5638" i="1"/>
  <c r="A5572" i="1"/>
  <c r="A6361" i="1"/>
  <c r="A3880" i="1"/>
  <c r="A3772" i="1"/>
  <c r="A5902" i="1"/>
  <c r="A5246" i="1"/>
  <c r="A6767" i="1"/>
  <c r="A6094" i="1"/>
  <c r="A3563" i="1"/>
  <c r="A3513" i="1"/>
  <c r="A3356" i="1"/>
  <c r="A2876" i="1"/>
  <c r="A4363" i="1"/>
  <c r="A3305" i="1"/>
  <c r="A2921" i="1"/>
  <c r="A3460" i="1"/>
  <c r="A3986" i="1"/>
  <c r="A3717" i="1"/>
  <c r="A5030" i="1"/>
  <c r="A3254" i="1"/>
  <c r="A2966" i="1"/>
  <c r="A2702" i="1"/>
  <c r="A2831" i="1"/>
  <c r="A4590" i="1"/>
  <c r="A3407" i="1"/>
  <c r="A2462" i="1"/>
  <c r="A2246" i="1"/>
  <c r="A2114" i="1"/>
  <c r="A1982" i="1"/>
  <c r="A1850" i="1"/>
  <c r="A1718" i="1"/>
  <c r="A4161" i="1"/>
  <c r="A3060" i="1"/>
  <c r="A4797" i="1"/>
  <c r="A2745" i="1"/>
  <c r="A4426" i="1"/>
  <c r="A3666" i="1"/>
  <c r="A3107" i="1"/>
  <c r="A7045" i="1"/>
  <c r="A4098" i="1"/>
  <c r="A3615" i="1"/>
  <c r="A3205" i="1"/>
  <c r="A2081" i="1"/>
  <c r="A1916" i="1"/>
  <c r="A1298" i="1"/>
  <c r="A2351" i="1"/>
  <c r="A3830" i="1"/>
  <c r="A2147" i="1"/>
  <c r="A1817" i="1"/>
  <c r="A2501" i="1"/>
  <c r="A1883" i="1"/>
  <c r="A1510" i="1"/>
  <c r="A1198" i="1"/>
  <c r="A2579" i="1"/>
  <c r="A2388" i="1"/>
  <c r="A2281" i="1"/>
  <c r="A2213" i="1"/>
  <c r="A2048" i="1"/>
  <c r="A2661" i="1"/>
  <c r="A3932" i="1"/>
  <c r="A2540" i="1"/>
  <c r="A2180" i="1"/>
  <c r="A1636" i="1"/>
  <c r="A3156" i="1"/>
  <c r="A1669" i="1"/>
  <c r="A2316" i="1"/>
  <c r="A1784" i="1"/>
  <c r="A1323" i="1"/>
  <c r="A2425" i="1"/>
  <c r="A1949" i="1"/>
  <c r="A1348" i="1"/>
  <c r="A2015" i="1"/>
  <c r="A1401" i="1"/>
  <c r="A1374" i="1"/>
  <c r="A1223" i="1"/>
  <c r="A1455" i="1"/>
  <c r="A1428" i="1"/>
  <c r="A2788" i="1"/>
  <c r="A3013" i="1"/>
  <c r="A2620" i="1"/>
  <c r="A1603" i="1"/>
  <c r="A1173" i="1"/>
  <c r="A1148" i="1"/>
  <c r="A1572" i="1"/>
  <c r="A1248" i="1"/>
  <c r="A1541" i="1"/>
  <c r="A1273" i="1"/>
  <c r="A1482" i="1"/>
  <c r="A1751" i="1"/>
  <c r="A1099" i="1"/>
  <c r="A1123" i="1"/>
  <c r="D67" i="1"/>
  <c r="R67" i="1" s="1"/>
  <c r="G110" i="1"/>
  <c r="G110" i="15" s="1"/>
  <c r="K103" i="15" s="1"/>
  <c r="J103" i="15" s="1"/>
  <c r="H22" i="15"/>
  <c r="K94" i="15" s="1"/>
  <c r="H22" i="1"/>
  <c r="K94" i="1" s="1"/>
  <c r="F55" i="10" s="1"/>
  <c r="A44" i="8"/>
  <c r="E48" i="8"/>
  <c r="R67" i="15" l="1"/>
  <c r="E33" i="17"/>
  <c r="I103" i="15"/>
  <c r="K95" i="15"/>
  <c r="J102" i="15"/>
  <c r="K102" i="15" s="1"/>
  <c r="K95" i="1"/>
  <c r="F56" i="10" s="1"/>
  <c r="H3" i="8"/>
  <c r="H103" i="15" l="1"/>
  <c r="K98" i="15"/>
  <c r="L92" i="15" s="1"/>
  <c r="F31" i="1"/>
  <c r="G30" i="1"/>
  <c r="G29" i="1"/>
  <c r="G28" i="1"/>
  <c r="F28" i="1"/>
  <c r="F30" i="1"/>
  <c r="F29" i="1"/>
  <c r="M65" i="1" l="1"/>
  <c r="E31" i="17"/>
  <c r="L94" i="15"/>
  <c r="K104" i="15"/>
  <c r="L85" i="15"/>
  <c r="L86" i="15"/>
  <c r="L90" i="15"/>
  <c r="L87" i="15"/>
  <c r="L93" i="15"/>
  <c r="L91" i="15"/>
  <c r="L88" i="15"/>
  <c r="L89" i="15"/>
  <c r="K97" i="15"/>
  <c r="D132" i="15" s="1"/>
  <c r="L95" i="15"/>
  <c r="P32" i="9"/>
  <c r="O32" i="9"/>
  <c r="N32" i="9"/>
  <c r="M32" i="9"/>
  <c r="L32" i="9"/>
  <c r="K32" i="9"/>
  <c r="J32" i="9"/>
  <c r="I32" i="9"/>
  <c r="H32" i="9"/>
  <c r="H132" i="15" l="1"/>
  <c r="P132" i="15"/>
  <c r="L98" i="15"/>
  <c r="A8" i="8"/>
  <c r="E33" i="8"/>
  <c r="E32" i="8"/>
  <c r="E31" i="8"/>
  <c r="A9" i="8"/>
  <c r="E5" i="8" s="1"/>
  <c r="Q21" i="8"/>
  <c r="R20" i="8"/>
  <c r="R17" i="8" s="1"/>
  <c r="E7" i="8" l="1"/>
  <c r="A59" i="8"/>
  <c r="A60" i="8" s="1"/>
  <c r="A51" i="8"/>
  <c r="E20" i="8"/>
  <c r="E19" i="8"/>
  <c r="A17" i="8"/>
  <c r="A16" i="8"/>
  <c r="J19" i="1"/>
  <c r="H10" i="8"/>
  <c r="E45" i="8" l="1"/>
  <c r="J38" i="6"/>
  <c r="I38" i="6"/>
  <c r="H38" i="6"/>
  <c r="G38" i="6"/>
  <c r="F38" i="6"/>
  <c r="E38" i="6"/>
  <c r="D38" i="6"/>
  <c r="C38" i="6"/>
  <c r="H119" i="1"/>
  <c r="N27" i="2" l="1"/>
  <c r="D101" i="1"/>
  <c r="H92" i="1" l="1"/>
  <c r="A7244" i="1"/>
  <c r="A7184" i="1"/>
  <c r="A7064" i="1"/>
  <c r="A6980" i="1"/>
  <c r="A6932" i="1"/>
  <c r="A6848" i="1"/>
  <c r="A6752" i="1"/>
  <c r="A6656" i="1"/>
  <c r="A6512" i="1"/>
  <c r="A6404" i="1"/>
  <c r="A6296" i="1"/>
  <c r="A6200" i="1"/>
  <c r="A6056" i="1"/>
  <c r="A5912" i="1"/>
  <c r="A5864" i="1"/>
  <c r="A7375" i="1"/>
  <c r="A7351" i="1"/>
  <c r="A7267" i="1"/>
  <c r="A7159" i="1"/>
  <c r="A7039" i="1"/>
  <c r="A6823" i="1"/>
  <c r="A6763" i="1"/>
  <c r="A6607" i="1"/>
  <c r="A6427" i="1"/>
  <c r="A6379" i="1"/>
  <c r="A6355" i="1"/>
  <c r="A6271" i="1"/>
  <c r="A6115" i="1"/>
  <c r="A5971" i="1"/>
  <c r="A5935" i="1"/>
  <c r="A5659" i="1"/>
  <c r="A5563" i="1"/>
  <c r="A7242" i="1"/>
  <c r="A7098" i="1"/>
  <c r="A6978" i="1"/>
  <c r="A6846" i="1"/>
  <c r="A6654" i="1"/>
  <c r="A6582" i="1"/>
  <c r="A6558" i="1"/>
  <c r="A6510" i="1"/>
  <c r="A6246" i="1"/>
  <c r="A6198" i="1"/>
  <c r="A6090" i="1"/>
  <c r="A5898" i="1"/>
  <c r="A5838" i="1"/>
  <c r="A5742" i="1"/>
  <c r="A7409" i="1"/>
  <c r="A7349" i="1"/>
  <c r="A7301" i="1"/>
  <c r="A7217" i="1"/>
  <c r="A7157" i="1"/>
  <c r="A6953" i="1"/>
  <c r="A6929" i="1"/>
  <c r="A6821" i="1"/>
  <c r="A6761" i="1"/>
  <c r="A6713" i="1"/>
  <c r="A6677" i="1"/>
  <c r="A6461" i="1"/>
  <c r="A6377" i="1"/>
  <c r="A6269" i="1"/>
  <c r="A6149" i="1"/>
  <c r="A6005" i="1"/>
  <c r="A5813" i="1"/>
  <c r="A5789" i="1"/>
  <c r="A5657" i="1"/>
  <c r="A5561" i="1"/>
  <c r="A5477" i="1"/>
  <c r="A5237" i="1"/>
  <c r="A5021" i="1"/>
  <c r="A7324" i="1"/>
  <c r="A7096" i="1"/>
  <c r="A7036" i="1"/>
  <c r="A6880" i="1"/>
  <c r="A6796" i="1"/>
  <c r="A6580" i="1"/>
  <c r="A6556" i="1"/>
  <c r="A6352" i="1"/>
  <c r="A6244" i="1"/>
  <c r="A6088" i="1"/>
  <c r="A5896" i="1"/>
  <c r="A7407" i="1"/>
  <c r="A7299" i="1"/>
  <c r="A7215" i="1"/>
  <c r="A7191" i="1"/>
  <c r="A7119" i="1"/>
  <c r="A6951" i="1"/>
  <c r="A6927" i="1"/>
  <c r="A6711" i="1"/>
  <c r="A6675" i="1"/>
  <c r="A6651" i="1"/>
  <c r="A6531" i="1"/>
  <c r="A6507" i="1"/>
  <c r="A6459" i="1"/>
  <c r="A6411" i="1"/>
  <c r="A6303" i="1"/>
  <c r="A6219" i="1"/>
  <c r="A6195" i="1"/>
  <c r="A6147" i="1"/>
  <c r="A6003" i="1"/>
  <c r="A5919" i="1"/>
  <c r="A5811" i="1"/>
  <c r="A5787" i="1"/>
  <c r="A5691" i="1"/>
  <c r="A7322" i="1"/>
  <c r="A7034" i="1"/>
  <c r="A6902" i="1"/>
  <c r="A6878" i="1"/>
  <c r="A6794" i="1"/>
  <c r="A6674" i="1"/>
  <c r="A6614" i="1"/>
  <c r="A6350" i="1"/>
  <c r="A7402" i="1"/>
  <c r="A7377" i="1"/>
  <c r="A7269" i="1"/>
  <c r="A7041" i="1"/>
  <c r="A6873" i="1"/>
  <c r="A6717" i="1"/>
  <c r="A6609" i="1"/>
  <c r="A6561" i="1"/>
  <c r="A6429" i="1"/>
  <c r="A6357" i="1"/>
  <c r="A6249" i="1"/>
  <c r="A6117" i="1"/>
  <c r="A5973" i="1"/>
  <c r="A5937" i="1"/>
  <c r="A7189" i="1"/>
  <c r="A6505" i="1"/>
  <c r="A6251" i="1"/>
  <c r="A5792" i="1"/>
  <c r="A5735" i="1"/>
  <c r="A5602" i="1"/>
  <c r="A5534" i="1"/>
  <c r="A5507" i="1"/>
  <c r="A5406" i="1"/>
  <c r="A5240" i="1"/>
  <c r="A5026" i="1"/>
  <c r="A4976" i="1"/>
  <c r="A4793" i="1"/>
  <c r="A4709" i="1"/>
  <c r="A4661" i="1"/>
  <c r="A4493" i="1"/>
  <c r="A4445" i="1"/>
  <c r="A4205" i="1"/>
  <c r="A4013" i="1"/>
  <c r="A3953" i="1"/>
  <c r="A3929" i="1"/>
  <c r="A6480" i="1"/>
  <c r="A6409" i="1"/>
  <c r="A6298" i="1"/>
  <c r="A5893" i="1"/>
  <c r="A5710" i="1"/>
  <c r="A5303" i="1"/>
  <c r="A5137" i="1"/>
  <c r="A5087" i="1"/>
  <c r="A4926" i="1"/>
  <c r="A4840" i="1"/>
  <c r="A4636" i="1"/>
  <c r="A4552" i="1"/>
  <c r="A4420" i="1"/>
  <c r="A4360" i="1"/>
  <c r="A4228" i="1"/>
  <c r="A4180" i="1"/>
  <c r="A7296" i="1"/>
  <c r="A7249" i="1"/>
  <c r="A6900" i="1"/>
  <c r="A6828" i="1"/>
  <c r="A6456" i="1"/>
  <c r="A5600" i="1"/>
  <c r="A5454" i="1"/>
  <c r="A5353" i="1"/>
  <c r="A5187" i="1"/>
  <c r="A5024" i="1"/>
  <c r="A4974" i="1"/>
  <c r="A4791" i="1"/>
  <c r="A4743" i="1"/>
  <c r="A4659" i="1"/>
  <c r="A7186" i="1"/>
  <c r="A7009" i="1"/>
  <c r="A6875" i="1"/>
  <c r="A6478" i="1"/>
  <c r="A5891" i="1"/>
  <c r="A5845" i="1"/>
  <c r="A5708" i="1"/>
  <c r="A5689" i="1"/>
  <c r="A5504" i="1"/>
  <c r="A5403" i="1"/>
  <c r="A5301" i="1"/>
  <c r="A5135" i="1"/>
  <c r="A5085" i="1"/>
  <c r="A4924" i="1"/>
  <c r="A4874" i="1"/>
  <c r="A7294" i="1"/>
  <c r="A7247" i="1"/>
  <c r="A6826" i="1"/>
  <c r="A6719" i="1"/>
  <c r="A6612" i="1"/>
  <c r="A6454" i="1"/>
  <c r="A6406" i="1"/>
  <c r="A6000" i="1"/>
  <c r="A5917" i="1"/>
  <c r="A5866" i="1"/>
  <c r="A5762" i="1"/>
  <c r="A5634" i="1"/>
  <c r="A5568" i="1"/>
  <c r="A5452" i="1"/>
  <c r="A5351" i="1"/>
  <c r="A5276" i="1"/>
  <c r="A5235" i="1"/>
  <c r="A5185" i="1"/>
  <c r="A5110" i="1"/>
  <c r="A5060" i="1"/>
  <c r="A4825" i="1"/>
  <c r="A4741" i="1"/>
  <c r="A4693" i="1"/>
  <c r="A4609" i="1"/>
  <c r="A4525" i="1"/>
  <c r="A4393" i="1"/>
  <c r="A4357" i="1"/>
  <c r="A4153" i="1"/>
  <c r="A7356" i="1"/>
  <c r="A7093" i="1"/>
  <c r="A7007" i="1"/>
  <c r="A6985" i="1"/>
  <c r="A6563" i="1"/>
  <c r="A6085" i="1"/>
  <c r="A5843" i="1"/>
  <c r="A5502" i="1"/>
  <c r="A5427" i="1"/>
  <c r="A5401" i="1"/>
  <c r="A5326" i="1"/>
  <c r="A5210" i="1"/>
  <c r="A5160" i="1"/>
  <c r="A4971" i="1"/>
  <c r="A4872" i="1"/>
  <c r="A4788" i="1"/>
  <c r="A4584" i="1"/>
  <c r="A4260" i="1"/>
  <c r="A7404" i="1"/>
  <c r="A6649" i="1"/>
  <c r="A6217" i="1"/>
  <c r="A5998" i="1"/>
  <c r="A5760" i="1"/>
  <c r="A5686" i="1"/>
  <c r="A5632" i="1"/>
  <c r="A5566" i="1"/>
  <c r="A5376" i="1"/>
  <c r="A5274" i="1"/>
  <c r="A5108" i="1"/>
  <c r="A5058" i="1"/>
  <c r="A5019" i="1"/>
  <c r="A4921" i="1"/>
  <c r="A4691" i="1"/>
  <c r="A4607" i="1"/>
  <c r="A4475" i="1"/>
  <c r="A4391" i="1"/>
  <c r="A4355" i="1"/>
  <c r="A4307" i="1"/>
  <c r="A6301" i="1"/>
  <c r="A6166" i="1"/>
  <c r="A5794" i="1"/>
  <c r="A5737" i="1"/>
  <c r="A5536" i="1"/>
  <c r="A5509" i="1"/>
  <c r="A5408" i="1"/>
  <c r="A5306" i="1"/>
  <c r="A5242" i="1"/>
  <c r="A5140" i="1"/>
  <c r="A5090" i="1"/>
  <c r="A4942" i="1"/>
  <c r="A4867" i="1"/>
  <c r="A4759" i="1"/>
  <c r="A4711" i="1"/>
  <c r="A4639" i="1"/>
  <c r="A4579" i="1"/>
  <c r="A4495" i="1"/>
  <c r="A6168" i="1"/>
  <c r="A6083" i="1"/>
  <c r="A5092" i="1"/>
  <c r="A4443" i="1"/>
  <c r="A4230" i="1"/>
  <c r="A4095" i="1"/>
  <c r="A3980" i="1"/>
  <c r="A3877" i="1"/>
  <c r="A3802" i="1"/>
  <c r="A3333" i="1"/>
  <c r="A2949" i="1"/>
  <c r="A6672" i="1"/>
  <c r="A6325" i="1"/>
  <c r="A6058" i="1"/>
  <c r="A5192" i="1"/>
  <c r="A5142" i="1"/>
  <c r="A4423" i="1"/>
  <c r="A3927" i="1"/>
  <c r="A3852" i="1"/>
  <c r="A3588" i="1"/>
  <c r="A3538" i="1"/>
  <c r="A3488" i="1"/>
  <c r="A3284" i="1"/>
  <c r="A2996" i="1"/>
  <c r="A2816" i="1"/>
  <c r="A2732" i="1"/>
  <c r="A7091" i="1"/>
  <c r="A5840" i="1"/>
  <c r="A5684" i="1"/>
  <c r="A4586" i="1"/>
  <c r="A4305" i="1"/>
  <c r="A4158" i="1"/>
  <c r="A4042" i="1"/>
  <c r="A3978" i="1"/>
  <c r="A3902" i="1"/>
  <c r="A3800" i="1"/>
  <c r="A3235" i="1"/>
  <c r="A3043" i="1"/>
  <c r="A7354" i="1"/>
  <c r="A7066" i="1"/>
  <c r="A6934" i="1"/>
  <c r="A6754" i="1"/>
  <c r="A6323" i="1"/>
  <c r="A5190" i="1"/>
  <c r="A4994" i="1"/>
  <c r="A4522" i="1"/>
  <c r="A4280" i="1"/>
  <c r="A4210" i="1"/>
  <c r="A4092" i="1"/>
  <c r="A3850" i="1"/>
  <c r="A3282" i="1"/>
  <c r="A3186" i="1"/>
  <c r="A3090" i="1"/>
  <c r="A2994" i="1"/>
  <c r="A2730" i="1"/>
  <c r="A5459" i="1"/>
  <c r="A5358" i="1"/>
  <c r="A5308" i="1"/>
  <c r="A4786" i="1"/>
  <c r="A4738" i="1"/>
  <c r="A4040" i="1"/>
  <c r="A3951" i="1"/>
  <c r="A3900" i="1"/>
  <c r="A3769" i="1"/>
  <c r="A3437" i="1"/>
  <c r="A3233" i="1"/>
  <c r="A3137" i="1"/>
  <c r="A3041" i="1"/>
  <c r="A2861" i="1"/>
  <c r="A2609" i="1"/>
  <c r="A5629" i="1"/>
  <c r="A4992" i="1"/>
  <c r="A4969" i="1"/>
  <c r="A4919" i="1"/>
  <c r="A4761" i="1"/>
  <c r="A4688" i="1"/>
  <c r="A4520" i="1"/>
  <c r="A4418" i="1"/>
  <c r="A4278" i="1"/>
  <c r="A4155" i="1"/>
  <c r="A4090" i="1"/>
  <c r="A4015" i="1"/>
  <c r="A3744" i="1"/>
  <c r="A3184" i="1"/>
  <c r="A3088" i="1"/>
  <c r="A5457" i="1"/>
  <c r="A5356" i="1"/>
  <c r="A4944" i="1"/>
  <c r="A4894" i="1"/>
  <c r="A4736" i="1"/>
  <c r="A4641" i="1"/>
  <c r="A4581" i="1"/>
  <c r="A4207" i="1"/>
  <c r="A4065" i="1"/>
  <c r="A3435" i="1"/>
  <c r="A3135" i="1"/>
  <c r="A2859" i="1"/>
  <c r="A2775" i="1"/>
  <c r="A2691" i="1"/>
  <c r="A6983" i="1"/>
  <c r="A5627" i="1"/>
  <c r="A5208" i="1"/>
  <c r="A4686" i="1"/>
  <c r="A4128" i="1"/>
  <c r="A3742" i="1"/>
  <c r="A3692" i="1"/>
  <c r="A3386" i="1"/>
  <c r="A2906" i="1"/>
  <c r="A6529" i="1"/>
  <c r="A6144" i="1"/>
  <c r="A5914" i="1"/>
  <c r="A4869" i="1"/>
  <c r="A4045" i="1"/>
  <c r="A3827" i="1"/>
  <c r="A3384" i="1"/>
  <c r="A4470" i="1"/>
  <c r="A2818" i="1"/>
  <c r="A2379" i="1"/>
  <c r="A2175" i="1"/>
  <c r="A2043" i="1"/>
  <c r="A1911" i="1"/>
  <c r="A1779" i="1"/>
  <c r="A6142" i="1"/>
  <c r="A5425" i="1"/>
  <c r="A4892" i="1"/>
  <c r="A4842" i="1"/>
  <c r="A4310" i="1"/>
  <c r="A2904" i="1"/>
  <c r="A2210" i="1"/>
  <c r="A2078" i="1"/>
  <c r="A1946" i="1"/>
  <c r="A1814" i="1"/>
  <c r="A5158" i="1"/>
  <c r="A6193" i="1"/>
  <c r="A4257" i="1"/>
  <c r="A4063" i="1"/>
  <c r="A5475" i="1"/>
  <c r="A5324" i="1"/>
  <c r="A4527" i="1"/>
  <c r="A4554" i="1"/>
  <c r="A4126" i="1"/>
  <c r="A2492" i="1"/>
  <c r="A2381" i="1"/>
  <c r="A2274" i="1"/>
  <c r="A2012" i="1"/>
  <c r="A1697" i="1"/>
  <c r="A1538" i="1"/>
  <c r="A3983" i="1"/>
  <c r="A3590" i="1"/>
  <c r="A2177" i="1"/>
  <c r="A1845" i="1"/>
  <c r="A1633" i="1"/>
  <c r="A4178" i="1"/>
  <c r="A3641" i="1"/>
  <c r="A2689" i="1"/>
  <c r="A2570" i="1"/>
  <c r="A2490" i="1"/>
  <c r="A2418" i="1"/>
  <c r="A2311" i="1"/>
  <c r="A2243" i="1"/>
  <c r="A2010" i="1"/>
  <c r="A1748" i="1"/>
  <c r="A4255" i="1"/>
  <c r="A3335" i="1"/>
  <c r="A2951" i="1"/>
  <c r="A1913" i="1"/>
  <c r="A4472" i="1"/>
  <c r="A3690" i="1"/>
  <c r="A3639" i="1"/>
  <c r="A2568" i="1"/>
  <c r="A2416" i="1"/>
  <c r="A2309" i="1"/>
  <c r="A2241" i="1"/>
  <c r="A2076" i="1"/>
  <c r="A1979" i="1"/>
  <c r="A1746" i="1"/>
  <c r="A2650" i="1"/>
  <c r="A2144" i="1"/>
  <c r="A1666" i="1"/>
  <c r="A1569" i="1"/>
  <c r="A4330" i="1"/>
  <c r="A2455" i="1"/>
  <c r="A2346" i="1"/>
  <c r="A1977" i="1"/>
  <c r="A5374" i="1"/>
  <c r="A5740" i="1"/>
  <c r="A4634" i="1"/>
  <c r="A3540" i="1"/>
  <c r="A2773" i="1"/>
  <c r="A2276" i="1"/>
  <c r="A1781" i="1"/>
  <c r="A1600" i="1"/>
  <c r="A3490" i="1"/>
  <c r="A2529" i="1"/>
  <c r="A2344" i="1"/>
  <c r="A1847" i="1"/>
  <c r="A1631" i="1"/>
  <c r="A4328" i="1"/>
  <c r="A2453" i="1"/>
  <c r="A2142" i="1"/>
  <c r="A2045" i="1"/>
  <c r="A1664" i="1"/>
  <c r="A1715" i="1"/>
  <c r="A2111" i="1"/>
  <c r="A2648" i="1"/>
  <c r="A2607" i="1"/>
  <c r="A2208" i="1"/>
  <c r="A1713" i="1"/>
  <c r="A1812" i="1"/>
  <c r="A2109" i="1"/>
  <c r="A2531" i="1"/>
  <c r="A1944" i="1"/>
  <c r="A1880" i="1"/>
  <c r="A1878" i="1"/>
  <c r="A4487" i="1"/>
  <c r="A1707" i="1"/>
  <c r="A2004" i="1"/>
  <c r="A6160" i="1"/>
  <c r="A3633" i="1"/>
  <c r="A1345" i="1"/>
  <c r="A1097" i="1"/>
  <c r="A5929" i="1"/>
  <c r="A1691" i="1"/>
  <c r="A7369" i="1"/>
  <c r="A4057" i="1"/>
  <c r="A1295" i="1"/>
  <c r="A5318" i="1"/>
  <c r="A2988" i="1"/>
  <c r="A3794" i="1"/>
  <c r="A4986" i="1"/>
  <c r="A3129" i="1"/>
  <c r="A1245" i="1"/>
  <c r="A1220" i="1"/>
  <c r="A5805" i="1"/>
  <c r="A5368" i="1"/>
  <c r="A6317" i="1"/>
  <c r="A7209" i="1"/>
  <c r="A3178" i="1"/>
  <c r="A5754" i="1"/>
  <c r="A1905" i="1"/>
  <c r="A6746" i="1"/>
  <c r="A1740" i="1"/>
  <c r="A1773" i="1"/>
  <c r="A2810" i="1"/>
  <c r="A2268" i="1"/>
  <c r="A6666" i="1"/>
  <c r="A2338" i="1"/>
  <c r="A5702" i="1"/>
  <c r="A6263" i="1"/>
  <c r="A2943" i="1"/>
  <c r="A3378" i="1"/>
  <c r="A6945" i="1"/>
  <c r="A4601" i="1"/>
  <c r="A2136" i="1"/>
  <c r="A4886" i="1"/>
  <c r="A2683" i="1"/>
  <c r="A1477" i="1"/>
  <c r="A6421" i="1"/>
  <c r="A2484" i="1"/>
  <c r="A1504" i="1"/>
  <c r="A4120" i="1"/>
  <c r="A4322" i="1"/>
  <c r="A4222" i="1"/>
  <c r="A6574" i="1"/>
  <c r="A5858" i="1"/>
  <c r="A1170" i="1"/>
  <c r="A6371" i="1"/>
  <c r="A1532" i="1"/>
  <c r="A1396" i="1"/>
  <c r="A2447" i="1"/>
  <c r="A4172" i="1"/>
  <c r="A2642" i="1"/>
  <c r="A3582" i="1"/>
  <c r="A5651" i="1"/>
  <c r="A1806" i="1"/>
  <c r="A5594" i="1"/>
  <c r="A1625" i="1"/>
  <c r="A4936" i="1"/>
  <c r="A3035" i="1"/>
  <c r="A6894" i="1"/>
  <c r="A3227" i="1"/>
  <c r="A1075" i="1"/>
  <c r="A4546" i="1"/>
  <c r="A7001" i="1"/>
  <c r="A1270" i="1"/>
  <c r="A4272" i="1"/>
  <c r="A3894" i="1"/>
  <c r="A2103" i="1"/>
  <c r="A2601" i="1"/>
  <c r="A5202" i="1"/>
  <c r="A2767" i="1"/>
  <c r="A5419" i="1"/>
  <c r="A3482" i="1"/>
  <c r="A3844" i="1"/>
  <c r="A6050" i="1"/>
  <c r="A4653" i="1"/>
  <c r="A4753" i="1"/>
  <c r="A6211" i="1"/>
  <c r="A7151" i="1"/>
  <c r="A5268" i="1"/>
  <c r="A3429" i="1"/>
  <c r="A7316" i="1"/>
  <c r="A1121" i="1"/>
  <c r="A7261" i="1"/>
  <c r="A4834" i="1"/>
  <c r="A6705" i="1"/>
  <c r="A3684" i="1"/>
  <c r="A5152" i="1"/>
  <c r="A1032" i="1"/>
  <c r="A2853" i="1"/>
  <c r="A2303" i="1"/>
  <c r="A2410" i="1"/>
  <c r="A1563" i="1"/>
  <c r="A6472" i="1"/>
  <c r="A1839" i="1"/>
  <c r="A4385" i="1"/>
  <c r="A2523" i="1"/>
  <c r="A3945" i="1"/>
  <c r="A5528" i="1"/>
  <c r="A1145" i="1"/>
  <c r="A4437" i="1"/>
  <c r="A6840" i="1"/>
  <c r="A1195" i="1"/>
  <c r="A1658" i="1"/>
  <c r="A2169" i="1"/>
  <c r="A5965" i="1"/>
  <c r="A1450" i="1"/>
  <c r="A3736" i="1"/>
  <c r="A6523" i="1"/>
  <c r="A1872" i="1"/>
  <c r="A1011" i="1"/>
  <c r="A2562" i="1"/>
  <c r="A5102" i="1"/>
  <c r="A2202" i="1"/>
  <c r="A1370" i="1"/>
  <c r="A2373" i="1"/>
  <c r="A3532" i="1"/>
  <c r="A2037" i="1"/>
  <c r="A1938" i="1"/>
  <c r="A1594" i="1"/>
  <c r="A4819" i="1"/>
  <c r="A5052" i="1"/>
  <c r="A6109" i="1"/>
  <c r="A2724" i="1"/>
  <c r="A1971" i="1"/>
  <c r="A1053" i="1"/>
  <c r="A5469" i="1"/>
  <c r="A3327" i="1"/>
  <c r="A6788" i="1"/>
  <c r="A2235" i="1"/>
  <c r="A1423" i="1"/>
  <c r="A1320" i="1"/>
  <c r="A7058" i="1"/>
  <c r="A4007" i="1"/>
  <c r="A3082" i="1"/>
  <c r="A3276" i="1"/>
  <c r="A2070" i="1"/>
  <c r="A4703" i="1"/>
  <c r="A2898" i="1"/>
  <c r="A10" i="17"/>
  <c r="E49" i="17"/>
  <c r="I105" i="1"/>
  <c r="G105" i="1"/>
  <c r="T10" i="15"/>
  <c r="T10" i="1"/>
  <c r="E49" i="8"/>
  <c r="A10" i="8"/>
  <c r="V136" i="2"/>
  <c r="V134" i="2"/>
  <c r="C39" i="2"/>
  <c r="T39" i="1" s="1"/>
  <c r="F43" i="4"/>
  <c r="F42" i="4"/>
  <c r="F41" i="4"/>
  <c r="F40" i="4"/>
  <c r="F39" i="4"/>
  <c r="F38" i="4"/>
  <c r="F37" i="4"/>
  <c r="F36" i="4"/>
  <c r="F35" i="4"/>
  <c r="F34" i="4"/>
  <c r="F33" i="4"/>
  <c r="F32" i="4"/>
  <c r="D43" i="4"/>
  <c r="D42" i="4"/>
  <c r="D41" i="4"/>
  <c r="D40" i="4"/>
  <c r="D39" i="4"/>
  <c r="D38" i="4"/>
  <c r="D37" i="4"/>
  <c r="D36" i="4"/>
  <c r="D35" i="4"/>
  <c r="D34" i="4"/>
  <c r="D33" i="4"/>
  <c r="D32" i="4"/>
  <c r="G33" i="4" l="1"/>
  <c r="G35" i="4"/>
  <c r="G36" i="4"/>
  <c r="G38" i="4"/>
  <c r="G37" i="4"/>
  <c r="G42" i="4"/>
  <c r="G41" i="4"/>
  <c r="G32" i="4"/>
  <c r="I103" i="1"/>
  <c r="K103" i="1"/>
  <c r="G43" i="4"/>
  <c r="G34" i="4"/>
  <c r="G39" i="4"/>
  <c r="G40" i="4"/>
  <c r="D109" i="1"/>
  <c r="D110" i="1" l="1"/>
  <c r="M110" i="1" s="1"/>
  <c r="D63" i="10"/>
  <c r="G18" i="12"/>
  <c r="G10" i="12" s="1"/>
  <c r="E6" i="4"/>
  <c r="E4" i="4"/>
  <c r="G64" i="15" s="1"/>
  <c r="D35" i="10"/>
  <c r="F17" i="10"/>
  <c r="J103" i="1"/>
  <c r="K10" i="1" l="1"/>
  <c r="K143" i="1" s="1"/>
  <c r="F32" i="1"/>
  <c r="G15" i="12"/>
  <c r="G5" i="12"/>
  <c r="G7" i="12"/>
  <c r="G8" i="12"/>
  <c r="G11" i="12"/>
  <c r="G12" i="12"/>
  <c r="G13" i="12"/>
  <c r="G14" i="12"/>
  <c r="G16" i="12"/>
  <c r="G6" i="12"/>
  <c r="G9" i="12"/>
  <c r="G64" i="1"/>
  <c r="G27" i="1"/>
  <c r="D34" i="1"/>
  <c r="I4" i="4"/>
  <c r="K10" i="15" l="1"/>
  <c r="K143" i="15" s="1"/>
  <c r="G17" i="12"/>
  <c r="M58" i="1"/>
  <c r="M57" i="1"/>
  <c r="M56" i="1"/>
  <c r="I40" i="1"/>
  <c r="M41" i="1" l="1"/>
  <c r="M40" i="1"/>
  <c r="F4" i="4"/>
  <c r="I23" i="1"/>
  <c r="H31" i="1"/>
  <c r="H30" i="1"/>
  <c r="H29" i="1"/>
  <c r="F119" i="1"/>
  <c r="A6040" i="1" l="1"/>
  <c r="A7118" i="1"/>
  <c r="A6021" i="1"/>
  <c r="A7141" i="1"/>
  <c r="A3784" i="1"/>
  <c r="A5584" i="1"/>
  <c r="A6695" i="1"/>
  <c r="A4536" i="1"/>
  <c r="A5042" i="1"/>
  <c r="A4809" i="1"/>
  <c r="A3368" i="1"/>
  <c r="A2888" i="1"/>
  <c r="A5258" i="1"/>
  <c r="A3317" i="1"/>
  <c r="A2933" i="1"/>
  <c r="A4375" i="1"/>
  <c r="A3472" i="1"/>
  <c r="A3266" i="1"/>
  <c r="A2978" i="1"/>
  <c r="A2714" i="1"/>
  <c r="A3168" i="1"/>
  <c r="A3217" i="1"/>
  <c r="A2474" i="1"/>
  <c r="A2258" i="1"/>
  <c r="A2126" i="1"/>
  <c r="A1994" i="1"/>
  <c r="A1862" i="1"/>
  <c r="A1730" i="1"/>
  <c r="A3025" i="1"/>
  <c r="A4110" i="1"/>
  <c r="A2843" i="1"/>
  <c r="A1310" i="1"/>
  <c r="A2552" i="1"/>
  <c r="A2093" i="1"/>
  <c r="A1928" i="1"/>
  <c r="A1763" i="1"/>
  <c r="A2800" i="1"/>
  <c r="A2632" i="1"/>
  <c r="A2363" i="1"/>
  <c r="A1829" i="1"/>
  <c r="A2757" i="1"/>
  <c r="A2159" i="1"/>
  <c r="A1522" i="1"/>
  <c r="A1210" i="1"/>
  <c r="A790" i="1"/>
  <c r="A754" i="1"/>
  <c r="A718" i="1"/>
  <c r="A2293" i="1"/>
  <c r="A3419" i="1"/>
  <c r="A2513" i="1"/>
  <c r="A2400" i="1"/>
  <c r="A2225" i="1"/>
  <c r="A2060" i="1"/>
  <c r="A2673" i="1"/>
  <c r="A2328" i="1"/>
  <c r="A1648" i="1"/>
  <c r="A3072" i="1"/>
  <c r="A2591" i="1"/>
  <c r="A1185" i="1"/>
  <c r="A1043" i="1"/>
  <c r="A772" i="1"/>
  <c r="A648" i="1"/>
  <c r="A600" i="1"/>
  <c r="A552" i="1"/>
  <c r="A480" i="1"/>
  <c r="A384" i="1"/>
  <c r="A276" i="1"/>
  <c r="A252" i="1"/>
  <c r="A204" i="1"/>
  <c r="A192" i="1"/>
  <c r="A180" i="1"/>
  <c r="A168" i="1"/>
  <c r="A371" i="1"/>
  <c r="A311" i="1"/>
  <c r="A1615" i="1"/>
  <c r="A227" i="1"/>
  <c r="A2192" i="1"/>
  <c r="A1681" i="1"/>
  <c r="A809" i="1"/>
  <c r="A1335" i="1"/>
  <c r="A1065" i="1"/>
  <c r="A1001" i="1"/>
  <c r="A885" i="1"/>
  <c r="A847" i="1"/>
  <c r="A1796" i="1"/>
  <c r="A1360" i="1"/>
  <c r="A1413" i="1"/>
  <c r="A1386" i="1"/>
  <c r="A522" i="1"/>
  <c r="A2437" i="1"/>
  <c r="A3119" i="1"/>
  <c r="A2027" i="1"/>
  <c r="A1584" i="1"/>
  <c r="A1160" i="1"/>
  <c r="A1135" i="1"/>
  <c r="A665" i="1"/>
  <c r="A232" i="1"/>
  <c r="A188" i="1"/>
  <c r="A174" i="1"/>
  <c r="A257" i="1"/>
  <c r="A1467" i="1"/>
  <c r="A1440" i="1"/>
  <c r="A828" i="1"/>
  <c r="A326" i="1"/>
  <c r="A217" i="1"/>
  <c r="A297" i="1"/>
  <c r="A508" i="1"/>
  <c r="A304" i="1"/>
  <c r="A222" i="1"/>
  <c r="A290" i="1"/>
  <c r="A616" i="1"/>
  <c r="A1111" i="1"/>
  <c r="A866" i="1"/>
  <c r="A200" i="1"/>
  <c r="A171" i="1"/>
  <c r="A318" i="1"/>
  <c r="A208" i="1"/>
  <c r="A682" i="1"/>
  <c r="A247" i="1"/>
  <c r="A904" i="1"/>
  <c r="A283" i="1"/>
  <c r="A269" i="1"/>
  <c r="A242" i="1"/>
  <c r="A165" i="1"/>
  <c r="A494" i="1"/>
  <c r="A452" i="1"/>
  <c r="A1895" i="1"/>
  <c r="A424" i="1"/>
  <c r="A1087" i="1"/>
  <c r="A212" i="1"/>
  <c r="A184" i="1"/>
  <c r="A700" i="1"/>
  <c r="A568" i="1"/>
  <c r="A1553" i="1"/>
  <c r="A584" i="1"/>
  <c r="A923" i="1"/>
  <c r="A334" i="1"/>
  <c r="A358" i="1"/>
  <c r="A961" i="1"/>
  <c r="A537" i="1"/>
  <c r="A438" i="1"/>
  <c r="A262" i="1"/>
  <c r="A1022" i="1"/>
  <c r="A942" i="1"/>
  <c r="A196" i="1"/>
  <c r="A1235" i="1"/>
  <c r="A981" i="1"/>
  <c r="A237" i="1"/>
  <c r="A1961" i="1"/>
  <c r="A1260" i="1"/>
  <c r="A177" i="1"/>
  <c r="A1285" i="1"/>
  <c r="A466" i="1"/>
  <c r="A1494" i="1"/>
  <c r="A632" i="1"/>
  <c r="A410" i="1"/>
  <c r="A397" i="1"/>
  <c r="A345" i="1"/>
  <c r="A736" i="1"/>
  <c r="A162" i="1"/>
  <c r="K30" i="1"/>
  <c r="K29" i="1"/>
  <c r="K31" i="1"/>
  <c r="G31" i="1"/>
  <c r="H6" i="4"/>
  <c r="N3" i="4" s="1"/>
  <c r="D60" i="1" l="1"/>
  <c r="G32" i="1" s="1"/>
  <c r="D22" i="1"/>
  <c r="D22" i="15" s="1"/>
  <c r="H102" i="15" s="1"/>
  <c r="I102" i="15" s="1"/>
  <c r="G6" i="4"/>
  <c r="K6" i="4" s="1"/>
  <c r="I64" i="15" s="1"/>
  <c r="F6" i="4"/>
  <c r="H8" i="4"/>
  <c r="D8" i="4"/>
  <c r="I6" i="4"/>
  <c r="D107" i="1"/>
  <c r="D102" i="1"/>
  <c r="D98" i="1"/>
  <c r="E95" i="1"/>
  <c r="E94" i="1"/>
  <c r="E87" i="1"/>
  <c r="E86" i="1"/>
  <c r="E85" i="1"/>
  <c r="J29" i="1"/>
  <c r="J30" i="1"/>
  <c r="J31" i="1"/>
  <c r="I63" i="15" l="1"/>
  <c r="K65" i="15" s="1"/>
  <c r="I63" i="1"/>
  <c r="D120" i="1" s="1"/>
  <c r="I104" i="15"/>
  <c r="L102" i="15" s="1"/>
  <c r="A11" i="8"/>
  <c r="A12" i="8" s="1"/>
  <c r="A11" i="17"/>
  <c r="A12" i="17" s="1"/>
  <c r="I94" i="15"/>
  <c r="P94" i="15" s="1"/>
  <c r="I95" i="15"/>
  <c r="P95" i="15" s="1"/>
  <c r="I95" i="1"/>
  <c r="I94" i="1"/>
  <c r="I64" i="1"/>
  <c r="I66" i="1" l="1"/>
  <c r="A7110" i="1"/>
  <c r="A7133" i="1"/>
  <c r="A7109" i="1"/>
  <c r="A7132" i="1"/>
  <c r="A7108" i="1"/>
  <c r="A7131" i="1"/>
  <c r="A7107" i="1"/>
  <c r="A7130" i="1"/>
  <c r="K66" i="15"/>
  <c r="K67" i="15"/>
  <c r="I67" i="15"/>
  <c r="I66" i="15"/>
  <c r="I65" i="15"/>
  <c r="H65" i="15" s="1"/>
  <c r="L101" i="15"/>
  <c r="L103" i="15"/>
  <c r="P95" i="1"/>
  <c r="P94" i="1"/>
  <c r="K66" i="1"/>
  <c r="I98" i="15"/>
  <c r="K65" i="1"/>
  <c r="I65" i="1"/>
  <c r="K67" i="1"/>
  <c r="I67" i="1"/>
  <c r="H120" i="1"/>
  <c r="D5" i="10"/>
  <c r="H67" i="15" l="1"/>
  <c r="I71" i="15"/>
  <c r="J67" i="15" s="1"/>
  <c r="H66" i="15"/>
  <c r="L104" i="15"/>
  <c r="H67" i="1"/>
  <c r="H66" i="1"/>
  <c r="L18" i="12" s="1"/>
  <c r="L5" i="12" s="1"/>
  <c r="J93" i="15"/>
  <c r="J92" i="15"/>
  <c r="D121" i="1"/>
  <c r="A28" i="17"/>
  <c r="A29" i="17" s="1"/>
  <c r="A30" i="17" s="1"/>
  <c r="A31" i="17" s="1"/>
  <c r="A32" i="17" s="1"/>
  <c r="A33" i="17" s="1"/>
  <c r="J95" i="15"/>
  <c r="J94" i="15"/>
  <c r="J88" i="15"/>
  <c r="J90" i="15"/>
  <c r="J85" i="15"/>
  <c r="J91" i="15"/>
  <c r="J86" i="15"/>
  <c r="J87" i="15"/>
  <c r="J89" i="15"/>
  <c r="I97" i="15"/>
  <c r="A28" i="8"/>
  <c r="H65" i="1"/>
  <c r="E81" i="15" l="1"/>
  <c r="J66" i="15"/>
  <c r="J64" i="15"/>
  <c r="E80" i="15"/>
  <c r="H70" i="15"/>
  <c r="J65" i="15"/>
  <c r="I18" i="12"/>
  <c r="A6032" i="1"/>
  <c r="A6773" i="1"/>
  <c r="A6687" i="1"/>
  <c r="A7106" i="1"/>
  <c r="A6098" i="1"/>
  <c r="A6729" i="1"/>
  <c r="A5517" i="1"/>
  <c r="A5250" i="1"/>
  <c r="A4801" i="1"/>
  <c r="A5034" i="1"/>
  <c r="A7129" i="1"/>
  <c r="A6013" i="1"/>
  <c r="A4367" i="1"/>
  <c r="A6622" i="1"/>
  <c r="A3309" i="1"/>
  <c r="A2925" i="1"/>
  <c r="A3464" i="1"/>
  <c r="A2792" i="1"/>
  <c r="A3721" i="1"/>
  <c r="A3990" i="1"/>
  <c r="A3258" i="1"/>
  <c r="A2970" i="1"/>
  <c r="A2706" i="1"/>
  <c r="A3670" i="1"/>
  <c r="A3209" i="1"/>
  <c r="A3017" i="1"/>
  <c r="A4102" i="1"/>
  <c r="A3834" i="1"/>
  <c r="A3160" i="1"/>
  <c r="A3064" i="1"/>
  <c r="A3884" i="1"/>
  <c r="A3619" i="1"/>
  <c r="A3411" i="1"/>
  <c r="A3111" i="1"/>
  <c r="A2835" i="1"/>
  <c r="A5576" i="1"/>
  <c r="A3776" i="1"/>
  <c r="A2749" i="1"/>
  <c r="A2880" i="1"/>
  <c r="A2355" i="1"/>
  <c r="A2151" i="1"/>
  <c r="A2019" i="1"/>
  <c r="A1887" i="1"/>
  <c r="A1755" i="1"/>
  <c r="A1514" i="1"/>
  <c r="A1202" i="1"/>
  <c r="A2583" i="1"/>
  <c r="A2285" i="1"/>
  <c r="A2217" i="1"/>
  <c r="A2052" i="1"/>
  <c r="A1722" i="1"/>
  <c r="A2665" i="1"/>
  <c r="A2392" i="1"/>
  <c r="A2429" i="1"/>
  <c r="A2118" i="1"/>
  <c r="A1953" i="1"/>
  <c r="A3360" i="1"/>
  <c r="A1486" i="1"/>
  <c r="A1378" i="1"/>
  <c r="A934" i="1"/>
  <c r="A3517" i="1"/>
  <c r="A1854" i="1"/>
  <c r="A1545" i="1"/>
  <c r="A2544" i="1"/>
  <c r="A2320" i="1"/>
  <c r="A2184" i="1"/>
  <c r="A1986" i="1"/>
  <c r="A1821" i="1"/>
  <c r="A1673" i="1"/>
  <c r="A1576" i="1"/>
  <c r="A1352" i="1"/>
  <c r="A953" i="1"/>
  <c r="A624" i="1"/>
  <c r="A576" i="1"/>
  <c r="A444" i="1"/>
  <c r="A1405" i="1"/>
  <c r="A746" i="1"/>
  <c r="A1459" i="1"/>
  <c r="A1432" i="1"/>
  <c r="A1227" i="1"/>
  <c r="A1079" i="1"/>
  <c r="A1014" i="1"/>
  <c r="A3567" i="1"/>
  <c r="A2624" i="1"/>
  <c r="A1252" i="1"/>
  <c r="A2466" i="1"/>
  <c r="A1277" i="1"/>
  <c r="A1103" i="1"/>
  <c r="A973" i="1"/>
  <c r="A896" i="1"/>
  <c r="A858" i="1"/>
  <c r="A2085" i="1"/>
  <c r="A1920" i="1"/>
  <c r="A728" i="1"/>
  <c r="A2505" i="1"/>
  <c r="A1607" i="1"/>
  <c r="A544" i="1"/>
  <c r="A993" i="1"/>
  <c r="A692" i="1"/>
  <c r="A376" i="1"/>
  <c r="A514" i="1"/>
  <c r="A710" i="1"/>
  <c r="A500" i="1"/>
  <c r="A363" i="1"/>
  <c r="A430" i="1"/>
  <c r="A1302" i="1"/>
  <c r="A350" i="1"/>
  <c r="A1788" i="1"/>
  <c r="A1327" i="1"/>
  <c r="A764" i="1"/>
  <c r="A592" i="1"/>
  <c r="A560" i="1"/>
  <c r="A529" i="1"/>
  <c r="A486" i="1"/>
  <c r="A472" i="1"/>
  <c r="A782" i="1"/>
  <c r="A640" i="1"/>
  <c r="A608" i="1"/>
  <c r="A458" i="1"/>
  <c r="A416" i="1"/>
  <c r="A389" i="1"/>
  <c r="A1127" i="1"/>
  <c r="A839" i="1"/>
  <c r="A1177" i="1"/>
  <c r="A877" i="1"/>
  <c r="A2250" i="1"/>
  <c r="A820" i="1"/>
  <c r="A801" i="1"/>
  <c r="A674" i="1"/>
  <c r="A657" i="1"/>
  <c r="A402" i="1"/>
  <c r="A1640" i="1"/>
  <c r="A1152" i="1"/>
  <c r="A1057" i="1"/>
  <c r="A1035" i="1"/>
  <c r="A915" i="1"/>
  <c r="E36" i="17"/>
  <c r="D131" i="15"/>
  <c r="P131" i="15" s="1"/>
  <c r="J98" i="15"/>
  <c r="G81" i="15"/>
  <c r="I81" i="15" s="1"/>
  <c r="P97" i="15"/>
  <c r="P98" i="15" s="1"/>
  <c r="J18" i="12"/>
  <c r="J12" i="12" s="1"/>
  <c r="L13" i="12"/>
  <c r="L6" i="12"/>
  <c r="L11" i="12"/>
  <c r="L7" i="12"/>
  <c r="L12" i="12"/>
  <c r="L8" i="12"/>
  <c r="L9" i="12"/>
  <c r="L14" i="12"/>
  <c r="L15" i="12"/>
  <c r="L10" i="12"/>
  <c r="L16" i="12"/>
  <c r="G80" i="15"/>
  <c r="H70" i="1"/>
  <c r="H94" i="1"/>
  <c r="D106" i="1"/>
  <c r="F89" i="1"/>
  <c r="F93" i="1"/>
  <c r="F91" i="1"/>
  <c r="F90" i="1"/>
  <c r="G85" i="1"/>
  <c r="I80" i="15" l="1"/>
  <c r="D128" i="15" s="1"/>
  <c r="J71" i="15"/>
  <c r="H131" i="15"/>
  <c r="E51" i="17"/>
  <c r="E40" i="17"/>
  <c r="J10" i="12"/>
  <c r="J16" i="12"/>
  <c r="J11" i="12"/>
  <c r="J8" i="12"/>
  <c r="J9" i="12"/>
  <c r="J14" i="12"/>
  <c r="J5" i="12"/>
  <c r="J13" i="12"/>
  <c r="J6" i="12"/>
  <c r="J7" i="12"/>
  <c r="J15" i="12"/>
  <c r="L17" i="12"/>
  <c r="E91" i="1"/>
  <c r="I91" i="1"/>
  <c r="P91" i="1" s="1"/>
  <c r="K91" i="1"/>
  <c r="D52" i="10" s="1"/>
  <c r="E93" i="1"/>
  <c r="I93" i="1"/>
  <c r="K93" i="1"/>
  <c r="D54" i="10" s="1"/>
  <c r="E90" i="1"/>
  <c r="I90" i="1"/>
  <c r="P90" i="1" s="1"/>
  <c r="K90" i="1"/>
  <c r="D51" i="10" s="1"/>
  <c r="E89" i="1"/>
  <c r="K89" i="1"/>
  <c r="D50" i="10" s="1"/>
  <c r="I89" i="1"/>
  <c r="P89" i="1" s="1"/>
  <c r="D40" i="1"/>
  <c r="H93" i="1"/>
  <c r="H95" i="1"/>
  <c r="H88" i="1"/>
  <c r="H91" i="1"/>
  <c r="H85" i="1"/>
  <c r="H89" i="1"/>
  <c r="H90" i="1"/>
  <c r="H86" i="1"/>
  <c r="H87" i="1"/>
  <c r="D127" i="15" l="1"/>
  <c r="D114" i="15" s="1"/>
  <c r="L115" i="15" s="1"/>
  <c r="I82" i="15"/>
  <c r="P29" i="1"/>
  <c r="E5" i="18"/>
  <c r="P93" i="1"/>
  <c r="E12" i="10"/>
  <c r="J17" i="12"/>
  <c r="F9" i="10"/>
  <c r="P127" i="15"/>
  <c r="H127" i="15"/>
  <c r="P128" i="15"/>
  <c r="H128" i="15"/>
  <c r="F5" i="10"/>
  <c r="H98" i="1"/>
  <c r="L113" i="15" l="1"/>
  <c r="A177" i="15"/>
  <c r="A173" i="15"/>
  <c r="A181" i="15"/>
  <c r="A170" i="15"/>
  <c r="A164" i="15"/>
  <c r="A167" i="15"/>
  <c r="P114" i="15"/>
  <c r="G30" i="5"/>
  <c r="F30" i="5"/>
  <c r="E30" i="5"/>
  <c r="D30" i="5"/>
  <c r="G24" i="5"/>
  <c r="F24" i="5"/>
  <c r="E24" i="5"/>
  <c r="D24" i="5"/>
  <c r="K23" i="5"/>
  <c r="G18" i="5"/>
  <c r="F18" i="5"/>
  <c r="E18" i="5"/>
  <c r="D18" i="5"/>
  <c r="G12" i="5"/>
  <c r="F12" i="5"/>
  <c r="E12" i="5"/>
  <c r="D12" i="5"/>
  <c r="K11" i="5"/>
  <c r="K10" i="5"/>
  <c r="E47" i="8"/>
  <c r="A45" i="8" s="1"/>
  <c r="G95" i="1"/>
  <c r="G87" i="1"/>
  <c r="G86" i="1"/>
  <c r="G94" i="1"/>
  <c r="G4" i="4"/>
  <c r="E30" i="17" s="1"/>
  <c r="E35" i="17" s="1"/>
  <c r="E37" i="17" s="1"/>
  <c r="I45" i="1"/>
  <c r="D33" i="1" l="1"/>
  <c r="F34" i="1" s="1"/>
  <c r="A6019" i="1"/>
  <c r="A6735" i="1"/>
  <c r="A6038" i="1"/>
  <c r="A6693" i="1"/>
  <c r="A4373" i="1"/>
  <c r="A4108" i="1"/>
  <c r="A7139" i="1"/>
  <c r="A5582" i="1"/>
  <c r="A7116" i="1"/>
  <c r="A5256" i="1"/>
  <c r="A4807" i="1"/>
  <c r="A3417" i="1"/>
  <c r="A3117" i="1"/>
  <c r="A2841" i="1"/>
  <c r="A5040" i="1"/>
  <c r="A3366" i="1"/>
  <c r="A2886" i="1"/>
  <c r="A2550" i="1"/>
  <c r="A3782" i="1"/>
  <c r="A4534" i="1"/>
  <c r="A3315" i="1"/>
  <c r="A2931" i="1"/>
  <c r="A3470" i="1"/>
  <c r="A2798" i="1"/>
  <c r="A2630" i="1"/>
  <c r="A3996" i="1"/>
  <c r="A2976" i="1"/>
  <c r="A2671" i="1"/>
  <c r="A2589" i="1"/>
  <c r="A2511" i="1"/>
  <c r="A2223" i="1"/>
  <c r="A2091" i="1"/>
  <c r="A1959" i="1"/>
  <c r="A1827" i="1"/>
  <c r="A3166" i="1"/>
  <c r="A3215" i="1"/>
  <c r="A2712" i="1"/>
  <c r="A2472" i="1"/>
  <c r="A3264" i="1"/>
  <c r="A2326" i="1"/>
  <c r="A1646" i="1"/>
  <c r="A1358" i="1"/>
  <c r="A2190" i="1"/>
  <c r="A2025" i="1"/>
  <c r="A3023" i="1"/>
  <c r="A2256" i="1"/>
  <c r="A1926" i="1"/>
  <c r="A1992" i="1"/>
  <c r="A1679" i="1"/>
  <c r="A1582" i="1"/>
  <c r="A1438" i="1"/>
  <c r="A1258" i="1"/>
  <c r="A826" i="1"/>
  <c r="A2755" i="1"/>
  <c r="A2361" i="1"/>
  <c r="A2157" i="1"/>
  <c r="A1794" i="1"/>
  <c r="A1761" i="1"/>
  <c r="A1551" i="1"/>
  <c r="A940" i="1"/>
  <c r="A734" i="1"/>
  <c r="A492" i="1"/>
  <c r="A408" i="1"/>
  <c r="A324" i="1"/>
  <c r="A288" i="1"/>
  <c r="A240" i="1"/>
  <c r="A395" i="1"/>
  <c r="A215" i="1"/>
  <c r="A3070" i="1"/>
  <c r="A2291" i="1"/>
  <c r="A1308" i="1"/>
  <c r="A1158" i="1"/>
  <c r="A1133" i="1"/>
  <c r="A1041" i="1"/>
  <c r="A1183" i="1"/>
  <c r="A770" i="1"/>
  <c r="A646" i="1"/>
  <c r="A1613" i="1"/>
  <c r="A1860" i="1"/>
  <c r="A1333" i="1"/>
  <c r="A1208" i="1"/>
  <c r="A1063" i="1"/>
  <c r="A999" i="1"/>
  <c r="A921" i="1"/>
  <c r="A883" i="1"/>
  <c r="A845" i="1"/>
  <c r="A716" i="1"/>
  <c r="A535" i="1"/>
  <c r="A2398" i="1"/>
  <c r="A959" i="1"/>
  <c r="A630" i="1"/>
  <c r="A582" i="1"/>
  <c r="A1283" i="1"/>
  <c r="A1893" i="1"/>
  <c r="A680" i="1"/>
  <c r="A614" i="1"/>
  <c r="A422" i="1"/>
  <c r="A245" i="1"/>
  <c r="A202" i="1"/>
  <c r="A309" i="1"/>
  <c r="A198" i="1"/>
  <c r="A1233" i="1"/>
  <c r="A478" i="1"/>
  <c r="A302" i="1"/>
  <c r="A220" i="1"/>
  <c r="A1492" i="1"/>
  <c r="A807" i="1"/>
  <c r="A788" i="1"/>
  <c r="A230" i="1"/>
  <c r="A186" i="1"/>
  <c r="A752" i="1"/>
  <c r="A1465" i="1"/>
  <c r="A1411" i="1"/>
  <c r="A1384" i="1"/>
  <c r="A663" i="1"/>
  <c r="A1020" i="1"/>
  <c r="A520" i="1"/>
  <c r="A382" i="1"/>
  <c r="A316" i="1"/>
  <c r="A190" i="1"/>
  <c r="A2435" i="1"/>
  <c r="A295" i="1"/>
  <c r="A250" i="1"/>
  <c r="A356" i="1"/>
  <c r="A550" i="1"/>
  <c r="A1728" i="1"/>
  <c r="A1109" i="1"/>
  <c r="A864" i="1"/>
  <c r="A255" i="1"/>
  <c r="A343" i="1"/>
  <c r="A235" i="1"/>
  <c r="A698" i="1"/>
  <c r="A206" i="1"/>
  <c r="A2124" i="1"/>
  <c r="A902" i="1"/>
  <c r="A281" i="1"/>
  <c r="A267" i="1"/>
  <c r="A225" i="1"/>
  <c r="A194" i="1"/>
  <c r="A369" i="1"/>
  <c r="A274" i="1"/>
  <c r="A2058" i="1"/>
  <c r="A1085" i="1"/>
  <c r="A210" i="1"/>
  <c r="A182" i="1"/>
  <c r="A332" i="1"/>
  <c r="A979" i="1"/>
  <c r="A1520" i="1"/>
  <c r="A598" i="1"/>
  <c r="A566" i="1"/>
  <c r="A464" i="1"/>
  <c r="A450" i="1"/>
  <c r="A436" i="1"/>
  <c r="A260" i="1"/>
  <c r="A506" i="1"/>
  <c r="A13" i="17"/>
  <c r="E50" i="17"/>
  <c r="E52" i="17" s="1"/>
  <c r="E55" i="17" s="1"/>
  <c r="J28" i="15"/>
  <c r="P5" i="15" s="1"/>
  <c r="R5" i="1" s="1"/>
  <c r="K28" i="15"/>
  <c r="I6" i="12"/>
  <c r="I14" i="12"/>
  <c r="I13" i="12"/>
  <c r="I12" i="12"/>
  <c r="I7" i="12"/>
  <c r="I16" i="12"/>
  <c r="I5" i="12"/>
  <c r="I15" i="12"/>
  <c r="I8" i="12"/>
  <c r="I9" i="12"/>
  <c r="I11" i="12"/>
  <c r="I10" i="12"/>
  <c r="D48" i="10"/>
  <c r="D56" i="10"/>
  <c r="E56" i="10"/>
  <c r="F14" i="10"/>
  <c r="F15" i="10"/>
  <c r="E15" i="10" s="1"/>
  <c r="A29" i="8"/>
  <c r="A30" i="8" s="1"/>
  <c r="A31" i="8" s="1"/>
  <c r="A32" i="8" s="1"/>
  <c r="A33" i="8" s="1"/>
  <c r="K4" i="4"/>
  <c r="K64" i="15" s="1"/>
  <c r="E30" i="8"/>
  <c r="E35" i="8" s="1"/>
  <c r="F120" i="1"/>
  <c r="G102" i="1"/>
  <c r="H124" i="15" l="1"/>
  <c r="P124" i="15" s="1"/>
  <c r="H102" i="1"/>
  <c r="A15" i="17"/>
  <c r="A19" i="17" s="1"/>
  <c r="H25" i="8"/>
  <c r="H26" i="8" s="1"/>
  <c r="A55" i="8" s="1"/>
  <c r="H25" i="17"/>
  <c r="A35" i="17"/>
  <c r="A36" i="17" s="1"/>
  <c r="A21" i="17"/>
  <c r="C48" i="10"/>
  <c r="K71" i="15"/>
  <c r="E14" i="10"/>
  <c r="F6" i="10"/>
  <c r="E6" i="10" s="1"/>
  <c r="H124" i="1"/>
  <c r="F63" i="10" s="1"/>
  <c r="K64" i="1"/>
  <c r="D66" i="10" s="1"/>
  <c r="I17" i="12"/>
  <c r="E36" i="8"/>
  <c r="E37" i="8" s="1"/>
  <c r="J102" i="1"/>
  <c r="K102" i="1" s="1"/>
  <c r="E55" i="10"/>
  <c r="D55" i="10"/>
  <c r="C55" i="10" s="1"/>
  <c r="C56" i="10"/>
  <c r="A15" i="8"/>
  <c r="A19" i="8" s="1"/>
  <c r="F11" i="10"/>
  <c r="F13" i="10"/>
  <c r="E13" i="10" s="1"/>
  <c r="F10" i="10"/>
  <c r="K8" i="4"/>
  <c r="H64" i="15" s="1"/>
  <c r="H71" i="15" s="1"/>
  <c r="I121" i="1"/>
  <c r="M121" i="1" s="1"/>
  <c r="P121" i="1" s="1"/>
  <c r="L64" i="15" l="1"/>
  <c r="A53" i="8"/>
  <c r="A54" i="8" s="1"/>
  <c r="E8" i="17"/>
  <c r="E9" i="17" s="1"/>
  <c r="E10" i="17" s="1"/>
  <c r="E25" i="17" s="1"/>
  <c r="H26" i="17"/>
  <c r="A53" i="17"/>
  <c r="A54" i="17" s="1"/>
  <c r="A64" i="17" s="1"/>
  <c r="P124" i="1"/>
  <c r="L65" i="15"/>
  <c r="L67" i="15"/>
  <c r="L66" i="15"/>
  <c r="H18" i="12"/>
  <c r="H16" i="12" s="1"/>
  <c r="E9" i="10"/>
  <c r="E11" i="10"/>
  <c r="E10" i="10"/>
  <c r="H64" i="1"/>
  <c r="E40" i="8"/>
  <c r="H17" i="8"/>
  <c r="H31" i="8"/>
  <c r="H33" i="8" s="1"/>
  <c r="H16" i="8"/>
  <c r="H32" i="8"/>
  <c r="H34" i="8" s="1"/>
  <c r="E51" i="8"/>
  <c r="D36" i="10"/>
  <c r="F18" i="10"/>
  <c r="A13" i="8"/>
  <c r="E50" i="8"/>
  <c r="H17" i="17" l="1"/>
  <c r="H32" i="17"/>
  <c r="H16" i="17"/>
  <c r="H31" i="17"/>
  <c r="A55" i="17"/>
  <c r="A65" i="17" s="1"/>
  <c r="H37" i="17"/>
  <c r="H39" i="17" s="1"/>
  <c r="H36" i="17"/>
  <c r="L71" i="15"/>
  <c r="H14" i="12"/>
  <c r="H10" i="12"/>
  <c r="H5" i="12"/>
  <c r="H6" i="12"/>
  <c r="H8" i="12"/>
  <c r="H7" i="12"/>
  <c r="H9" i="12"/>
  <c r="H12" i="12"/>
  <c r="H15" i="12"/>
  <c r="H11" i="12"/>
  <c r="H13" i="12"/>
  <c r="E52" i="8"/>
  <c r="E55" i="8" s="1"/>
  <c r="M124" i="15" s="1"/>
  <c r="I102" i="1"/>
  <c r="D34" i="10" l="1"/>
  <c r="H33" i="17"/>
  <c r="H41" i="17"/>
  <c r="H51" i="17" s="1"/>
  <c r="H52" i="17" s="1"/>
  <c r="H34" i="17"/>
  <c r="H42" i="17"/>
  <c r="H53" i="17" s="1"/>
  <c r="H54" i="17" s="1"/>
  <c r="H44" i="17"/>
  <c r="H38" i="17"/>
  <c r="A6" i="17"/>
  <c r="H17" i="12"/>
  <c r="M124" i="1"/>
  <c r="H103" i="1"/>
  <c r="G101" i="1"/>
  <c r="F88" i="1"/>
  <c r="G104" i="1" l="1"/>
  <c r="M104" i="1" s="1"/>
  <c r="A5033" i="1"/>
  <c r="A2791" i="1"/>
  <c r="A3935" i="1"/>
  <c r="A2319" i="1"/>
  <c r="A2216" i="1"/>
  <c r="A838" i="1"/>
  <c r="A1431" i="1"/>
  <c r="A972" i="1"/>
  <c r="A1853" i="1"/>
  <c r="A3208" i="1"/>
  <c r="A2183" i="1"/>
  <c r="A6772" i="1"/>
  <c r="A3720" i="1"/>
  <c r="A3159" i="1"/>
  <c r="A2879" i="1"/>
  <c r="A2051" i="1"/>
  <c r="A3516" i="1"/>
  <c r="A1513" i="1"/>
  <c r="A933" i="1"/>
  <c r="A1672" i="1"/>
  <c r="A2924" i="1"/>
  <c r="A1919" i="1"/>
  <c r="A6686" i="1"/>
  <c r="A7105" i="1"/>
  <c r="A3063" i="1"/>
  <c r="A2354" i="1"/>
  <c r="A1721" i="1"/>
  <c r="A4366" i="1"/>
  <c r="A1485" i="1"/>
  <c r="A895" i="1"/>
  <c r="A1301" i="1"/>
  <c r="A6031" i="1"/>
  <c r="A6621" i="1"/>
  <c r="A3257" i="1"/>
  <c r="A3883" i="1"/>
  <c r="A2150" i="1"/>
  <c r="A2664" i="1"/>
  <c r="A1056" i="1"/>
  <c r="A3566" i="1"/>
  <c r="A857" i="1"/>
  <c r="A1326" i="1"/>
  <c r="A1377" i="1"/>
  <c r="A3989" i="1"/>
  <c r="A2969" i="1"/>
  <c r="A3618" i="1"/>
  <c r="A2018" i="1"/>
  <c r="A2428" i="1"/>
  <c r="A914" i="1"/>
  <c r="A2623" i="1"/>
  <c r="A2543" i="1"/>
  <c r="A800" i="1"/>
  <c r="A1126" i="1"/>
  <c r="A3833" i="1"/>
  <c r="A2705" i="1"/>
  <c r="A3410" i="1"/>
  <c r="A1886" i="1"/>
  <c r="A2117" i="1"/>
  <c r="A876" i="1"/>
  <c r="A1544" i="1"/>
  <c r="A2249" i="1"/>
  <c r="A1639" i="1"/>
  <c r="A5641" i="1"/>
  <c r="A5516" i="1"/>
  <c r="A7128" i="1"/>
  <c r="A3110" i="1"/>
  <c r="A1754" i="1"/>
  <c r="A1952" i="1"/>
  <c r="A1351" i="1"/>
  <c r="A1251" i="1"/>
  <c r="A1201" i="1"/>
  <c r="A2084" i="1"/>
  <c r="A3775" i="1"/>
  <c r="A4800" i="1"/>
  <c r="A6012" i="1"/>
  <c r="A2834" i="1"/>
  <c r="A2504" i="1"/>
  <c r="A1787" i="1"/>
  <c r="A952" i="1"/>
  <c r="A819" i="1"/>
  <c r="A1034" i="1"/>
  <c r="A1985" i="1"/>
  <c r="A6728" i="1"/>
  <c r="A3308" i="1"/>
  <c r="A3669" i="1"/>
  <c r="A3359" i="1"/>
  <c r="A1226" i="1"/>
  <c r="A1606" i="1"/>
  <c r="A1404" i="1"/>
  <c r="A2465" i="1"/>
  <c r="A1013" i="1"/>
  <c r="A1176" i="1"/>
  <c r="A5575" i="1"/>
  <c r="A6097" i="1"/>
  <c r="A3016" i="1"/>
  <c r="A2748" i="1"/>
  <c r="A2582" i="1"/>
  <c r="A1102" i="1"/>
  <c r="A1820" i="1"/>
  <c r="A1575" i="1"/>
  <c r="A992" i="1"/>
  <c r="A5249" i="1"/>
  <c r="A3463" i="1"/>
  <c r="A4101" i="1"/>
  <c r="A2391" i="1"/>
  <c r="A2284" i="1"/>
  <c r="A1078" i="1"/>
  <c r="A1458" i="1"/>
  <c r="A1276" i="1"/>
  <c r="A1151" i="1"/>
  <c r="H43" i="17"/>
  <c r="E46" i="17"/>
  <c r="A14" i="17"/>
  <c r="A18" i="17" s="1"/>
  <c r="A20" i="17" s="1"/>
  <c r="A22" i="17" s="1"/>
  <c r="A23" i="17" s="1"/>
  <c r="A24" i="17" s="1"/>
  <c r="A25" i="17" s="1"/>
  <c r="H101" i="1"/>
  <c r="D138" i="1"/>
  <c r="G140" i="1" s="1"/>
  <c r="E88" i="1"/>
  <c r="K88" i="1"/>
  <c r="D49" i="10" s="1"/>
  <c r="I88" i="1"/>
  <c r="P88" i="1" s="1"/>
  <c r="E46" i="8"/>
  <c r="D137" i="1"/>
  <c r="D140" i="1" s="1"/>
  <c r="M140" i="1" s="1"/>
  <c r="A14" i="8"/>
  <c r="A18" i="8" s="1"/>
  <c r="A20" i="8" s="1"/>
  <c r="E98" i="1"/>
  <c r="J101" i="1"/>
  <c r="K101" i="1" s="1"/>
  <c r="F8" i="10" l="1"/>
  <c r="E8" i="10" s="1"/>
  <c r="I98" i="1"/>
  <c r="J92" i="1" s="1"/>
  <c r="K98" i="1"/>
  <c r="I101" i="1"/>
  <c r="I104" i="1" s="1"/>
  <c r="I138" i="1"/>
  <c r="G138" i="1"/>
  <c r="I137" i="1"/>
  <c r="K97" i="1" l="1"/>
  <c r="L92" i="1"/>
  <c r="L88" i="1"/>
  <c r="K104" i="1"/>
  <c r="L95" i="1"/>
  <c r="L85" i="1"/>
  <c r="L94" i="1"/>
  <c r="L90" i="1"/>
  <c r="L86" i="1"/>
  <c r="L91" i="1"/>
  <c r="L89" i="1"/>
  <c r="L87" i="1"/>
  <c r="L93" i="1"/>
  <c r="D33" i="10"/>
  <c r="F28" i="10" s="1"/>
  <c r="L103" i="1" l="1"/>
  <c r="L102" i="1"/>
  <c r="L101" i="1"/>
  <c r="F65" i="10"/>
  <c r="D65" i="10"/>
  <c r="D132" i="1"/>
  <c r="H132" i="1" s="1"/>
  <c r="L97" i="1"/>
  <c r="L98" i="1"/>
  <c r="D38" i="10"/>
  <c r="L104" i="1" l="1"/>
  <c r="E65" i="10"/>
  <c r="C65" i="10"/>
  <c r="A21" i="8" l="1"/>
  <c r="E8" i="8" s="1"/>
  <c r="E9" i="8" s="1"/>
  <c r="E10" i="8" s="1"/>
  <c r="E25" i="8" s="1"/>
  <c r="A35" i="8"/>
  <c r="A36" i="8" s="1"/>
  <c r="A22" i="8" l="1"/>
  <c r="A23" i="8" s="1"/>
  <c r="A24" i="8" s="1"/>
  <c r="A25" i="8" s="1"/>
  <c r="K8" i="1"/>
  <c r="K6" i="1" l="1"/>
  <c r="K6" i="15" s="1"/>
  <c r="M6" i="1"/>
  <c r="K8" i="15"/>
  <c r="E15" i="8" l="1"/>
  <c r="E17" i="8" s="1"/>
  <c r="E18" i="8" l="1"/>
  <c r="E22" i="8"/>
  <c r="A61" i="8"/>
  <c r="A62" i="8"/>
  <c r="E24" i="8" l="1"/>
  <c r="H37" i="8" s="1"/>
  <c r="H39" i="8" s="1"/>
  <c r="A63" i="8"/>
  <c r="A64" i="8" s="1"/>
  <c r="A6" i="8" s="1"/>
  <c r="J122" i="15" s="1"/>
  <c r="D122" i="15" s="1"/>
  <c r="E23" i="8"/>
  <c r="H36" i="8" s="1"/>
  <c r="D123" i="15" l="1"/>
  <c r="D139" i="15"/>
  <c r="D129" i="15"/>
  <c r="P129" i="15" s="1"/>
  <c r="H42" i="8"/>
  <c r="H53" i="8" s="1"/>
  <c r="H54" i="8" s="1"/>
  <c r="H44" i="8"/>
  <c r="A65" i="8"/>
  <c r="J122" i="1"/>
  <c r="D122" i="1" s="1"/>
  <c r="H41" i="8"/>
  <c r="H51" i="8" s="1"/>
  <c r="H52" i="8" s="1"/>
  <c r="H38" i="8"/>
  <c r="D124" i="15" l="1"/>
  <c r="M129" i="15"/>
  <c r="D139" i="1"/>
  <c r="G139" i="1" s="1"/>
  <c r="D130" i="15"/>
  <c r="H129" i="15"/>
  <c r="G139" i="15"/>
  <c r="I139" i="15"/>
  <c r="H43" i="8"/>
  <c r="D64" i="10"/>
  <c r="D123" i="1"/>
  <c r="H130" i="15" l="1"/>
  <c r="D117" i="15"/>
  <c r="F117" i="15" s="1"/>
  <c r="M117" i="15" s="1"/>
  <c r="F64" i="10"/>
  <c r="I139" i="1"/>
  <c r="P117" i="15" l="1"/>
  <c r="L116" i="15"/>
  <c r="L114" i="15"/>
  <c r="J85" i="1"/>
  <c r="J86" i="1"/>
  <c r="J88" i="1"/>
  <c r="J93" i="1"/>
  <c r="J94" i="1"/>
  <c r="J89" i="1"/>
  <c r="J91" i="1"/>
  <c r="J95" i="1"/>
  <c r="J87" i="1"/>
  <c r="J90" i="1"/>
  <c r="I97" i="1"/>
  <c r="P97" i="1" l="1"/>
  <c r="P98" i="1" s="1"/>
  <c r="J97" i="1"/>
  <c r="D131" i="1"/>
  <c r="J98" i="1"/>
  <c r="F16" i="10"/>
  <c r="E16" i="10" s="1"/>
  <c r="H131" i="1" l="1"/>
  <c r="F24" i="10"/>
  <c r="F25" i="10" s="1"/>
  <c r="F27" i="10"/>
  <c r="F22" i="10"/>
  <c r="G144" i="15" l="1"/>
  <c r="K144" i="15"/>
  <c r="P4" i="1" l="1"/>
  <c r="D35" i="1"/>
  <c r="G38" i="1" l="1"/>
  <c r="D38" i="1"/>
  <c r="D41" i="15" s="1"/>
  <c r="F35" i="1"/>
  <c r="M35" i="1" s="1"/>
  <c r="D12" i="18" l="1"/>
  <c r="R38" i="1"/>
  <c r="I38" i="1"/>
  <c r="D5" i="18"/>
  <c r="E8" i="18" s="1"/>
  <c r="D8" i="18" l="1"/>
  <c r="P28" i="1"/>
  <c r="P5" i="1" l="1"/>
  <c r="P9" i="1" s="1"/>
  <c r="J9" i="1" l="1"/>
  <c r="L9" i="1"/>
  <c r="G80" i="1" l="1"/>
  <c r="H69" i="15" l="1"/>
  <c r="I69" i="15" l="1"/>
  <c r="K69" i="15"/>
  <c r="L69" i="15" l="1"/>
  <c r="K70" i="15"/>
  <c r="J69" i="15"/>
  <c r="I70" i="15"/>
  <c r="D135" i="15" l="1"/>
  <c r="D136" i="15" s="1"/>
  <c r="D141" i="15" l="1"/>
  <c r="G135" i="15"/>
  <c r="G136" i="15"/>
  <c r="H27" i="15"/>
  <c r="P136" i="15"/>
  <c r="G141" i="15"/>
  <c r="J27" i="15" l="1"/>
  <c r="H34" i="15" s="1"/>
  <c r="A163" i="15"/>
  <c r="A161" i="15"/>
  <c r="A176" i="15"/>
  <c r="A159" i="15"/>
  <c r="A172" i="15"/>
  <c r="A166" i="15"/>
  <c r="A180" i="15"/>
  <c r="A169" i="15"/>
  <c r="G142" i="15"/>
  <c r="P141" i="15"/>
  <c r="P4" i="15" l="1"/>
  <c r="P9" i="15" s="1"/>
  <c r="K27" i="15"/>
  <c r="K32" i="15" s="1"/>
  <c r="D35" i="15"/>
  <c r="F35" i="15" s="1"/>
  <c r="H33" i="15"/>
  <c r="J34" i="15" s="1"/>
  <c r="G38" i="15"/>
  <c r="D13" i="18" s="1"/>
  <c r="D38" i="15"/>
  <c r="D6" i="18" s="1"/>
  <c r="J32" i="15"/>
  <c r="E10" i="15"/>
  <c r="D143" i="15" s="1"/>
  <c r="A175" i="15"/>
  <c r="A162" i="15"/>
  <c r="A165" i="15"/>
  <c r="A160" i="15"/>
  <c r="A157" i="15"/>
  <c r="A154" i="15"/>
  <c r="A171" i="15"/>
  <c r="A153" i="15"/>
  <c r="A179" i="15"/>
  <c r="A158" i="15"/>
  <c r="A156" i="15"/>
  <c r="A168" i="15"/>
  <c r="A155" i="15"/>
  <c r="A152" i="15"/>
  <c r="E8" i="15"/>
  <c r="E6" i="15" s="1"/>
  <c r="L34" i="15"/>
  <c r="R4" i="1"/>
  <c r="R9" i="1" s="1"/>
  <c r="R11" i="1" l="1"/>
  <c r="R12" i="1" s="1"/>
  <c r="G9" i="1"/>
  <c r="E10" i="1"/>
  <c r="M10" i="1" s="1"/>
  <c r="M10" i="15"/>
  <c r="I38" i="15"/>
  <c r="M37" i="15"/>
  <c r="E8" i="1"/>
  <c r="D41" i="1"/>
  <c r="P29" i="15"/>
  <c r="D143" i="1" l="1"/>
  <c r="M8" i="1"/>
  <c r="E6" i="1"/>
  <c r="J54" i="1" l="1"/>
  <c r="D54" i="1"/>
  <c r="H69" i="1" s="1"/>
  <c r="E51" i="1"/>
  <c r="H71" i="1" l="1"/>
  <c r="I69" i="1"/>
  <c r="K69" i="1"/>
  <c r="K70" i="1" l="1"/>
  <c r="D67" i="10" s="1"/>
  <c r="D68" i="10"/>
  <c r="K71" i="1"/>
  <c r="I70" i="1"/>
  <c r="D6" i="10" s="1"/>
  <c r="D24" i="10" s="1"/>
  <c r="D20" i="10"/>
  <c r="I71" i="1"/>
  <c r="D69" i="10" l="1"/>
  <c r="L69" i="1"/>
  <c r="L64" i="1"/>
  <c r="D129" i="1"/>
  <c r="L66" i="1"/>
  <c r="L67" i="1"/>
  <c r="L65" i="1"/>
  <c r="J69" i="1"/>
  <c r="E81" i="1"/>
  <c r="J67" i="1"/>
  <c r="J65" i="1"/>
  <c r="J66" i="1"/>
  <c r="G81" i="1"/>
  <c r="E80" i="1"/>
  <c r="I80" i="1" s="1"/>
  <c r="J64" i="1"/>
  <c r="I81" i="1" l="1"/>
  <c r="J71" i="1"/>
  <c r="M129" i="1"/>
  <c r="D117" i="1" s="1"/>
  <c r="F117" i="1" s="1"/>
  <c r="M117" i="1" s="1"/>
  <c r="D130" i="1"/>
  <c r="P129" i="1"/>
  <c r="H129" i="1"/>
  <c r="H12" i="17"/>
  <c r="H13" i="17" s="1"/>
  <c r="H14" i="17" s="1"/>
  <c r="H15" i="17" s="1"/>
  <c r="D124" i="1"/>
  <c r="H12" i="8"/>
  <c r="H13" i="8" s="1"/>
  <c r="H14" i="8" s="1"/>
  <c r="H15" i="8" s="1"/>
  <c r="I82" i="1"/>
  <c r="F19" i="10" s="1"/>
  <c r="F33" i="10"/>
  <c r="D128" i="1"/>
  <c r="D127" i="1"/>
  <c r="D115" i="1" s="1"/>
  <c r="L71" i="1"/>
  <c r="Q80" i="2"/>
  <c r="S80" i="2"/>
  <c r="O80" i="2"/>
  <c r="V80" i="2" s="1"/>
  <c r="R80" i="2"/>
  <c r="P80" i="2"/>
  <c r="L116" i="1" l="1"/>
  <c r="L114" i="1"/>
  <c r="H115" i="1"/>
  <c r="H127" i="1"/>
  <c r="D114" i="1"/>
  <c r="L115" i="1" s="1"/>
  <c r="F18" i="12"/>
  <c r="P126" i="1"/>
  <c r="E43" i="8"/>
  <c r="E43" i="17"/>
  <c r="P128" i="1"/>
  <c r="H128" i="1"/>
  <c r="D40" i="10"/>
  <c r="D41" i="10" s="1"/>
  <c r="H20" i="8"/>
  <c r="H21" i="8" s="1"/>
  <c r="H22" i="8"/>
  <c r="H23" i="8" s="1"/>
  <c r="H20" i="17"/>
  <c r="H21" i="17" s="1"/>
  <c r="H22" i="17"/>
  <c r="H23" i="17" s="1"/>
  <c r="H130" i="1"/>
  <c r="A37" i="17"/>
  <c r="F46" i="10"/>
  <c r="F69" i="10" s="1"/>
  <c r="A37" i="8"/>
  <c r="P130" i="1"/>
  <c r="I40" i="15"/>
  <c r="F26" i="10" l="1"/>
  <c r="M127" i="1"/>
  <c r="M41" i="15"/>
  <c r="M40" i="15"/>
  <c r="P115" i="1"/>
  <c r="H28" i="1"/>
  <c r="F8" i="12"/>
  <c r="F9" i="12"/>
  <c r="F12" i="12"/>
  <c r="F14" i="12"/>
  <c r="F16" i="12"/>
  <c r="F15" i="12"/>
  <c r="F13" i="12"/>
  <c r="F7" i="12"/>
  <c r="F5" i="12"/>
  <c r="F6" i="12"/>
  <c r="F10" i="12"/>
  <c r="F11" i="12"/>
  <c r="D19" i="10"/>
  <c r="F35" i="10"/>
  <c r="P114" i="1"/>
  <c r="L113" i="1"/>
  <c r="M6" i="15"/>
  <c r="A960" i="1" l="1"/>
  <c r="A551" i="1"/>
  <c r="A465" i="1"/>
  <c r="A647" i="1"/>
  <c r="J28" i="1"/>
  <c r="A2327" i="1"/>
  <c r="A2713" i="1"/>
  <c r="A161" i="1"/>
  <c r="A1960" i="1"/>
  <c r="A903" i="1"/>
  <c r="A1927" i="1"/>
  <c r="A3418" i="1"/>
  <c r="A479" i="1"/>
  <c r="A2092" i="1"/>
  <c r="A159" i="1"/>
  <c r="A423" i="1"/>
  <c r="A1412" i="1"/>
  <c r="A4808" i="1"/>
  <c r="A167" i="1"/>
  <c r="A1583" i="1"/>
  <c r="A6020" i="1"/>
  <c r="A2512" i="1"/>
  <c r="A2292" i="1"/>
  <c r="A664" i="1"/>
  <c r="A753" i="1"/>
  <c r="A3024" i="1"/>
  <c r="A2590" i="1"/>
  <c r="A179" i="1"/>
  <c r="A3367" i="1"/>
  <c r="A2224" i="1"/>
  <c r="A3471" i="1"/>
  <c r="A303" i="1"/>
  <c r="A1762" i="1"/>
  <c r="A282" i="1"/>
  <c r="A507" i="1"/>
  <c r="A1795" i="1"/>
  <c r="A6736" i="1"/>
  <c r="A1680" i="1"/>
  <c r="A7140" i="1"/>
  <c r="A884" i="1"/>
  <c r="A325" i="1"/>
  <c r="A789" i="1"/>
  <c r="A922" i="1"/>
  <c r="A941" i="1"/>
  <c r="A599" i="1"/>
  <c r="A3071" i="1"/>
  <c r="A6039" i="1"/>
  <c r="A2672" i="1"/>
  <c r="A437" i="1"/>
  <c r="A865" i="1"/>
  <c r="A2158" i="1"/>
  <c r="A241" i="1"/>
  <c r="A1861" i="1"/>
  <c r="A980" i="1"/>
  <c r="A583" i="1"/>
  <c r="A1209" i="1"/>
  <c r="A735" i="1"/>
  <c r="A1521" i="1"/>
  <c r="A296" i="1"/>
  <c r="A536" i="1"/>
  <c r="A173" i="1"/>
  <c r="A344" i="1"/>
  <c r="A383" i="1"/>
  <c r="A771" i="1"/>
  <c r="A310" i="1"/>
  <c r="A2257" i="1"/>
  <c r="A170" i="1"/>
  <c r="A1493" i="1"/>
  <c r="A3997" i="1"/>
  <c r="A211" i="1"/>
  <c r="A1466" i="1"/>
  <c r="A207" i="1"/>
  <c r="A157" i="1"/>
  <c r="A1359" i="1"/>
  <c r="A1042" i="1"/>
  <c r="A1334" i="1"/>
  <c r="A1894" i="1"/>
  <c r="A3783" i="1"/>
  <c r="A3167" i="1"/>
  <c r="A1993" i="1"/>
  <c r="A275" i="1"/>
  <c r="A155" i="1"/>
  <c r="K28" i="1"/>
  <c r="A631" i="1"/>
  <c r="A1385" i="1"/>
  <c r="A1552" i="1"/>
  <c r="A2125" i="1"/>
  <c r="A2191" i="1"/>
  <c r="A7117" i="1"/>
  <c r="A681" i="1"/>
  <c r="A3265" i="1"/>
  <c r="A221" i="1"/>
  <c r="A1159" i="1"/>
  <c r="A1647" i="1"/>
  <c r="A357" i="1"/>
  <c r="A1000" i="1"/>
  <c r="A2399" i="1"/>
  <c r="A2436" i="1"/>
  <c r="A2887" i="1"/>
  <c r="A827" i="1"/>
  <c r="A231" i="1"/>
  <c r="A699" i="1"/>
  <c r="A1086" i="1"/>
  <c r="A370" i="1"/>
  <c r="A1021" i="1"/>
  <c r="A2842" i="1"/>
  <c r="A2551" i="1"/>
  <c r="A2977" i="1"/>
  <c r="A4109" i="1"/>
  <c r="A1309" i="1"/>
  <c r="A1729" i="1"/>
  <c r="A236" i="1"/>
  <c r="A493" i="1"/>
  <c r="A1828" i="1"/>
  <c r="A396" i="1"/>
  <c r="A2799" i="1"/>
  <c r="A2932" i="1"/>
  <c r="A251" i="1"/>
  <c r="A216" i="1"/>
  <c r="A4535" i="1"/>
  <c r="A191" i="1"/>
  <c r="A4374" i="1"/>
  <c r="A289" i="1"/>
  <c r="A195" i="1"/>
  <c r="A203" i="1"/>
  <c r="A2362" i="1"/>
  <c r="A2026" i="1"/>
  <c r="A1110" i="1"/>
  <c r="A1064" i="1"/>
  <c r="A226" i="1"/>
  <c r="A1234" i="1"/>
  <c r="A176" i="1"/>
  <c r="A187" i="1"/>
  <c r="A246" i="1"/>
  <c r="A409" i="1"/>
  <c r="A808" i="1"/>
  <c r="A256" i="1"/>
  <c r="A1614" i="1"/>
  <c r="A717" i="1"/>
  <c r="A2473" i="1"/>
  <c r="A199" i="1"/>
  <c r="A3316" i="1"/>
  <c r="A567" i="1"/>
  <c r="A3118" i="1"/>
  <c r="A261" i="1"/>
  <c r="A615" i="1"/>
  <c r="A183" i="1"/>
  <c r="A846" i="1"/>
  <c r="A1439" i="1"/>
  <c r="A1184" i="1"/>
  <c r="A2631" i="1"/>
  <c r="A2059" i="1"/>
  <c r="A5257" i="1"/>
  <c r="A451" i="1"/>
  <c r="A2756" i="1"/>
  <c r="A1259" i="1"/>
  <c r="A317" i="1"/>
  <c r="A333" i="1"/>
  <c r="A1284" i="1"/>
  <c r="A164" i="1"/>
  <c r="A5041" i="1"/>
  <c r="A1134" i="1"/>
  <c r="A521" i="1"/>
  <c r="A3216" i="1"/>
  <c r="A5583" i="1"/>
  <c r="A6694" i="1"/>
  <c r="A268" i="1"/>
  <c r="F17" i="12"/>
  <c r="F34" i="10"/>
  <c r="F38" i="10" s="1"/>
  <c r="D18" i="10"/>
  <c r="D42" i="10" s="1"/>
  <c r="D26" i="10" l="1"/>
  <c r="F41" i="10"/>
  <c r="F42" i="10"/>
  <c r="F40" i="10"/>
  <c r="A1611" i="1" l="1"/>
  <c r="A2089" i="1"/>
  <c r="A1107" i="1"/>
  <c r="A2122" i="1"/>
  <c r="A6777" i="1"/>
  <c r="A406" i="1"/>
  <c r="A580" i="1"/>
  <c r="A2929" i="1"/>
  <c r="A2710" i="1"/>
  <c r="A2628" i="1"/>
  <c r="A881" i="1"/>
  <c r="A3468" i="1"/>
  <c r="A1061" i="1"/>
  <c r="A354" i="1"/>
  <c r="A2884" i="1"/>
  <c r="A3674" i="1"/>
  <c r="A5580" i="1"/>
  <c r="A3021" i="1"/>
  <c r="A2359" i="1"/>
  <c r="A1231" i="1"/>
  <c r="A2548" i="1"/>
  <c r="A644" i="1"/>
  <c r="A1759" i="1"/>
  <c r="A2753" i="1"/>
  <c r="A750" i="1"/>
  <c r="A2396" i="1"/>
  <c r="A3262" i="1"/>
  <c r="A3571" i="1"/>
  <c r="A1924" i="1"/>
  <c r="A490" i="1"/>
  <c r="A518" i="1"/>
  <c r="A6733" i="1"/>
  <c r="A1206" i="1"/>
  <c r="A3213" i="1"/>
  <c r="A1436" i="1"/>
  <c r="A3780" i="1"/>
  <c r="A661" i="1"/>
  <c r="A1083" i="1"/>
  <c r="A1891" i="1"/>
  <c r="A768" i="1"/>
  <c r="A1518" i="1"/>
  <c r="A596" i="1"/>
  <c r="A4532" i="1"/>
  <c r="A1306" i="1"/>
  <c r="A3364" i="1"/>
  <c r="A1792" i="1"/>
  <c r="A862" i="1"/>
  <c r="A805" i="1"/>
  <c r="A3725" i="1"/>
  <c r="A678" i="1"/>
  <c r="A4106" i="1"/>
  <c r="A420" i="1"/>
  <c r="A977" i="1"/>
  <c r="A2289" i="1"/>
  <c r="A448" i="1"/>
  <c r="A4805" i="1"/>
  <c r="A3164" i="1"/>
  <c r="A7114" i="1"/>
  <c r="A1677" i="1"/>
  <c r="A1281" i="1"/>
  <c r="A380" i="1"/>
  <c r="A1039" i="1"/>
  <c r="A1409" i="1"/>
  <c r="A786" i="1"/>
  <c r="A628" i="1"/>
  <c r="A6017" i="1"/>
  <c r="A3068" i="1"/>
  <c r="A1726" i="1"/>
  <c r="A367" i="1"/>
  <c r="A843" i="1"/>
  <c r="A2669" i="1"/>
  <c r="P118" i="1"/>
  <c r="J114" i="1"/>
  <c r="A3994" i="1" l="1"/>
  <c r="A504" i="1"/>
  <c r="A434" i="1"/>
  <c r="A341" i="1"/>
  <c r="A3623" i="1"/>
  <c r="A957" i="1"/>
  <c r="A938" i="1"/>
  <c r="A714" i="1"/>
  <c r="A3415" i="1"/>
  <c r="A1549" i="1"/>
  <c r="A7137" i="1"/>
  <c r="A1957" i="1"/>
  <c r="A732" i="1"/>
  <c r="A2023" i="1"/>
  <c r="A2324" i="1"/>
  <c r="A824" i="1"/>
  <c r="A1825" i="1"/>
  <c r="A1181" i="1"/>
  <c r="A2587" i="1"/>
  <c r="A4371" i="1"/>
  <c r="A1331" i="1"/>
  <c r="A2974" i="1"/>
  <c r="A1018" i="1"/>
  <c r="A2155" i="1"/>
  <c r="A2433" i="1"/>
  <c r="A2509" i="1"/>
  <c r="A919" i="1"/>
  <c r="A6036" i="1"/>
  <c r="A5254" i="1"/>
  <c r="A1990" i="1"/>
  <c r="A3115" i="1"/>
  <c r="A1356" i="1"/>
  <c r="A5038" i="1"/>
  <c r="A900" i="1"/>
  <c r="A2839" i="1"/>
  <c r="A2221" i="1"/>
  <c r="A696" i="1"/>
  <c r="A1858" i="1"/>
  <c r="A1463" i="1"/>
  <c r="A462" i="1"/>
  <c r="A1580" i="1"/>
  <c r="A3521" i="1"/>
  <c r="A393" i="1"/>
  <c r="A2796" i="1"/>
  <c r="A6691" i="1"/>
  <c r="A1644" i="1"/>
  <c r="A2056" i="1"/>
  <c r="A1131" i="1"/>
  <c r="A1156" i="1"/>
  <c r="A1490" i="1"/>
  <c r="A548" i="1"/>
  <c r="A564" i="1"/>
  <c r="A1382" i="1"/>
  <c r="A2188" i="1"/>
  <c r="A476" i="1"/>
  <c r="A1256" i="1"/>
  <c r="A533" i="1"/>
  <c r="A2470" i="1"/>
  <c r="A3313" i="1"/>
  <c r="A612" i="1"/>
  <c r="A2254" i="1"/>
  <c r="A997" i="1"/>
  <c r="H49" i="1"/>
  <c r="M49" i="1" s="1"/>
  <c r="H50" i="1" l="1"/>
  <c r="I49" i="1"/>
  <c r="J50" i="1" l="1"/>
  <c r="J51" i="1" s="1"/>
  <c r="E53" i="1" s="1"/>
  <c r="J53" i="1" s="1"/>
  <c r="M50" i="1"/>
  <c r="J52" i="1"/>
  <c r="P51" i="1" s="1"/>
  <c r="K51" i="1"/>
  <c r="D21" i="10"/>
  <c r="D23" i="10" s="1"/>
  <c r="K50" i="1"/>
  <c r="F21" i="10"/>
  <c r="F23" i="10" s="1"/>
  <c r="P53" i="1"/>
  <c r="A7199" i="1"/>
  <c r="A6685" i="1"/>
  <c r="A7104" i="1"/>
  <c r="A7127" i="1"/>
  <c r="A6727" i="1"/>
  <c r="A6771" i="1"/>
  <c r="I50" i="1"/>
  <c r="A2132" i="1" l="1"/>
  <c r="A3578" i="1"/>
  <c r="A853" i="1"/>
  <c r="A1834" i="1"/>
  <c r="A7257" i="1"/>
  <c r="A5747" i="1"/>
  <c r="A5051" i="1"/>
  <c r="A1620" i="1"/>
  <c r="A4982" i="1"/>
  <c r="A1772" i="1"/>
  <c r="A3079" i="1"/>
  <c r="A761" i="1"/>
  <c r="A4935" i="1"/>
  <c r="A1390" i="1"/>
  <c r="A908" i="1"/>
  <c r="A6256" i="1"/>
  <c r="A1291" i="1"/>
  <c r="A6521" i="1"/>
  <c r="A6370" i="1"/>
  <c r="A1155" i="1"/>
  <c r="A1932" i="1"/>
  <c r="A1228" i="1"/>
  <c r="A6014" i="1"/>
  <c r="A6207" i="1"/>
  <c r="A3581" i="1"/>
  <c r="A5095" i="1"/>
  <c r="A1005" i="1"/>
  <c r="A3428" i="1"/>
  <c r="A3222" i="1"/>
  <c r="A2679" i="1"/>
  <c r="A4221" i="1"/>
  <c r="A1052" i="1"/>
  <c r="A729" i="1"/>
  <c r="A1130" i="1"/>
  <c r="A5466" i="1"/>
  <c r="A2938" i="1"/>
  <c r="A6204" i="1"/>
  <c r="A2517" i="1"/>
  <c r="A5150" i="1"/>
  <c r="A6703" i="1"/>
  <c r="A3991" i="1"/>
  <c r="A6941" i="1"/>
  <c r="A5099" i="1"/>
  <c r="A2559" i="1"/>
  <c r="A1624" i="1"/>
  <c r="A1047" i="1"/>
  <c r="A1689" i="1"/>
  <c r="A3175" i="1"/>
  <c r="A1802" i="1"/>
  <c r="A6369" i="1"/>
  <c r="A1218" i="1"/>
  <c r="A1690" i="1"/>
  <c r="A1735" i="1"/>
  <c r="A530" i="1"/>
  <c r="A593" i="1"/>
  <c r="A2836" i="1"/>
  <c r="A4885" i="1"/>
  <c r="A6366" i="1"/>
  <c r="A6417" i="1"/>
  <c r="A7312" i="1"/>
  <c r="A1395" i="1"/>
  <c r="A5851" i="1"/>
  <c r="A2097" i="1"/>
  <c r="A4006" i="1"/>
  <c r="A3629" i="1"/>
  <c r="A5317" i="1"/>
  <c r="A4171" i="1"/>
  <c r="A2101" i="1"/>
  <c r="A3112" i="1"/>
  <c r="A1317" i="1"/>
  <c r="A1684" i="1"/>
  <c r="A6787" i="1"/>
  <c r="A2883" i="1"/>
  <c r="A4831" i="1"/>
  <c r="A1340" i="1"/>
  <c r="A3531" i="1"/>
  <c r="A6742" i="1"/>
  <c r="A5924" i="1"/>
  <c r="A6310" i="1"/>
  <c r="A1556" i="1"/>
  <c r="A5365" i="1"/>
  <c r="A4749" i="1"/>
  <c r="A3030" i="1"/>
  <c r="A1290" i="1"/>
  <c r="A639" i="1"/>
  <c r="A2366" i="1"/>
  <c r="A1338" i="1"/>
  <c r="A818" i="1"/>
  <c r="A4379" i="1"/>
  <c r="A1933" i="1"/>
  <c r="A3481" i="1"/>
  <c r="A4166" i="1"/>
  <c r="A5414" i="1"/>
  <c r="A2154" i="1"/>
  <c r="A2321" i="1"/>
  <c r="A1180" i="1"/>
  <c r="A557" i="1"/>
  <c r="A2265" i="1"/>
  <c r="A6567" i="1"/>
  <c r="A850" i="1"/>
  <c r="A6776" i="1"/>
  <c r="A3680" i="1"/>
  <c r="A6833" i="1"/>
  <c r="A6659" i="1"/>
  <c r="A511" i="1"/>
  <c r="A7368" i="1"/>
  <c r="A3570" i="1"/>
  <c r="A3940" i="1"/>
  <c r="A4699" i="1"/>
  <c r="A747" i="1"/>
  <c r="A4001" i="1"/>
  <c r="A1167" i="1"/>
  <c r="A3530" i="1"/>
  <c r="A6519" i="1"/>
  <c r="A2760" i="1"/>
  <c r="A6159" i="1"/>
  <c r="A1194" i="1"/>
  <c r="A2234" i="1"/>
  <c r="A1289" i="1"/>
  <c r="A6420" i="1"/>
  <c r="A2166" i="1"/>
  <c r="A1756" i="1"/>
  <c r="A2479" i="1"/>
  <c r="A5587" i="1"/>
  <c r="A4596" i="1"/>
  <c r="A6108" i="1"/>
  <c r="A419" i="1"/>
  <c r="A1051" i="1"/>
  <c r="A655" i="1"/>
  <c r="A4315" i="1"/>
  <c r="A619" i="1"/>
  <c r="A5852" i="1"/>
  <c r="A5801" i="1"/>
  <c r="A1280" i="1"/>
  <c r="A6939" i="1"/>
  <c r="A3732" i="1"/>
  <c r="A4217" i="1"/>
  <c r="A937" i="1"/>
  <c r="A5313" i="1"/>
  <c r="A3077" i="1"/>
  <c r="A3361" i="1"/>
  <c r="A855" i="1"/>
  <c r="A1071" i="1"/>
  <c r="A2518" i="1"/>
  <c r="A762" i="1"/>
  <c r="A3320" i="1"/>
  <c r="A6469" i="1"/>
  <c r="A6416" i="1"/>
  <c r="A527" i="1"/>
  <c r="A3465" i="1"/>
  <c r="A4934" i="1"/>
  <c r="A6517" i="1"/>
  <c r="A1315" i="1"/>
  <c r="A897" i="1"/>
  <c r="A2358" i="1"/>
  <c r="A2370" i="1"/>
  <c r="A1096" i="1"/>
  <c r="A4383" i="1"/>
  <c r="A7258" i="1"/>
  <c r="A1964" i="1"/>
  <c r="A852" i="1"/>
  <c r="A2555" i="1"/>
  <c r="A1998" i="1"/>
  <c r="A484" i="1"/>
  <c r="A2333" i="1"/>
  <c r="A946" i="1"/>
  <c r="A660" i="1"/>
  <c r="A2030" i="1"/>
  <c r="A6834" i="1"/>
  <c r="A799" i="1"/>
  <c r="A1060" i="1"/>
  <c r="A875" i="1"/>
  <c r="A2119" i="1"/>
  <c r="A686" i="1"/>
  <c r="A6944" i="1"/>
  <c r="A2066" i="1"/>
  <c r="A3579" i="1"/>
  <c r="A1140" i="1"/>
  <c r="A6467" i="1"/>
  <c r="A5098" i="1"/>
  <c r="A1238" i="1"/>
  <c r="A1058" i="1"/>
  <c r="A5101" i="1"/>
  <c r="A1093" i="1"/>
  <c r="A3373" i="1"/>
  <c r="A861" i="1"/>
  <c r="A1190" i="1"/>
  <c r="A1353" i="1"/>
  <c r="A1703" i="1"/>
  <c r="A833" i="1"/>
  <c r="A1015" i="1"/>
  <c r="A1355" i="1"/>
  <c r="A4119" i="1"/>
  <c r="A2522" i="1"/>
  <c r="A2195" i="1"/>
  <c r="A5251" i="1"/>
  <c r="A7053" i="1"/>
  <c r="A709" i="1"/>
  <c r="A5050" i="1"/>
  <c r="A1090" i="1"/>
  <c r="A2088" i="1"/>
  <c r="A3126" i="1"/>
  <c r="A3081" i="1"/>
  <c r="A1017" i="1"/>
  <c r="A5364" i="1"/>
  <c r="A2135" i="1"/>
  <c r="A3678" i="1"/>
  <c r="A1142" i="1"/>
  <c r="A5148" i="1"/>
  <c r="A1651" i="1"/>
  <c r="A1119" i="1"/>
  <c r="A611" i="1"/>
  <c r="A2443" i="1"/>
  <c r="A5751" i="1"/>
  <c r="A1904" i="1"/>
  <c r="A4802" i="1"/>
  <c r="A2405" i="1"/>
  <c r="A3114" i="1"/>
  <c r="A5963" i="1"/>
  <c r="A4702" i="1"/>
  <c r="A1068" i="1"/>
  <c r="A6660" i="1"/>
  <c r="A4545" i="1"/>
  <c r="A7313" i="1"/>
  <c r="A5035" i="1"/>
  <c r="A4054" i="1"/>
  <c r="A7363" i="1"/>
  <c r="A763" i="1"/>
  <c r="A1531" i="1"/>
  <c r="A2556" i="1"/>
  <c r="A814" i="1"/>
  <c r="A2441" i="1"/>
  <c r="A2162" i="1"/>
  <c r="A2508" i="1"/>
  <c r="A3372" i="1"/>
  <c r="A1590" i="1"/>
  <c r="A3032" i="1"/>
  <c r="A2152" i="1"/>
  <c r="A1189" i="1"/>
  <c r="A5857" i="1"/>
  <c r="A2803" i="1"/>
  <c r="A2806" i="1"/>
  <c r="A985" i="1"/>
  <c r="A5923" i="1"/>
  <c r="A573" i="1"/>
  <c r="A6206" i="1"/>
  <c r="A3325" i="1"/>
  <c r="A6522" i="1"/>
  <c r="A2467" i="1"/>
  <c r="A2286" i="1"/>
  <c r="A4930" i="1"/>
  <c r="A1389" i="1"/>
  <c r="A1010" i="1"/>
  <c r="A4701" i="1"/>
  <c r="A1069" i="1"/>
  <c r="A4816" i="1"/>
  <c r="A708" i="1"/>
  <c r="A1700" i="1"/>
  <c r="A603" i="1"/>
  <c r="A2586" i="1"/>
  <c r="A1899" i="1"/>
  <c r="A1653" i="1"/>
  <c r="A6623" i="1"/>
  <c r="A2063" i="1"/>
  <c r="A5753" i="1"/>
  <c r="A575" i="1"/>
  <c r="A1294" i="1"/>
  <c r="A1316" i="1"/>
  <c r="A1447" i="1"/>
  <c r="A2680" i="1"/>
  <c r="A5695" i="1"/>
  <c r="A2547" i="1"/>
  <c r="A6702" i="1"/>
  <c r="A6994" i="1"/>
  <c r="A5146" i="1"/>
  <c r="A2404" i="1"/>
  <c r="A5804" i="1"/>
  <c r="A2444" i="1"/>
  <c r="A543" i="1"/>
  <c r="A1303" i="1"/>
  <c r="A485" i="1"/>
  <c r="A687" i="1"/>
  <c r="A1004" i="1"/>
  <c r="A1608" i="1"/>
  <c r="A1433" i="1"/>
  <c r="A3943" i="1"/>
  <c r="A6664" i="1"/>
  <c r="A5267" i="1"/>
  <c r="A3323" i="1"/>
  <c r="A1213" i="1"/>
  <c r="A1344" i="1"/>
  <c r="A2299" i="1"/>
  <c r="A2336" i="1"/>
  <c r="A7204" i="1"/>
  <c r="A1937" i="1"/>
  <c r="A990" i="1"/>
  <c r="A5646" i="1"/>
  <c r="A695" i="1"/>
  <c r="A1501" i="1"/>
  <c r="A4165" i="1"/>
  <c r="A3034" i="1"/>
  <c r="A4431" i="1"/>
  <c r="A515" i="1"/>
  <c r="A5855" i="1"/>
  <c r="A5527" i="1"/>
  <c r="A4005" i="1"/>
  <c r="A5465" i="1"/>
  <c r="A2941" i="1"/>
  <c r="A625" i="1"/>
  <c r="A4321" i="1"/>
  <c r="A2668" i="1"/>
  <c r="A607" i="1"/>
  <c r="A3122" i="1"/>
  <c r="A4117" i="1"/>
  <c r="A984" i="1"/>
  <c r="A3377" i="1"/>
  <c r="A5196" i="1"/>
  <c r="A5698" i="1"/>
  <c r="A4170" i="1"/>
  <c r="A4368" i="1"/>
  <c r="A5748" i="1"/>
  <c r="A1091" i="1"/>
  <c r="A2229" i="1"/>
  <c r="A388" i="1"/>
  <c r="A6704" i="1"/>
  <c r="A3843" i="1"/>
  <c r="A1688" i="1"/>
  <c r="A1470" i="1"/>
  <c r="A2636" i="1"/>
  <c r="A1623" i="1"/>
  <c r="A4929" i="1"/>
  <c r="A431" i="1"/>
  <c r="A2034" i="1"/>
  <c r="A1866" i="1"/>
  <c r="A5700" i="1"/>
  <c r="A5644" i="1"/>
  <c r="A6033" i="1"/>
  <c r="A2599" i="1"/>
  <c r="A1589" i="1"/>
  <c r="A4216" i="1"/>
  <c r="A1502" i="1"/>
  <c r="A1503" i="1"/>
  <c r="A4480" i="1"/>
  <c r="A6569" i="1"/>
  <c r="A3789" i="1"/>
  <c r="A6892" i="1"/>
  <c r="A2666" i="1"/>
  <c r="A5749" i="1"/>
  <c r="A1049" i="1"/>
  <c r="A5045" i="1"/>
  <c r="A6835" i="1"/>
  <c r="A2033" i="1"/>
  <c r="A4833" i="1"/>
  <c r="A1476" i="1"/>
  <c r="A1367" i="1"/>
  <c r="A6316" i="1"/>
  <c r="A5961" i="1"/>
  <c r="A1030" i="1"/>
  <c r="A1141" i="1"/>
  <c r="A445" i="1"/>
  <c r="A4220" i="1"/>
  <c r="A3226" i="1"/>
  <c r="A6153" i="1"/>
  <c r="A2231" i="1"/>
  <c r="A3324" i="1"/>
  <c r="A442" i="1"/>
  <c r="A689" i="1"/>
  <c r="A3224" i="1"/>
  <c r="A7000" i="1"/>
  <c r="A3673" i="1"/>
  <c r="A2678" i="1"/>
  <c r="A5959" i="1"/>
  <c r="A3679" i="1"/>
  <c r="A1734" i="1"/>
  <c r="A5802" i="1"/>
  <c r="A3793" i="1"/>
  <c r="A1970" i="1"/>
  <c r="A1965" i="1"/>
  <c r="A415" i="1"/>
  <c r="A1330" i="1"/>
  <c r="A556" i="1"/>
  <c r="A4818" i="1"/>
  <c r="A5697" i="1"/>
  <c r="A1163" i="1"/>
  <c r="A3414" i="1"/>
  <c r="A3127" i="1"/>
  <c r="A3893" i="1"/>
  <c r="A2722" i="1"/>
  <c r="A996" i="1"/>
  <c r="A1188" i="1"/>
  <c r="A4594" i="1"/>
  <c r="A1577" i="1"/>
  <c r="A5592" i="1"/>
  <c r="A3176" i="1"/>
  <c r="A3841" i="1"/>
  <c r="A4650" i="1"/>
  <c r="A2096" i="1"/>
  <c r="A1706" i="1"/>
  <c r="A3577" i="1"/>
  <c r="A1701" i="1"/>
  <c r="A6940" i="1"/>
  <c r="A5696" i="1"/>
  <c r="A1266" i="1"/>
  <c r="A783" i="1"/>
  <c r="A3891" i="1"/>
  <c r="A7055" i="1"/>
  <c r="A2131" i="1"/>
  <c r="A6784" i="1"/>
  <c r="A3792" i="1"/>
  <c r="A2804" i="1"/>
  <c r="A627" i="1"/>
  <c r="A2099" i="1"/>
  <c r="A3173" i="1"/>
  <c r="A3526" i="1"/>
  <c r="A1657" i="1"/>
  <c r="A913" i="1"/>
  <c r="A1527" i="1"/>
  <c r="A4881" i="1"/>
  <c r="A745" i="1"/>
  <c r="A4370" i="1"/>
  <c r="A2369" i="1"/>
  <c r="A3528" i="1"/>
  <c r="A658" i="1"/>
  <c r="A907" i="1"/>
  <c r="A668" i="1"/>
  <c r="A1116" i="1"/>
  <c r="A910" i="1"/>
  <c r="A2681" i="1"/>
  <c r="A3326" i="1"/>
  <c r="A4697" i="1"/>
  <c r="A1674" i="1"/>
  <c r="A591" i="1"/>
  <c r="A1446" i="1"/>
  <c r="A2986" i="1"/>
  <c r="A945" i="1"/>
  <c r="A3422" i="1"/>
  <c r="A3944" i="1"/>
  <c r="A2766" i="1"/>
  <c r="A3375" i="1"/>
  <c r="A572" i="1"/>
  <c r="A1835" i="1"/>
  <c r="A2765" i="1"/>
  <c r="A781" i="1"/>
  <c r="A1487" i="1"/>
  <c r="A5522" i="1"/>
  <c r="A4751" i="1"/>
  <c r="A6365" i="1"/>
  <c r="A1869" i="1"/>
  <c r="A7205" i="1"/>
  <c r="A675" i="1"/>
  <c r="A6699" i="1"/>
  <c r="A4812" i="1"/>
  <c r="A5462" i="1"/>
  <c r="A3221" i="1"/>
  <c r="A5412" i="1"/>
  <c r="A842" i="1"/>
  <c r="A767" i="1"/>
  <c r="A947" i="1"/>
  <c r="A457" i="1"/>
  <c r="A870" i="1"/>
  <c r="A2892" i="1"/>
  <c r="A2337" i="1"/>
  <c r="A760" i="1"/>
  <c r="A1028" i="1"/>
  <c r="A931" i="1"/>
  <c r="A1898" i="1"/>
  <c r="A265" i="1"/>
  <c r="A859" i="1"/>
  <c r="A362" i="1"/>
  <c r="A1379" i="1"/>
  <c r="A2937" i="1"/>
  <c r="A951" i="1"/>
  <c r="A1153" i="1"/>
  <c r="A2233" i="1"/>
  <c r="A7146" i="1"/>
  <c r="A1025" i="1"/>
  <c r="A4985" i="1"/>
  <c r="A4600" i="1"/>
  <c r="A1705" i="1"/>
  <c r="A3125" i="1"/>
  <c r="A1420" i="1"/>
  <c r="A2196" i="1"/>
  <c r="A3475" i="1"/>
  <c r="A4746" i="1"/>
  <c r="A3839" i="1"/>
  <c r="A545" i="1"/>
  <c r="A6698" i="1"/>
  <c r="A5699" i="1"/>
  <c r="A1217" i="1"/>
  <c r="A6157" i="1"/>
  <c r="A3631" i="1"/>
  <c r="A893" i="1"/>
  <c r="A3078" i="1"/>
  <c r="A5853" i="1"/>
  <c r="A1934" i="1"/>
  <c r="A2600" i="1"/>
  <c r="A4815" i="1"/>
  <c r="A956" i="1"/>
  <c r="A6573" i="1"/>
  <c r="A2185" i="1"/>
  <c r="A3080" i="1"/>
  <c r="A2031" i="1"/>
  <c r="A1255" i="1"/>
  <c r="A5577" i="1"/>
  <c r="A3477" i="1"/>
  <c r="A935" i="1"/>
  <c r="A802" i="1"/>
  <c r="A4382" i="1"/>
  <c r="A1868" i="1"/>
  <c r="A742" i="1"/>
  <c r="A4652" i="1"/>
  <c r="A2707" i="1"/>
  <c r="A926" i="1"/>
  <c r="A1215" i="1"/>
  <c r="A713" i="1"/>
  <c r="A3426" i="1"/>
  <c r="A2521" i="1"/>
  <c r="A1318" i="1"/>
  <c r="A1193" i="1"/>
  <c r="A361" i="1"/>
  <c r="A3626" i="1"/>
  <c r="A1319" i="1"/>
  <c r="A4056" i="1"/>
  <c r="A641" i="1"/>
  <c r="A1342" i="1"/>
  <c r="A1548" i="1"/>
  <c r="A3683" i="1"/>
  <c r="A2894" i="1"/>
  <c r="A5589" i="1"/>
  <c r="A7206" i="1"/>
  <c r="A856" i="1"/>
  <c r="A2641" i="1"/>
  <c r="A1738" i="1"/>
  <c r="A6262" i="1"/>
  <c r="A620" i="1"/>
  <c r="A2595" i="1"/>
  <c r="A929" i="1"/>
  <c r="A4696" i="1"/>
  <c r="A994" i="1"/>
  <c r="A3259" i="1"/>
  <c r="A374" i="1"/>
  <c r="A5264" i="1"/>
  <c r="A2637" i="1"/>
  <c r="A652" i="1"/>
  <c r="A4268" i="1"/>
  <c r="A5650" i="1"/>
  <c r="A1244" i="1"/>
  <c r="A2809" i="1"/>
  <c r="A974" i="1"/>
  <c r="A2477" i="1"/>
  <c r="A5149" i="1"/>
  <c r="A6026" i="1"/>
  <c r="A2838" i="1"/>
  <c r="A2264" i="1"/>
  <c r="A2372" i="1"/>
  <c r="A1369" i="1"/>
  <c r="A3730" i="1"/>
  <c r="A4981" i="1"/>
  <c r="A1652" i="1"/>
  <c r="A2032" i="1"/>
  <c r="A964" i="1"/>
  <c r="A405" i="1"/>
  <c r="A2288" i="1"/>
  <c r="A871" i="1"/>
  <c r="A5468" i="1"/>
  <c r="A5752" i="1"/>
  <c r="A5854" i="1"/>
  <c r="A4983" i="1"/>
  <c r="A501" i="1"/>
  <c r="A2263" i="1"/>
  <c r="A1139" i="1"/>
  <c r="A927" i="1"/>
  <c r="A1517" i="1"/>
  <c r="A2520" i="1"/>
  <c r="A6261" i="1"/>
  <c r="A1497" i="1"/>
  <c r="A1253" i="1"/>
  <c r="A4167" i="1"/>
  <c r="A5647" i="1"/>
  <c r="A6049" i="1"/>
  <c r="A3220" i="1"/>
  <c r="A322" i="1"/>
  <c r="A3787" i="1"/>
  <c r="A1267" i="1"/>
  <c r="A525" i="1"/>
  <c r="A3837" i="1"/>
  <c r="A6313" i="1"/>
  <c r="A3887" i="1"/>
  <c r="A4750" i="1"/>
  <c r="A1293" i="1"/>
  <c r="A3777" i="1"/>
  <c r="A6887" i="1"/>
  <c r="A5962" i="1"/>
  <c r="A4543" i="1"/>
  <c r="A888" i="1"/>
  <c r="A1561" i="1"/>
  <c r="A1997" i="1"/>
  <c r="A1767" i="1"/>
  <c r="A1117" i="1"/>
  <c r="A673" i="1"/>
  <c r="A7314" i="1"/>
  <c r="A2266" i="1"/>
  <c r="A6102" i="1"/>
  <c r="A777" i="1"/>
  <c r="A5367" i="1"/>
  <c r="A1530" i="1"/>
  <c r="A555" i="1"/>
  <c r="A4486" i="1"/>
  <c r="A835" i="1"/>
  <c r="A2469" i="1"/>
  <c r="A4531" i="1"/>
  <c r="A6415" i="1"/>
  <c r="A3374" i="1"/>
  <c r="A6107" i="1"/>
  <c r="A2129" i="1"/>
  <c r="D135" i="1"/>
  <c r="D136" i="1" s="1"/>
  <c r="A3270" i="1"/>
  <c r="A2053" i="1"/>
  <c r="A1241" i="1"/>
  <c r="A1243" i="1"/>
  <c r="A2682" i="1"/>
  <c r="A473" i="1"/>
  <c r="A4481" i="1"/>
  <c r="A6210" i="1"/>
  <c r="A2200" i="1"/>
  <c r="A2805" i="1"/>
  <c r="A2940" i="1"/>
  <c r="A2895" i="1"/>
  <c r="A7144" i="1"/>
  <c r="A2627" i="1"/>
  <c r="A5151" i="1"/>
  <c r="A5315" i="1"/>
  <c r="A3575" i="1"/>
  <c r="A2851" i="1"/>
  <c r="A3312" i="1"/>
  <c r="A2483" i="1"/>
  <c r="A1956" i="1"/>
  <c r="A5701" i="1"/>
  <c r="A5799" i="1"/>
  <c r="A1115" i="1"/>
  <c r="A2440" i="1"/>
  <c r="A2594" i="1"/>
  <c r="A5417" i="1"/>
  <c r="A6260" i="1"/>
  <c r="A286" i="1"/>
  <c r="A1654" i="1"/>
  <c r="A3520" i="1"/>
  <c r="A3310" i="1"/>
  <c r="A6839" i="1"/>
  <c r="A377" i="1"/>
  <c r="A1865" i="1"/>
  <c r="A1901" i="1"/>
  <c r="A3729" i="1"/>
  <c r="A2262" i="1"/>
  <c r="A987" i="1"/>
  <c r="A2635" i="1"/>
  <c r="A3128" i="1"/>
  <c r="A785" i="1"/>
  <c r="A3467" i="1"/>
  <c r="A4752" i="1"/>
  <c r="A726" i="1"/>
  <c r="A3480" i="1"/>
  <c r="A400" i="1"/>
  <c r="A1643" i="1"/>
  <c r="A5311" i="1"/>
  <c r="A3734" i="1"/>
  <c r="A872" i="1"/>
  <c r="A4651" i="1"/>
  <c r="A4269" i="1"/>
  <c r="A892" i="1"/>
  <c r="A512" i="1"/>
  <c r="A2300" i="1"/>
  <c r="A4319" i="1"/>
  <c r="A2102" i="1"/>
  <c r="A970" i="1"/>
  <c r="A6208" i="1"/>
  <c r="A1269" i="1"/>
  <c r="A685" i="1"/>
  <c r="A743" i="1"/>
  <c r="A2848" i="1"/>
  <c r="A744" i="1"/>
  <c r="A4598" i="1"/>
  <c r="A2220" i="1"/>
  <c r="A622" i="1"/>
  <c r="A2020" i="1"/>
  <c r="A672" i="1"/>
  <c r="A1240" i="1"/>
  <c r="A4051" i="1"/>
  <c r="A414" i="1"/>
  <c r="A4539" i="1"/>
  <c r="A6890" i="1"/>
  <c r="A1822" i="1"/>
  <c r="A6781" i="1"/>
  <c r="A542" i="1"/>
  <c r="A606" i="1"/>
  <c r="A3735" i="1"/>
  <c r="A4931" i="1"/>
  <c r="A976" i="1"/>
  <c r="A7134" i="1"/>
  <c r="A3632" i="1"/>
  <c r="A2197" i="1"/>
  <c r="A688" i="1"/>
  <c r="A413" i="1"/>
  <c r="A6099" i="1"/>
  <c r="A590" i="1"/>
  <c r="A889" i="1"/>
  <c r="A1435" i="1"/>
  <c r="A349" i="1"/>
  <c r="A1392" i="1"/>
  <c r="A2761" i="1"/>
  <c r="A2408" i="1"/>
  <c r="A1789" i="1"/>
  <c r="A2406" i="1"/>
  <c r="A3479" i="1"/>
  <c r="A2100" i="1"/>
  <c r="A3733" i="1"/>
  <c r="A651" i="1"/>
  <c r="A3161" i="1"/>
  <c r="A4118" i="1"/>
  <c r="A988" i="1"/>
  <c r="A1422" i="1"/>
  <c r="A1178" i="1"/>
  <c r="A1416" i="1"/>
  <c r="A4933" i="1"/>
  <c r="A3273" i="1"/>
  <c r="A635" i="1"/>
  <c r="A2442" i="1"/>
  <c r="A6745" i="1"/>
  <c r="A5197" i="1"/>
  <c r="A7113" i="1"/>
  <c r="A1278" i="1"/>
  <c r="A5097" i="1"/>
  <c r="A337" i="1"/>
  <c r="A7207" i="1"/>
  <c r="A1449" i="1"/>
  <c r="A1164" i="1"/>
  <c r="A441" i="1"/>
  <c r="A812" i="1"/>
  <c r="A967" i="1"/>
  <c r="A722" i="1"/>
  <c r="A3028" i="1"/>
  <c r="A2852" i="1"/>
  <c r="A1739" i="1"/>
  <c r="A7150" i="1"/>
  <c r="A2984" i="1"/>
  <c r="A2022" i="1"/>
  <c r="A776" i="1"/>
  <c r="A7054" i="1"/>
  <c r="A797" i="1"/>
  <c r="A3172" i="1"/>
  <c r="A5363" i="1"/>
  <c r="A3425" i="1"/>
  <c r="A4647" i="1"/>
  <c r="A1036" i="1"/>
  <c r="A5265" i="1"/>
  <c r="A5922" i="1"/>
  <c r="A3212" i="1"/>
  <c r="A3889" i="1"/>
  <c r="A2936" i="1"/>
  <c r="A588" i="1"/>
  <c r="A1106" i="1"/>
  <c r="A6368" i="1"/>
  <c r="A1593" i="1"/>
  <c r="A891" i="1"/>
  <c r="A707" i="1"/>
  <c r="A1365" i="1"/>
  <c r="A969" i="1"/>
  <c r="A1092" i="1"/>
  <c r="A1837" i="1"/>
  <c r="A604" i="1"/>
  <c r="A2067" i="1"/>
  <c r="A5262" i="1"/>
  <c r="A6700" i="1"/>
  <c r="A403" i="1"/>
  <c r="A2598" i="1"/>
  <c r="A6663" i="1"/>
  <c r="A5316" i="1"/>
  <c r="A387" i="1"/>
  <c r="A1008" i="1"/>
  <c r="A2432" i="1"/>
  <c r="A455" i="1"/>
  <c r="A3838" i="1"/>
  <c r="A878" i="1"/>
  <c r="A711" i="1"/>
  <c r="A390" i="1"/>
  <c r="A823" i="1"/>
  <c r="A1655" i="1"/>
  <c r="A7256" i="1"/>
  <c r="A813" i="1"/>
  <c r="A3067" i="1"/>
  <c r="A2121" i="1"/>
  <c r="A1128" i="1"/>
  <c r="A1619" i="1"/>
  <c r="A3272" i="1"/>
  <c r="A6418" i="1"/>
  <c r="A6739" i="1"/>
  <c r="A1969" i="1"/>
  <c r="A989" i="1"/>
  <c r="A6572" i="1"/>
  <c r="A4271" i="1"/>
  <c r="A3939" i="1"/>
  <c r="A691" i="1"/>
  <c r="A966" i="1"/>
  <c r="A2808" i="1"/>
  <c r="A540" i="1"/>
  <c r="A4219" i="1"/>
  <c r="A1143" i="1"/>
  <c r="A1685" i="1"/>
  <c r="A7052" i="1"/>
  <c r="A1394" i="1"/>
  <c r="A5964" i="1"/>
  <c r="A854" i="1"/>
  <c r="A559" i="1"/>
  <c r="A932" i="1"/>
  <c r="A1489" i="1"/>
  <c r="A2720" i="1"/>
  <c r="A3271" i="1"/>
  <c r="A3779" i="1"/>
  <c r="A636" i="1"/>
  <c r="A7051" i="1"/>
  <c r="A4827" i="1"/>
  <c r="A2199" i="1"/>
  <c r="A5413" i="1"/>
  <c r="A1989" i="1"/>
  <c r="A1445" i="1"/>
  <c r="A1562" i="1"/>
  <c r="A5047" i="1"/>
  <c r="A2267" i="1"/>
  <c r="A7149" i="1"/>
  <c r="A5803" i="1"/>
  <c r="A1902" i="1"/>
  <c r="A2558" i="1"/>
  <c r="A3274" i="1"/>
  <c r="A1026" i="1"/>
  <c r="A5925" i="1"/>
  <c r="A2896" i="1"/>
  <c r="A2395" i="1"/>
  <c r="A3065" i="1"/>
  <c r="A2218" i="1"/>
  <c r="A4828" i="1"/>
  <c r="A638" i="1"/>
  <c r="A1610" i="1"/>
  <c r="A5253" i="1"/>
  <c r="A1421" i="1"/>
  <c r="A2164" i="1"/>
  <c r="A340" i="1"/>
  <c r="A6783" i="1"/>
  <c r="A725" i="1"/>
  <c r="A1242" i="1"/>
  <c r="A2506" i="1"/>
  <c r="A2560" i="1"/>
  <c r="A2297" i="1"/>
  <c r="A4880" i="1"/>
  <c r="A1967" i="1"/>
  <c r="A6891" i="1"/>
  <c r="A2298" i="1"/>
  <c r="A364" i="1"/>
  <c r="A5037" i="1"/>
  <c r="A4053" i="1"/>
  <c r="A4218" i="1"/>
  <c r="A5464" i="1"/>
  <c r="A6690" i="1"/>
  <c r="A7309" i="1"/>
  <c r="A6311" i="1"/>
  <c r="A5195" i="1"/>
  <c r="A949" i="1"/>
  <c r="A503" i="1"/>
  <c r="A890" i="1"/>
  <c r="A4320" i="1"/>
  <c r="A499" i="1"/>
  <c r="A1408" i="1"/>
  <c r="A1443" i="1"/>
  <c r="A6998" i="1"/>
  <c r="A986" i="1"/>
  <c r="A2228" i="1"/>
  <c r="A1733" i="1"/>
  <c r="A3269" i="1"/>
  <c r="A1292" i="1"/>
  <c r="A6688" i="1"/>
  <c r="A1725" i="1"/>
  <c r="A1072" i="1"/>
  <c r="A1364" i="1"/>
  <c r="A5199" i="1"/>
  <c r="A4485" i="1"/>
  <c r="A433" i="1"/>
  <c r="A851" i="1"/>
  <c r="A2134" i="1"/>
  <c r="A6205" i="1"/>
  <c r="A1799" i="1"/>
  <c r="A427" i="1"/>
  <c r="A3261" i="1"/>
  <c r="A6035" i="1"/>
  <c r="A656" i="1"/>
  <c r="A5361" i="1"/>
  <c r="A3177" i="1"/>
  <c r="A6999" i="1"/>
  <c r="A3029" i="1"/>
  <c r="A643" i="1"/>
  <c r="A2055" i="1"/>
  <c r="A793" i="1"/>
  <c r="A765" i="1"/>
  <c r="A4002" i="1"/>
  <c r="A5926" i="1"/>
  <c r="A1192" i="1"/>
  <c r="A6315" i="1"/>
  <c r="A6774" i="1"/>
  <c r="A4380" i="1"/>
  <c r="A4434" i="1"/>
  <c r="A1558" i="1"/>
  <c r="A4003" i="1"/>
  <c r="A817" i="1"/>
  <c r="A3371" i="1"/>
  <c r="A2807" i="1"/>
  <c r="A703" i="1"/>
  <c r="A1591" i="1"/>
  <c r="A6314" i="1"/>
  <c r="A2926" i="1"/>
  <c r="A2165" i="1"/>
  <c r="A338" i="1"/>
  <c r="A1094" i="1"/>
  <c r="A4433" i="1"/>
  <c r="A4879" i="1"/>
  <c r="A6665" i="1"/>
  <c r="A2000" i="1"/>
  <c r="A6312" i="1"/>
  <c r="A3888" i="1"/>
  <c r="A314" i="1"/>
  <c r="A561" i="1"/>
  <c r="A1339" i="1"/>
  <c r="A6518" i="1"/>
  <c r="A7148" i="1"/>
  <c r="A1999" i="1"/>
  <c r="A2881" i="1"/>
  <c r="A6209" i="1"/>
  <c r="A2334" i="1"/>
  <c r="A4804" i="1"/>
  <c r="A5147" i="1"/>
  <c r="A5145" i="1"/>
  <c r="A1288" i="1"/>
  <c r="A1890" i="1"/>
  <c r="A2718" i="1"/>
  <c r="A1444" i="1"/>
  <c r="A526" i="1"/>
  <c r="A293" i="1"/>
  <c r="A3628" i="1"/>
  <c r="A579" i="1"/>
  <c r="A7254" i="1"/>
  <c r="A6047" i="1"/>
  <c r="A1736" i="1"/>
  <c r="A7145" i="1"/>
  <c r="A1082" i="1"/>
  <c r="A4055" i="1"/>
  <c r="A571" i="1"/>
  <c r="A7364" i="1"/>
  <c r="A2261" i="1"/>
  <c r="A1770" i="1"/>
  <c r="A1656" i="1"/>
  <c r="A6836" i="1"/>
  <c r="A4316" i="1"/>
  <c r="A470" i="1"/>
  <c r="A3424" i="1"/>
  <c r="A2198" i="1"/>
  <c r="A930" i="1"/>
  <c r="A5416" i="1"/>
  <c r="A740" i="1"/>
  <c r="A2897" i="1"/>
  <c r="A6104" i="1"/>
  <c r="A2368" i="1"/>
  <c r="A498" i="1"/>
  <c r="A5526" i="1"/>
  <c r="A5800" i="1"/>
  <c r="A6364" i="1"/>
  <c r="A541" i="1"/>
  <c r="A1046" i="1"/>
  <c r="A417" i="1"/>
  <c r="A796" i="1"/>
  <c r="A1239" i="1"/>
  <c r="A1214" i="1"/>
  <c r="A2445" i="1"/>
  <c r="A4747" i="1"/>
  <c r="A6419" i="1"/>
  <c r="A3622" i="1"/>
  <c r="A5648" i="1"/>
  <c r="A461" i="1"/>
  <c r="A2035" i="1"/>
  <c r="A1114" i="1"/>
  <c r="A1966" i="1"/>
  <c r="A7136" i="1"/>
  <c r="A489" i="1"/>
  <c r="A4435" i="1"/>
  <c r="A948" i="1"/>
  <c r="A968" i="1"/>
  <c r="A2367" i="1"/>
  <c r="A6025" i="1"/>
  <c r="A7255" i="1"/>
  <c r="A2002" i="1"/>
  <c r="A1936" i="1"/>
  <c r="A5524" i="1"/>
  <c r="A794" i="1"/>
  <c r="A3163" i="1"/>
  <c r="A1588" i="1"/>
  <c r="A5591" i="1"/>
  <c r="A2001" i="1"/>
  <c r="A4599" i="1"/>
  <c r="A3423" i="1"/>
  <c r="A5463" i="1"/>
  <c r="A1191" i="1"/>
  <c r="A705" i="1"/>
  <c r="A6024" i="1"/>
  <c r="A1579" i="1"/>
  <c r="A1393" i="1"/>
  <c r="A1471" i="1"/>
  <c r="A6785" i="1"/>
  <c r="A7203" i="1"/>
  <c r="A6732" i="1"/>
  <c r="A721" i="1"/>
  <c r="A912" i="1"/>
  <c r="A6258" i="1"/>
  <c r="A1838" i="1"/>
  <c r="A2068" i="1"/>
  <c r="A1006" i="1"/>
  <c r="A1264" i="1"/>
  <c r="A4544" i="1"/>
  <c r="A4979" i="1"/>
  <c r="A4318" i="1"/>
  <c r="A321" i="1"/>
  <c r="A2036" i="1"/>
  <c r="A4103" i="1"/>
  <c r="A4482" i="1"/>
  <c r="A330" i="1"/>
  <c r="A2393" i="1"/>
  <c r="A6414" i="1"/>
  <c r="A366" i="1"/>
  <c r="A1592" i="1"/>
  <c r="A429" i="1"/>
  <c r="A2982" i="1"/>
  <c r="A1559" i="1"/>
  <c r="A6158" i="1"/>
  <c r="A3840" i="1"/>
  <c r="A7208" i="1"/>
  <c r="A2251" i="1"/>
  <c r="A5588" i="1"/>
  <c r="A7367" i="1"/>
  <c r="A6996" i="1"/>
  <c r="A780" i="1"/>
  <c r="A798" i="1"/>
  <c r="A1557" i="1"/>
  <c r="A1515" i="1"/>
  <c r="A4168" i="1"/>
  <c r="A7147" i="1"/>
  <c r="A3842" i="1"/>
  <c r="A2846" i="1"/>
  <c r="A6942" i="1"/>
  <c r="A1230" i="1"/>
  <c r="A4169" i="1"/>
  <c r="A4830" i="1"/>
  <c r="A3627" i="1"/>
  <c r="A2717" i="1"/>
  <c r="A1474" i="1"/>
  <c r="A911" i="1"/>
  <c r="A1758" i="1"/>
  <c r="A4700" i="1"/>
  <c r="A4932" i="1"/>
  <c r="A2750" i="1"/>
  <c r="A5521" i="1"/>
  <c r="A6995" i="1"/>
  <c r="A4882" i="1"/>
  <c r="A3427" i="1"/>
  <c r="A469" i="1"/>
  <c r="A880" i="1"/>
  <c r="A2519" i="1"/>
  <c r="A1472" i="1"/>
  <c r="A4381" i="1"/>
  <c r="A7311" i="1"/>
  <c r="A621" i="1"/>
  <c r="A4540" i="1"/>
  <c r="A3363" i="1"/>
  <c r="A300" i="1"/>
  <c r="A587" i="1"/>
  <c r="A528" i="1"/>
  <c r="A3724" i="1"/>
  <c r="A3225" i="1"/>
  <c r="A899" i="1"/>
  <c r="A6837" i="1"/>
  <c r="A832" i="1"/>
  <c r="A4813" i="1"/>
  <c r="A6662" i="1"/>
  <c r="A749" i="1"/>
  <c r="A1417" i="1"/>
  <c r="A1766" i="1"/>
  <c r="A4050" i="1"/>
  <c r="A1007" i="1"/>
  <c r="A1622" i="1"/>
  <c r="A6046" i="1"/>
  <c r="A2638" i="1"/>
  <c r="A3018" i="1"/>
  <c r="A1169" i="1"/>
  <c r="A1313" i="1"/>
  <c r="A4114" i="1"/>
  <c r="A6838" i="1"/>
  <c r="A1363" i="1"/>
  <c r="A1341" i="1"/>
  <c r="A6740" i="1"/>
  <c r="A1219" i="1"/>
  <c r="A2971" i="1"/>
  <c r="A1216" i="1"/>
  <c r="A2987" i="1"/>
  <c r="A595" i="1"/>
  <c r="A873" i="1"/>
  <c r="A3478" i="1"/>
  <c r="A2201" i="1"/>
  <c r="A4883" i="1"/>
  <c r="A1832" i="1"/>
  <c r="A5958" i="1"/>
  <c r="A1903" i="1"/>
  <c r="A6744" i="1"/>
  <c r="A6154" i="1"/>
  <c r="A6470" i="1"/>
  <c r="A1528" i="1"/>
  <c r="A2331" i="1"/>
  <c r="A5645" i="1"/>
  <c r="A1166" i="1"/>
  <c r="A3321" i="1"/>
  <c r="A1499" i="1"/>
  <c r="A558" i="1"/>
  <c r="A2545" i="1"/>
  <c r="A2069" i="1"/>
  <c r="A563" i="1"/>
  <c r="A1048" i="1"/>
  <c r="A1676" i="1"/>
  <c r="A1723" i="1"/>
  <c r="A6568" i="1"/>
  <c r="A2409" i="1"/>
  <c r="A3033" i="1"/>
  <c r="A5049" i="1"/>
  <c r="A727" i="1"/>
  <c r="A5590" i="1"/>
  <c r="A3890" i="1"/>
  <c r="A965" i="1"/>
  <c r="A5579" i="1"/>
  <c r="A3677" i="1"/>
  <c r="A795" i="1"/>
  <c r="A918" i="1"/>
  <c r="A1769" i="1"/>
  <c r="A4265" i="1"/>
  <c r="A1368" i="1"/>
  <c r="A704" i="1"/>
  <c r="A7315" i="1"/>
  <c r="A574" i="1"/>
  <c r="A379" i="1"/>
  <c r="A1070" i="1"/>
  <c r="A7365" i="1"/>
  <c r="A2723" i="1"/>
  <c r="A1263" i="1"/>
  <c r="A653" i="1"/>
  <c r="A6044" i="1"/>
  <c r="A6103" i="1"/>
  <c r="A3174" i="1"/>
  <c r="A1921" i="1"/>
  <c r="A7362" i="1"/>
  <c r="A3529" i="1"/>
  <c r="A3525" i="1"/>
  <c r="A2098" i="1"/>
  <c r="A7111" i="1"/>
  <c r="A6106" i="1"/>
  <c r="A392" i="1"/>
  <c r="A4648" i="1"/>
  <c r="A916" i="1"/>
  <c r="A1704" i="1"/>
  <c r="A1526" i="1"/>
  <c r="A4436" i="1"/>
  <c r="A4980" i="1"/>
  <c r="A329" i="1"/>
  <c r="A3476" i="1"/>
  <c r="A2332" i="1"/>
  <c r="A5523" i="1"/>
  <c r="A6893" i="1"/>
  <c r="A2065" i="1"/>
  <c r="A353" i="1"/>
  <c r="A757" i="1"/>
  <c r="A1074" i="1"/>
  <c r="A2677" i="1"/>
  <c r="A2983" i="1"/>
  <c r="A1935" i="1"/>
  <c r="A5198" i="1"/>
  <c r="A6468" i="1"/>
  <c r="A1203" i="1"/>
  <c r="A2130" i="1"/>
  <c r="A3568" i="1"/>
  <c r="A5960" i="1"/>
  <c r="A2480" i="1"/>
  <c r="A1800" i="1"/>
  <c r="A1031" i="1"/>
  <c r="A7057" i="1"/>
  <c r="A3123" i="1"/>
  <c r="A1871" i="1"/>
  <c r="A2168" i="1"/>
  <c r="A2639" i="1"/>
  <c r="A7056" i="1"/>
  <c r="A2335" i="1"/>
  <c r="A1314" i="1"/>
  <c r="A836" i="1"/>
  <c r="A741" i="1"/>
  <c r="A3124" i="1"/>
  <c r="A3682" i="1"/>
  <c r="A1460" i="1"/>
  <c r="A6938" i="1"/>
  <c r="A1448" i="1"/>
  <c r="A1836" i="1"/>
  <c r="A6156" i="1"/>
  <c r="A6466" i="1"/>
  <c r="A3075" i="1"/>
  <c r="A1475" i="1"/>
  <c r="A7310" i="1"/>
  <c r="A3892" i="1"/>
  <c r="A1621" i="1"/>
  <c r="A723" i="1"/>
  <c r="A2596" i="1"/>
  <c r="A778" i="1"/>
  <c r="A2557" i="1"/>
  <c r="A1546" i="1"/>
  <c r="A3576" i="1"/>
  <c r="A1144" i="1"/>
  <c r="A2478" i="1"/>
  <c r="A3681" i="1"/>
  <c r="A279" i="1"/>
  <c r="A693" i="1"/>
  <c r="A623" i="1"/>
  <c r="A954" i="1"/>
  <c r="A5525" i="1"/>
  <c r="A2003" i="1"/>
  <c r="A5200" i="1"/>
  <c r="A1500" i="1"/>
  <c r="A1419" i="1"/>
  <c r="A6016" i="1"/>
  <c r="A351" i="1"/>
  <c r="A609" i="1"/>
  <c r="A6471" i="1"/>
  <c r="A1038" i="1"/>
  <c r="A775" i="1"/>
  <c r="A1073" i="1"/>
  <c r="A1391" i="1"/>
  <c r="A2709" i="1"/>
  <c r="A2163" i="1"/>
  <c r="A375" i="1"/>
  <c r="A1931" i="1"/>
  <c r="A1381" i="1"/>
  <c r="A6997" i="1"/>
  <c r="A1900" i="1"/>
  <c r="A2762" i="1"/>
  <c r="A815" i="1"/>
  <c r="A7366" i="1"/>
  <c r="A3322" i="1"/>
  <c r="A2584" i="1"/>
  <c r="A1305" i="1"/>
  <c r="A2446" i="1"/>
  <c r="A4748" i="1"/>
  <c r="A4984" i="1"/>
  <c r="A1343" i="1"/>
  <c r="A3993" i="1"/>
  <c r="A3938" i="1"/>
  <c r="A4832" i="1"/>
  <c r="A1805" i="1"/>
  <c r="A4529" i="1"/>
  <c r="A3630" i="1"/>
  <c r="A831" i="1"/>
  <c r="A5263" i="1"/>
  <c r="A6701" i="1"/>
  <c r="A2939" i="1"/>
  <c r="A4542" i="1"/>
  <c r="A475" i="1"/>
  <c r="A3031" i="1"/>
  <c r="A5798" i="1"/>
  <c r="A589" i="1"/>
  <c r="A6782" i="1"/>
  <c r="A1095" i="1"/>
  <c r="A2597" i="1"/>
  <c r="A3731" i="1"/>
  <c r="A1205" i="1"/>
  <c r="A1165" i="1"/>
  <c r="A4829" i="1"/>
  <c r="A6045" i="1"/>
  <c r="A1265" i="1"/>
  <c r="A2721" i="1"/>
  <c r="A2482" i="1"/>
  <c r="A3620" i="1"/>
  <c r="A428" i="1"/>
  <c r="A4270" i="1"/>
  <c r="A6465" i="1"/>
  <c r="A4483" i="1"/>
  <c r="A739" i="1"/>
  <c r="A2795" i="1"/>
  <c r="A2850" i="1"/>
  <c r="A1618" i="1"/>
  <c r="A5100" i="1"/>
  <c r="A4115" i="1"/>
  <c r="A821" i="1"/>
  <c r="A547" i="1"/>
  <c r="A1029" i="1"/>
  <c r="A1080" i="1"/>
  <c r="A6661" i="1"/>
  <c r="A4378" i="1"/>
  <c r="A517" i="1"/>
  <c r="A671" i="1"/>
  <c r="A4113" i="1"/>
  <c r="A447" i="1"/>
  <c r="A2928" i="1"/>
  <c r="A2323" i="1"/>
  <c r="A6730" i="1"/>
  <c r="A3518" i="1"/>
  <c r="A272" i="1"/>
  <c r="A1641" i="1"/>
  <c r="A4116" i="1"/>
  <c r="A4597" i="1"/>
  <c r="A1954" i="1"/>
  <c r="A5649" i="1"/>
  <c r="A5362" i="1"/>
  <c r="A1857" i="1"/>
  <c r="A5518" i="1"/>
  <c r="A1529" i="1"/>
  <c r="A3210" i="1"/>
  <c r="A5046" i="1"/>
  <c r="A3790" i="1"/>
  <c r="A5312" i="1"/>
  <c r="A6889" i="1"/>
  <c r="A724" i="1"/>
  <c r="A6043" i="1"/>
  <c r="A1803" i="1"/>
  <c r="A5366" i="1"/>
  <c r="A4384" i="1"/>
  <c r="A4484" i="1"/>
  <c r="A3788" i="1"/>
  <c r="A5261" i="1"/>
  <c r="A3076" i="1"/>
  <c r="A1687" i="1"/>
  <c r="A2133" i="1"/>
  <c r="A5048" i="1"/>
  <c r="A2086" i="1"/>
  <c r="A2371" i="1"/>
  <c r="A7202" i="1"/>
  <c r="A2356" i="1"/>
  <c r="A804" i="1"/>
  <c r="A2893" i="1"/>
  <c r="A1118" i="1"/>
  <c r="A2232" i="1"/>
  <c r="A731" i="1"/>
  <c r="A758" i="1"/>
  <c r="A2973" i="1"/>
  <c r="A4814" i="1"/>
  <c r="A2064" i="1"/>
  <c r="A3376" i="1"/>
  <c r="A1870" i="1"/>
  <c r="A1418" i="1"/>
  <c r="A513" i="1"/>
  <c r="A1801" i="1"/>
  <c r="A1968" i="1"/>
  <c r="A834" i="1"/>
  <c r="A2561" i="1"/>
  <c r="A6155" i="1"/>
  <c r="A3275" i="1"/>
  <c r="A4105" i="1"/>
  <c r="A2942" i="1"/>
  <c r="A2167" i="1"/>
  <c r="A1888" i="1"/>
  <c r="A456" i="1"/>
  <c r="A759" i="1"/>
  <c r="A1104" i="1"/>
  <c r="A2430" i="1"/>
  <c r="A1855" i="1"/>
  <c r="A5314" i="1"/>
  <c r="A1587" i="1"/>
  <c r="A6571" i="1"/>
  <c r="A928" i="1"/>
  <c r="A459" i="1"/>
  <c r="A2403" i="1"/>
  <c r="A6570" i="1"/>
  <c r="A4646" i="1"/>
  <c r="A3412" i="1"/>
  <c r="A5467" i="1"/>
  <c r="A840" i="1"/>
  <c r="A2793" i="1"/>
  <c r="A4215" i="1"/>
  <c r="A1737" i="1"/>
  <c r="A5928" i="1"/>
  <c r="A6888" i="1"/>
  <c r="A1560" i="1"/>
  <c r="A1138" i="1"/>
  <c r="A6943" i="1"/>
  <c r="A2752" i="1"/>
  <c r="A1498" i="1"/>
  <c r="A5418" i="1"/>
  <c r="A3020" i="1"/>
  <c r="A5856" i="1"/>
  <c r="A1867" i="1"/>
  <c r="A5415" i="1"/>
  <c r="A2516" i="1"/>
  <c r="A690" i="1"/>
  <c r="A6516" i="1"/>
  <c r="A2407" i="1"/>
  <c r="A5201" i="1"/>
  <c r="A401" i="1"/>
  <c r="A2719" i="1"/>
  <c r="A1771" i="1"/>
  <c r="A1473" i="1"/>
  <c r="A1328" i="1"/>
  <c r="A4541" i="1"/>
  <c r="A5593" i="1"/>
  <c r="A6743" i="1"/>
  <c r="A4052" i="1"/>
  <c r="A6105" i="1"/>
  <c r="A2625" i="1"/>
  <c r="A483" i="1"/>
  <c r="A1804" i="1"/>
  <c r="A2301" i="1"/>
  <c r="A654" i="1"/>
  <c r="A4430" i="1"/>
  <c r="A3527" i="1"/>
  <c r="A2891" i="1"/>
  <c r="A2763" i="1"/>
  <c r="A670" i="1"/>
  <c r="A1833" i="1"/>
  <c r="A532" i="1"/>
  <c r="A6520" i="1"/>
  <c r="A6367" i="1"/>
  <c r="A7260" i="1"/>
  <c r="A487" i="1"/>
  <c r="A894" i="1"/>
  <c r="A1686" i="1"/>
  <c r="A6048" i="1"/>
  <c r="A1923" i="1"/>
  <c r="A6786" i="1"/>
  <c r="A4266" i="1"/>
  <c r="A443" i="1"/>
  <c r="A605" i="1"/>
  <c r="A2230" i="1"/>
  <c r="A2302" i="1"/>
  <c r="A1791" i="1"/>
  <c r="A1987" i="1"/>
  <c r="A1168" i="1"/>
  <c r="A3722" i="1"/>
  <c r="A348" i="1"/>
  <c r="A677" i="1"/>
  <c r="A307" i="1"/>
  <c r="A3942" i="1"/>
  <c r="A6259" i="1"/>
  <c r="A1525" i="1"/>
  <c r="A2849" i="1"/>
  <c r="A4595" i="1"/>
  <c r="A4267" i="1"/>
  <c r="A4698" i="1"/>
  <c r="A837" i="1"/>
  <c r="A4817" i="1"/>
  <c r="A3941" i="1"/>
  <c r="A2481" i="1"/>
  <c r="A637" i="1"/>
  <c r="A577" i="1"/>
  <c r="A4317" i="1"/>
  <c r="A4649" i="1"/>
  <c r="A706" i="1"/>
  <c r="A6257" i="1"/>
  <c r="A2764" i="1"/>
  <c r="A3580" i="1"/>
  <c r="A869" i="1"/>
  <c r="A1009" i="1"/>
  <c r="A4000" i="1"/>
  <c r="A1050" i="1"/>
  <c r="A874" i="1"/>
  <c r="A2640" i="1"/>
  <c r="A950" i="1"/>
  <c r="A1702" i="1"/>
  <c r="A3791" i="1"/>
  <c r="A2253" i="1"/>
  <c r="A1268" i="1"/>
  <c r="A3223" i="1"/>
  <c r="A497" i="1"/>
  <c r="A3671" i="1"/>
  <c r="A1120" i="1"/>
  <c r="A2187" i="1"/>
  <c r="A1027" i="1"/>
  <c r="A4432" i="1"/>
  <c r="A1768" i="1"/>
  <c r="A1462" i="1"/>
  <c r="A6741" i="1"/>
  <c r="A2847" i="1"/>
  <c r="A4884" i="1"/>
  <c r="A2981" i="1"/>
  <c r="A779" i="1"/>
  <c r="A7259" i="1"/>
  <c r="A909" i="1"/>
  <c r="A5927" i="1"/>
  <c r="A1366" i="1"/>
  <c r="A5750" i="1"/>
  <c r="A4004" i="1"/>
  <c r="A1824" i="1"/>
  <c r="A471" i="1"/>
  <c r="A1406" i="1"/>
  <c r="A2985" i="1"/>
  <c r="A5096" i="1"/>
  <c r="A816" i="1"/>
  <c r="A5266" i="1"/>
  <c r="A2676" i="1"/>
  <c r="A669" i="1"/>
  <c r="A3171" i="1"/>
  <c r="A2296" i="1"/>
  <c r="G135" i="1" l="1"/>
  <c r="P135" i="1"/>
  <c r="D141" i="1"/>
  <c r="P136" i="1"/>
  <c r="K18" i="12"/>
  <c r="G141" i="1"/>
  <c r="H27" i="1"/>
  <c r="G136" i="1"/>
  <c r="A3573" i="1" l="1"/>
  <c r="A218" i="1"/>
  <c r="A962" i="1"/>
  <c r="A6696" i="1"/>
  <c r="A160" i="1"/>
  <c r="A5143" i="1"/>
  <c r="A649" i="1"/>
  <c r="A1112" i="1"/>
  <c r="A2028" i="1"/>
  <c r="A5642" i="1"/>
  <c r="A4537" i="1"/>
  <c r="A6514" i="1"/>
  <c r="A1929" i="1"/>
  <c r="A1161" i="1"/>
  <c r="A585" i="1"/>
  <c r="A2061" i="1"/>
  <c r="A243" i="1"/>
  <c r="A5519" i="1"/>
  <c r="A1044" i="1"/>
  <c r="A4877" i="1"/>
  <c r="A335" i="1"/>
  <c r="A1236" i="1"/>
  <c r="A3835" i="1"/>
  <c r="A153" i="1"/>
  <c r="A7049" i="1"/>
  <c r="A1387" i="1"/>
  <c r="A291" i="1"/>
  <c r="A197" i="1"/>
  <c r="A886" i="1"/>
  <c r="A666" i="1"/>
  <c r="A3885" i="1"/>
  <c r="A5309" i="1"/>
  <c r="A169" i="1"/>
  <c r="A523" i="1"/>
  <c r="A569" i="1"/>
  <c r="A2094" i="1"/>
  <c r="A6254" i="1"/>
  <c r="A359" i="1"/>
  <c r="A2226" i="1"/>
  <c r="A5043" i="1"/>
  <c r="A1649" i="1"/>
  <c r="A509" i="1"/>
  <c r="A1698" i="1"/>
  <c r="A253" i="1"/>
  <c r="A5693" i="1"/>
  <c r="A5193" i="1"/>
  <c r="A4111" i="1"/>
  <c r="A1336" i="1"/>
  <c r="A3369" i="1"/>
  <c r="A1311" i="1"/>
  <c r="A4478" i="1"/>
  <c r="A2438" i="1"/>
  <c r="A258" i="1"/>
  <c r="A372" i="1"/>
  <c r="A617" i="1"/>
  <c r="A1554" i="1"/>
  <c r="A1962" i="1"/>
  <c r="A2715" i="1"/>
  <c r="A298" i="1"/>
  <c r="A467" i="1"/>
  <c r="A6936" i="1"/>
  <c r="A277" i="1"/>
  <c r="A2844" i="1"/>
  <c r="A4263" i="1"/>
  <c r="A425" i="1"/>
  <c r="A683" i="1"/>
  <c r="A5093" i="1"/>
  <c r="A943" i="1"/>
  <c r="A284" i="1"/>
  <c r="A791" i="1"/>
  <c r="A924" i="1"/>
  <c r="A6308" i="1"/>
  <c r="A209" i="1"/>
  <c r="A4927" i="1"/>
  <c r="A1261" i="1"/>
  <c r="A5410" i="1"/>
  <c r="A5849" i="1"/>
  <c r="A385" i="1"/>
  <c r="A2674" i="1"/>
  <c r="A248" i="1"/>
  <c r="A553" i="1"/>
  <c r="A4694" i="1"/>
  <c r="A6022" i="1"/>
  <c r="A829" i="1"/>
  <c r="A205" i="1"/>
  <c r="A178" i="1"/>
  <c r="A4313" i="1"/>
  <c r="A7307" i="1"/>
  <c r="A3936" i="1"/>
  <c r="A3073" i="1"/>
  <c r="A185" i="1"/>
  <c r="A6151" i="1"/>
  <c r="A1286" i="1"/>
  <c r="A7142" i="1"/>
  <c r="A848" i="1"/>
  <c r="A4810" i="1"/>
  <c r="A3998" i="1"/>
  <c r="A601" i="1"/>
  <c r="A346" i="1"/>
  <c r="A4644" i="1"/>
  <c r="A4428" i="1"/>
  <c r="A6202" i="1"/>
  <c r="A193" i="1"/>
  <c r="A6041" i="1"/>
  <c r="A905" i="1"/>
  <c r="A228" i="1"/>
  <c r="A2160" i="1"/>
  <c r="A6362" i="1"/>
  <c r="A2514" i="1"/>
  <c r="A7360" i="1"/>
  <c r="A2193" i="1"/>
  <c r="A3675" i="1"/>
  <c r="A4163" i="1"/>
  <c r="J27" i="1"/>
  <c r="A1066" i="1"/>
  <c r="A5796" i="1"/>
  <c r="A633" i="1"/>
  <c r="A5585" i="1"/>
  <c r="A213" i="1"/>
  <c r="A1002" i="1"/>
  <c r="A6885" i="1"/>
  <c r="A4048" i="1"/>
  <c r="A5905" i="1"/>
  <c r="A2592" i="1"/>
  <c r="A453" i="1"/>
  <c r="A1186" i="1"/>
  <c r="A3624" i="1"/>
  <c r="A495" i="1"/>
  <c r="A1023" i="1"/>
  <c r="A2364" i="1"/>
  <c r="A1731" i="1"/>
  <c r="A2889" i="1"/>
  <c r="A3473" i="1"/>
  <c r="A3120" i="1"/>
  <c r="A2127" i="1"/>
  <c r="A2979" i="1"/>
  <c r="A5956" i="1"/>
  <c r="A1863" i="1"/>
  <c r="A6737" i="1"/>
  <c r="A3267" i="1"/>
  <c r="A2329" i="1"/>
  <c r="A867" i="1"/>
  <c r="A701" i="1"/>
  <c r="A810" i="1"/>
  <c r="A773" i="1"/>
  <c r="A175" i="1"/>
  <c r="A2633" i="1"/>
  <c r="A1682" i="1"/>
  <c r="A158" i="1"/>
  <c r="A398" i="1"/>
  <c r="A1136" i="1"/>
  <c r="A2401" i="1"/>
  <c r="A305" i="1"/>
  <c r="A2294" i="1"/>
  <c r="A1414" i="1"/>
  <c r="A1585" i="1"/>
  <c r="A2553" i="1"/>
  <c r="A223" i="1"/>
  <c r="A3727" i="1"/>
  <c r="A1896" i="1"/>
  <c r="A189" i="1"/>
  <c r="A319" i="1"/>
  <c r="A1830" i="1"/>
  <c r="A6992" i="1"/>
  <c r="A5920" i="1"/>
  <c r="A1616" i="1"/>
  <c r="A1441" i="1"/>
  <c r="A3523" i="1"/>
  <c r="A1797" i="1"/>
  <c r="A3785" i="1"/>
  <c r="A1764" i="1"/>
  <c r="A263" i="1"/>
  <c r="A4744" i="1"/>
  <c r="A6831" i="1"/>
  <c r="A6657" i="1"/>
  <c r="A1468" i="1"/>
  <c r="A181" i="1"/>
  <c r="A1361" i="1"/>
  <c r="A3218" i="1"/>
  <c r="A2801" i="1"/>
  <c r="A755" i="1"/>
  <c r="A6412" i="1"/>
  <c r="A411" i="1"/>
  <c r="A1088" i="1"/>
  <c r="A737" i="1"/>
  <c r="A270" i="1"/>
  <c r="A5359" i="1"/>
  <c r="A481" i="1"/>
  <c r="A233" i="1"/>
  <c r="A2758" i="1"/>
  <c r="A7200" i="1"/>
  <c r="A5460" i="1"/>
  <c r="A439" i="1"/>
  <c r="A6565" i="1"/>
  <c r="A6463" i="1"/>
  <c r="A1495" i="1"/>
  <c r="A982" i="1"/>
  <c r="A1995" i="1"/>
  <c r="A719" i="1"/>
  <c r="A2259" i="1"/>
  <c r="A3318" i="1"/>
  <c r="A7252" i="1"/>
  <c r="A4213" i="1"/>
  <c r="A3420" i="1"/>
  <c r="A327" i="1"/>
  <c r="A1211" i="1"/>
  <c r="A6779" i="1"/>
  <c r="A6100" i="1"/>
  <c r="A172" i="1"/>
  <c r="A166" i="1"/>
  <c r="A238" i="1"/>
  <c r="A154" i="1"/>
  <c r="A4592" i="1"/>
  <c r="A163" i="1"/>
  <c r="A312" i="1"/>
  <c r="A2934" i="1"/>
  <c r="A1523" i="1"/>
  <c r="A538" i="1"/>
  <c r="A5745" i="1"/>
  <c r="A4977" i="1"/>
  <c r="A4376" i="1"/>
  <c r="A152" i="1"/>
  <c r="A3169" i="1"/>
  <c r="A156" i="1"/>
  <c r="A5259" i="1"/>
  <c r="A201" i="1"/>
  <c r="A3026" i="1"/>
  <c r="A2475" i="1"/>
  <c r="K11" i="12"/>
  <c r="K12" i="12"/>
  <c r="K13" i="12"/>
  <c r="K14" i="12"/>
  <c r="K15" i="12"/>
  <c r="K16" i="12"/>
  <c r="K5" i="12"/>
  <c r="K6" i="12"/>
  <c r="K7" i="12"/>
  <c r="K8" i="12"/>
  <c r="K9" i="12"/>
  <c r="K10" i="12"/>
  <c r="P141" i="1"/>
  <c r="G142" i="1"/>
  <c r="K17" i="12" l="1"/>
  <c r="H33" i="1"/>
  <c r="J34" i="1" s="1"/>
  <c r="H34" i="1"/>
  <c r="J32" i="1"/>
  <c r="H10" i="1" s="1"/>
  <c r="K27" i="1"/>
  <c r="K32" i="1" s="1"/>
  <c r="D145" i="1" l="1"/>
  <c r="H8" i="1"/>
  <c r="D145" i="15"/>
  <c r="L34" i="1"/>
  <c r="H10" i="15"/>
  <c r="G143" i="1"/>
  <c r="I9" i="1"/>
  <c r="K144" i="1" l="1"/>
  <c r="D144" i="1"/>
  <c r="I10" i="1" s="1"/>
  <c r="G144" i="1"/>
  <c r="I9" i="15"/>
  <c r="G143" i="15"/>
  <c r="D144" i="15" s="1"/>
  <c r="I10" i="15" s="1"/>
  <c r="H8" i="15"/>
  <c r="H6" i="1"/>
  <c r="I7" i="1"/>
  <c r="I5" i="1" l="1"/>
  <c r="H6" i="15"/>
  <c r="I5" i="15" s="1"/>
  <c r="M8" i="15"/>
  <c r="I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Hallgarth</author>
  </authors>
  <commentList>
    <comment ref="C2" authorId="0" shapeId="0" xr:uid="{23A434EB-47A4-45F7-B955-2FF25B2D67EA}">
      <text>
        <r>
          <rPr>
            <b/>
            <sz val="18"/>
            <color rgb="FF000000"/>
            <rFont val="Tahoma"/>
            <family val="2"/>
          </rPr>
          <t>Note to User:</t>
        </r>
        <r>
          <rPr>
            <sz val="18"/>
            <color rgb="FF000000"/>
            <rFont val="Tahoma"/>
            <family val="2"/>
          </rPr>
          <t xml:space="preserve">
</t>
        </r>
        <r>
          <rPr>
            <sz val="18"/>
            <color rgb="FF000000"/>
            <rFont val="Tahoma"/>
            <family val="2"/>
          </rPr>
          <t xml:space="preserve">Any OBC SB12 references 
</t>
        </r>
        <r>
          <rPr>
            <sz val="18"/>
            <color rgb="FF000000"/>
            <rFont val="Tahoma"/>
            <family val="2"/>
          </rPr>
          <t>must have unique values for Index Match to work. (v1, v2 or other…)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<sst xmlns="http://schemas.openxmlformats.org/spreadsheetml/2006/main" count="3433" uniqueCount="2210">
  <si>
    <t>kWh/yr</t>
  </si>
  <si>
    <t>m3</t>
  </si>
  <si>
    <t>ekWh/yr</t>
  </si>
  <si>
    <t>litres/yr</t>
  </si>
  <si>
    <r>
      <rPr>
        <sz val="16"/>
        <color indexed="8"/>
        <rFont val="Arial"/>
        <family val="2"/>
      </rPr>
      <t>kWh/m</t>
    </r>
    <r>
      <rPr>
        <vertAlign val="superscript"/>
        <sz val="16"/>
        <color indexed="8"/>
        <rFont val="Arial"/>
        <family val="2"/>
      </rPr>
      <t>2</t>
    </r>
    <r>
      <rPr>
        <sz val="16"/>
        <color indexed="8"/>
        <rFont val="Arial"/>
        <family val="2"/>
      </rPr>
      <t>/yr</t>
    </r>
  </si>
  <si>
    <t>MT/yr CO2e</t>
  </si>
  <si>
    <r>
      <rPr>
        <sz val="16"/>
        <color indexed="8"/>
        <rFont val="Arial"/>
        <family val="2"/>
      </rPr>
      <t>Bq/m</t>
    </r>
    <r>
      <rPr>
        <vertAlign val="superscript"/>
        <sz val="16"/>
        <color indexed="8"/>
        <rFont val="Arial"/>
        <family val="2"/>
      </rPr>
      <t>3</t>
    </r>
  </si>
  <si>
    <t>ppm</t>
  </si>
  <si>
    <t>%</t>
  </si>
  <si>
    <t>W/m2•K</t>
  </si>
  <si>
    <t>HSPF</t>
  </si>
  <si>
    <t>NECB Reference Values</t>
  </si>
  <si>
    <t>Comments</t>
  </si>
  <si>
    <t>No National Standard Except for CGBC NZEB Requires Carbon Reporting</t>
  </si>
  <si>
    <t>Based on 2015 National Canadian Average</t>
  </si>
  <si>
    <t>No National Standard for Carbon Emissions Reporting</t>
  </si>
  <si>
    <t>OBC SB12 3.1.1.2.C4</t>
  </si>
  <si>
    <t>OBC SB12 3.1.1.2.C1</t>
  </si>
  <si>
    <t>Replacing SB10</t>
  </si>
  <si>
    <r>
      <rPr>
        <b/>
        <sz val="12"/>
        <color rgb="FFFF0000"/>
        <rFont val="Helvetica Neue"/>
        <family val="2"/>
      </rPr>
      <t>Calculated Field:</t>
    </r>
    <r>
      <rPr>
        <sz val="12"/>
        <color indexed="8"/>
        <rFont val="Helvetica Neue"/>
        <family val="2"/>
      </rPr>
      <t xml:space="preserve"> by taking the sum of the Electricity, Gas and Oil based energy use from utility bills in terms of equivalent Kilowatt-hours and dividing the sum by 277.7777 to convert to Gigajoules as recommended by the proposed National Energy Step Code (NBC). The National Average from 2015 is </t>
    </r>
    <r>
      <rPr>
        <b/>
        <sz val="12"/>
        <color indexed="8"/>
        <rFont val="Helvetica Neue"/>
        <family val="2"/>
      </rPr>
      <t>203kWh/m2 and so the percentage based result reflects this National Average</t>
    </r>
  </si>
  <si>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an annual total as noted on energy bills for the building. This should have an auditable paper trail</t>
    </r>
  </si>
  <si>
    <r>
      <rPr>
        <b/>
        <sz val="12"/>
        <color rgb="FFFF0000"/>
        <rFont val="Helvetica Neue"/>
        <family val="2"/>
      </rPr>
      <t>Calculated Field:</t>
    </r>
    <r>
      <rPr>
        <sz val="12"/>
        <color indexed="8"/>
        <rFont val="Helvetica Neue"/>
        <family val="2"/>
      </rPr>
      <t> </t>
    </r>
    <r>
      <rPr>
        <b/>
        <sz val="12"/>
        <color indexed="8"/>
        <rFont val="Helvetica Neue"/>
        <family val="2"/>
      </rPr>
      <t xml:space="preserve"> </t>
    </r>
    <r>
      <rPr>
        <sz val="12"/>
        <color indexed="8"/>
        <rFont val="Helvetica Neue"/>
        <family val="2"/>
      </rPr>
      <t>Energy Use Intensity takes the sum of all Energy Consumption and divides this by the Building Size. The National Average from 2015 is 203kWh/m2 and so the percentage is relative to 203.</t>
    </r>
  </si>
  <si>
    <r>
      <rPr>
        <b/>
        <sz val="12"/>
        <color rgb="FFFF0000"/>
        <rFont val="Helvetica Neue"/>
        <family val="2"/>
      </rPr>
      <t>Calculated Field:</t>
    </r>
    <r>
      <rPr>
        <sz val="12"/>
        <color indexed="8"/>
        <rFont val="Helvetica Neue"/>
        <family val="2"/>
      </rPr>
      <t>  This takes the carbon intensity of the respective Energy Consumption Fields above, substracts offsets  and returns a total. 7MT Assumed to be NORMAL for 4 Occupants</t>
    </r>
  </si>
  <si>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the designer's best estimate of all materials used in construction. Should include GWP data sheets from material suppliers and allow for transportation energy and a local assembly carbon footprint allowance. Use of carbon offsets does not get applied at this cell. 78 Metric Tons of CO2 is assumed as a National Target per Building. This is to be refined in subsequent releases once more data becomes available.</t>
    </r>
  </si>
  <si>
    <r>
      <rPr>
        <b/>
        <sz val="12"/>
        <color rgb="FFFF0000"/>
        <rFont val="Helvetica Neue"/>
        <family val="2"/>
      </rPr>
      <t>Calculated Field:</t>
    </r>
    <r>
      <rPr>
        <sz val="12"/>
        <color indexed="8"/>
        <rFont val="Helvetica Neue"/>
        <family val="2"/>
      </rPr>
      <t xml:space="preserve"> This takes the carbon intensity of Embodied Carbon one cell above and divides by Building Size to derive an intensity figure.</t>
    </r>
  </si>
  <si>
    <r>
      <rPr>
        <b/>
        <sz val="12"/>
        <color indexed="10"/>
        <rFont val="Helvetica Neue"/>
        <family val="2"/>
      </rPr>
      <t>User defined field:</t>
    </r>
    <r>
      <rPr>
        <b/>
        <sz val="12"/>
        <color indexed="8"/>
        <rFont val="Helvetica Neue"/>
        <family val="2"/>
      </rPr>
      <t xml:space="preserve"> </t>
    </r>
    <r>
      <rPr>
        <sz val="12"/>
        <color indexed="8"/>
        <rFont val="Helvetica Neue"/>
        <family val="2"/>
      </rPr>
      <t>Annual locally produced electricity from Wind Energy</t>
    </r>
  </si>
  <si>
    <r>
      <rPr>
        <b/>
        <sz val="12"/>
        <color rgb="FFFF0000"/>
        <rFont val="Helvetica Neue"/>
        <family val="2"/>
      </rPr>
      <t>Calculated Field:</t>
    </r>
    <r>
      <rPr>
        <sz val="12"/>
        <color indexed="8"/>
        <rFont val="Helvetica Neue"/>
        <family val="2"/>
      </rPr>
      <t> </t>
    </r>
    <r>
      <rPr>
        <b/>
        <sz val="12"/>
        <color indexed="8"/>
        <rFont val="Helvetica Neue"/>
        <family val="2"/>
      </rPr>
      <t xml:space="preserve"> </t>
    </r>
    <r>
      <rPr>
        <sz val="12"/>
        <color indexed="8"/>
        <rFont val="Helvetica Neue"/>
        <family val="2"/>
      </rPr>
      <t>An AQI index figure is taken as an average of the measurements from below</t>
    </r>
    <r>
      <rPr>
        <b/>
        <sz val="12"/>
        <color indexed="8"/>
        <rFont val="Helvetica Neue"/>
        <family val="2"/>
      </rPr>
      <t>. &lt;100% = Good, &gt;100% Poor</t>
    </r>
  </si>
  <si>
    <r>
      <rPr>
        <b/>
        <sz val="12"/>
        <color indexed="10"/>
        <rFont val="Helvetica Neue"/>
        <family val="2"/>
      </rPr>
      <t>User Defined Field:</t>
    </r>
    <r>
      <rPr>
        <sz val="12"/>
        <color indexed="8"/>
        <rFont val="Helvetica Neue"/>
        <family val="2"/>
      </rPr>
      <t xml:space="preserve"> Taken from a local IAQ/EAQ monitoring system such as Airthings. 150 Bq/m3 is considered the National Upper limit for safe levels of Radon, anything greater requires remediation</t>
    </r>
  </si>
  <si>
    <r>
      <rPr>
        <b/>
        <sz val="12"/>
        <color indexed="10"/>
        <rFont val="Helvetica Neue"/>
        <family val="2"/>
      </rPr>
      <t>User Defined Field:</t>
    </r>
    <r>
      <rPr>
        <sz val="12"/>
        <color indexed="8"/>
        <rFont val="Helvetica Neue"/>
        <family val="2"/>
      </rPr>
      <t xml:space="preserve"> Taken from a local IAQ/EAQ monitoring system such as Airthings. 1,000ppm is considered the National Upper limit by Health Canada for safe levels of CO2, anything greater requires remediation</t>
    </r>
  </si>
  <si>
    <r>
      <rPr>
        <b/>
        <sz val="12"/>
        <color indexed="10"/>
        <rFont val="Helvetica Neue"/>
        <family val="2"/>
      </rPr>
      <t>User Defined Field</t>
    </r>
    <r>
      <rPr>
        <b/>
        <sz val="12"/>
        <color indexed="8"/>
        <rFont val="Helvetica Neue"/>
        <family val="2"/>
      </rPr>
      <t>:</t>
    </r>
    <r>
      <rPr>
        <sz val="12"/>
        <color indexed="8"/>
        <rFont val="Helvetica Neue"/>
        <family val="2"/>
      </rPr>
      <t xml:space="preserve"> Taken from a local IAQ/EAQ monitoring system such as Airthings. 400ppm is considered the National Upper limit for safe levels of TVOC, anything greater requires remediation</t>
    </r>
  </si>
  <si>
    <r>
      <rPr>
        <b/>
        <sz val="12"/>
        <color indexed="10"/>
        <rFont val="Helvetica Neue"/>
        <family val="2"/>
      </rPr>
      <t>User Defined Field:</t>
    </r>
    <r>
      <rPr>
        <sz val="12"/>
        <color indexed="8"/>
        <rFont val="Helvetica Neue"/>
        <family val="2"/>
      </rPr>
      <t xml:space="preserve"> All values min. required by the noted reference standard in Cell D4</t>
    </r>
  </si>
  <si>
    <r>
      <t>m</t>
    </r>
    <r>
      <rPr>
        <vertAlign val="superscript"/>
        <sz val="16"/>
        <color indexed="8"/>
        <rFont val="Arial"/>
        <family val="2"/>
      </rPr>
      <t>3</t>
    </r>
  </si>
  <si>
    <t>l/s</t>
  </si>
  <si>
    <t>kW</t>
  </si>
  <si>
    <t>-</t>
  </si>
  <si>
    <t>BTU/hr</t>
  </si>
  <si>
    <t>ºC</t>
  </si>
  <si>
    <t>Location</t>
  </si>
  <si>
    <t>Design Temperature</t>
  </si>
  <si>
    <t>January</t>
  </si>
  <si>
    <t>July 2.5%</t>
  </si>
  <si>
    <t>Ailsa Craig</t>
  </si>
  <si>
    <t>Ajax</t>
  </si>
  <si>
    <t>Alexandria</t>
  </si>
  <si>
    <t>Alliston</t>
  </si>
  <si>
    <t>Almonte</t>
  </si>
  <si>
    <t>Armstrong</t>
  </si>
  <si>
    <t>Arnprior</t>
  </si>
  <si>
    <t>Atikokan</t>
  </si>
  <si>
    <t>Attawapiskat</t>
  </si>
  <si>
    <t>Aurora</t>
  </si>
  <si>
    <t>Bancroft</t>
  </si>
  <si>
    <t>Barrie</t>
  </si>
  <si>
    <t>Barriefield</t>
  </si>
  <si>
    <t>Beaverton</t>
  </si>
  <si>
    <t>Belleville</t>
  </si>
  <si>
    <t>Belmont</t>
  </si>
  <si>
    <t>Bracebridge</t>
  </si>
  <si>
    <t>Bradford</t>
  </si>
  <si>
    <t>Brampton</t>
  </si>
  <si>
    <t>Brantford</t>
  </si>
  <si>
    <t>Brighton</t>
  </si>
  <si>
    <t>Brockville</t>
  </si>
  <si>
    <t>Burk's Falls</t>
  </si>
  <si>
    <t>Burlington</t>
  </si>
  <si>
    <t>Cambridge</t>
  </si>
  <si>
    <t>Campbellford</t>
  </si>
  <si>
    <t>Cannington</t>
  </si>
  <si>
    <t>Carleton Place</t>
  </si>
  <si>
    <t>Cavan</t>
  </si>
  <si>
    <t>Centralia</t>
  </si>
  <si>
    <t>Chapleau</t>
  </si>
  <si>
    <t>Chatham</t>
  </si>
  <si>
    <t>Chesley</t>
  </si>
  <si>
    <t>Clinton</t>
  </si>
  <si>
    <t>Coboconk</t>
  </si>
  <si>
    <t>Cobourg</t>
  </si>
  <si>
    <t>Cochrane</t>
  </si>
  <si>
    <t>Colborne</t>
  </si>
  <si>
    <t>Collingwood</t>
  </si>
  <si>
    <t>Cornwall</t>
  </si>
  <si>
    <t>Corunna</t>
  </si>
  <si>
    <t>Deep River</t>
  </si>
  <si>
    <t>Dorchester</t>
  </si>
  <si>
    <t>Dorion</t>
  </si>
  <si>
    <t>Dresden</t>
  </si>
  <si>
    <t>Dryden</t>
  </si>
  <si>
    <t>Dundalk</t>
  </si>
  <si>
    <t>Dunnville</t>
  </si>
  <si>
    <t>Durham</t>
  </si>
  <si>
    <t>Dutton</t>
  </si>
  <si>
    <t>Earlton</t>
  </si>
  <si>
    <t>Edison</t>
  </si>
  <si>
    <t>Elliot Lake</t>
  </si>
  <si>
    <t>Elmvale</t>
  </si>
  <si>
    <t>Embro</t>
  </si>
  <si>
    <t>Englehart</t>
  </si>
  <si>
    <t>Espanola</t>
  </si>
  <si>
    <t>Exeter</t>
  </si>
  <si>
    <t>Fenelon Falls</t>
  </si>
  <si>
    <t>Fergus</t>
  </si>
  <si>
    <t>Forest</t>
  </si>
  <si>
    <t>Fort Erie</t>
  </si>
  <si>
    <t>Fort Erie (Ridgeway)</t>
  </si>
  <si>
    <t>Fort Frances</t>
  </si>
  <si>
    <t>Gananoque</t>
  </si>
  <si>
    <t>Geraldton</t>
  </si>
  <si>
    <t>Glencoe</t>
  </si>
  <si>
    <t>Goderich</t>
  </si>
  <si>
    <t>Gore Bay</t>
  </si>
  <si>
    <t>Graham</t>
  </si>
  <si>
    <t>Gravenhurst (Muskoka Airport)</t>
  </si>
  <si>
    <t>Grimsby</t>
  </si>
  <si>
    <t>Guelph</t>
  </si>
  <si>
    <t>Guthrie</t>
  </si>
  <si>
    <t>Haileybury</t>
  </si>
  <si>
    <t>Haldimand (Caledonia)</t>
  </si>
  <si>
    <t>Haldimand (Hagersville)</t>
  </si>
  <si>
    <t>Haliburton</t>
  </si>
  <si>
    <t>Halton Hills (Georgetown)</t>
  </si>
  <si>
    <t>Hanover</t>
  </si>
  <si>
    <t>Hastings</t>
  </si>
  <si>
    <t>Hawkesbury</t>
  </si>
  <si>
    <t>Hearst</t>
  </si>
  <si>
    <t>Honey Harbour</t>
  </si>
  <si>
    <t>Hornepayne</t>
  </si>
  <si>
    <t>Huntsville</t>
  </si>
  <si>
    <t>Ingersoll</t>
  </si>
  <si>
    <t>Iroquois Falls</t>
  </si>
  <si>
    <t>Jellicoe</t>
  </si>
  <si>
    <t>Kapuskasing</t>
  </si>
  <si>
    <t>Kemptville</t>
  </si>
  <si>
    <t>Kenora</t>
  </si>
  <si>
    <t>Killaloe</t>
  </si>
  <si>
    <t>Kincardine</t>
  </si>
  <si>
    <t>Kingston</t>
  </si>
  <si>
    <t>Kinmount</t>
  </si>
  <si>
    <t>Kirkland Lake</t>
  </si>
  <si>
    <t>Kitchener</t>
  </si>
  <si>
    <t>Lakefield</t>
  </si>
  <si>
    <t>Lansdowne House</t>
  </si>
  <si>
    <t>Leamington</t>
  </si>
  <si>
    <t>Lindsay</t>
  </si>
  <si>
    <t>Lion's Head</t>
  </si>
  <si>
    <t>Listowel</t>
  </si>
  <si>
    <t>London</t>
  </si>
  <si>
    <t>Lucan</t>
  </si>
  <si>
    <t>Maitland</t>
  </si>
  <si>
    <t>Markdale</t>
  </si>
  <si>
    <t>Markham</t>
  </si>
  <si>
    <t>Martin</t>
  </si>
  <si>
    <t>Matheson</t>
  </si>
  <si>
    <t>Mattawa</t>
  </si>
  <si>
    <t>Midland</t>
  </si>
  <si>
    <t>Milton</t>
  </si>
  <si>
    <t>Milverton</t>
  </si>
  <si>
    <t>Mississauga</t>
  </si>
  <si>
    <t>Mississauga (Lester B. Pearson Int'l Airport)</t>
  </si>
  <si>
    <t>Mitchell</t>
  </si>
  <si>
    <t>Moosonee</t>
  </si>
  <si>
    <t>Morrisburg</t>
  </si>
  <si>
    <t>Mount Forest</t>
  </si>
  <si>
    <t>Nakina</t>
  </si>
  <si>
    <t>Nanticoke (Jarvis)</t>
  </si>
  <si>
    <t>Nanticoke (Port Dover)</t>
  </si>
  <si>
    <t>Napanee</t>
  </si>
  <si>
    <t>New Liskeard</t>
  </si>
  <si>
    <t>Newcastle</t>
  </si>
  <si>
    <t>Newcastle (Bowmanville)</t>
  </si>
  <si>
    <t>Newmarket</t>
  </si>
  <si>
    <t>Niagara Falls</t>
  </si>
  <si>
    <t>North Bay</t>
  </si>
  <si>
    <t>Norwood</t>
  </si>
  <si>
    <t>Oakville</t>
  </si>
  <si>
    <t>Orangeville</t>
  </si>
  <si>
    <t>Orillia</t>
  </si>
  <si>
    <t>Oshawa</t>
  </si>
  <si>
    <t>Ottawa (Barrhaven)</t>
  </si>
  <si>
    <t>Ottawa (City Hall)</t>
  </si>
  <si>
    <t>Ottawa (Kanata)</t>
  </si>
  <si>
    <t>Owen Sound</t>
  </si>
  <si>
    <t>Pagwa River</t>
  </si>
  <si>
    <t>Paris</t>
  </si>
  <si>
    <t>Parkhill</t>
  </si>
  <si>
    <t>Parry Sound</t>
  </si>
  <si>
    <t>Pelham (Fonthill)</t>
  </si>
  <si>
    <t>Pembroke</t>
  </si>
  <si>
    <t>Penetanguishene</t>
  </si>
  <si>
    <t>Perth</t>
  </si>
  <si>
    <t>Petawawa</t>
  </si>
  <si>
    <t>Peterborough</t>
  </si>
  <si>
    <t>Petrolia</t>
  </si>
  <si>
    <t>Picton</t>
  </si>
  <si>
    <t>Plattsville</t>
  </si>
  <si>
    <t>Point Alexander</t>
  </si>
  <si>
    <t>Port Burwell</t>
  </si>
  <si>
    <t>Port Colborne</t>
  </si>
  <si>
    <t>Port Elgin</t>
  </si>
  <si>
    <t>Port Hope</t>
  </si>
  <si>
    <t>Port Perry</t>
  </si>
  <si>
    <t>Port Stanley</t>
  </si>
  <si>
    <t>Prescott</t>
  </si>
  <si>
    <t>Princeton</t>
  </si>
  <si>
    <t>Raith</t>
  </si>
  <si>
    <t>Rayside-Balfour (Chelmsford)</t>
  </si>
  <si>
    <t>Red Lake</t>
  </si>
  <si>
    <t>Renfrew</t>
  </si>
  <si>
    <t>Richmond Hill</t>
  </si>
  <si>
    <t>Rockland</t>
  </si>
  <si>
    <t>Sarnia</t>
  </si>
  <si>
    <t>Sault Ste. Marie</t>
  </si>
  <si>
    <t>Schreiber</t>
  </si>
  <si>
    <t>Seaforth</t>
  </si>
  <si>
    <t>Shelburne</t>
  </si>
  <si>
    <t>Simcoe</t>
  </si>
  <si>
    <t>Sioux Lookout</t>
  </si>
  <si>
    <t>Smithville</t>
  </si>
  <si>
    <t>Smooth Rock Falls</t>
  </si>
  <si>
    <t>South River</t>
  </si>
  <si>
    <t>Southampton</t>
  </si>
  <si>
    <t>St. Catharines</t>
  </si>
  <si>
    <t>St. Thomas</t>
  </si>
  <si>
    <t>Stirling</t>
  </si>
  <si>
    <t>Stratford</t>
  </si>
  <si>
    <t>Strathroy</t>
  </si>
  <si>
    <t>Sturgeon Falls</t>
  </si>
  <si>
    <t>Sudbury</t>
  </si>
  <si>
    <t>Sundridge</t>
  </si>
  <si>
    <t>Tavistock</t>
  </si>
  <si>
    <t>Temagami</t>
  </si>
  <si>
    <t>Thamesford</t>
  </si>
  <si>
    <t>Thedford</t>
  </si>
  <si>
    <t>Thunder Bay</t>
  </si>
  <si>
    <t>Tillsonburg</t>
  </si>
  <si>
    <t>Timmins</t>
  </si>
  <si>
    <t>Timmins (Porcupine)</t>
  </si>
  <si>
    <t>Toronto (City Hall)</t>
  </si>
  <si>
    <t>Trenton</t>
  </si>
  <si>
    <t>Trout Creek</t>
  </si>
  <si>
    <t>Uxbridge</t>
  </si>
  <si>
    <t>Vaughan (Woodbridge)</t>
  </si>
  <si>
    <t>Vittoria</t>
  </si>
  <si>
    <t>Walkerton</t>
  </si>
  <si>
    <t>Wallaceburg</t>
  </si>
  <si>
    <t>Waterloo</t>
  </si>
  <si>
    <t>Watford</t>
  </si>
  <si>
    <t>Wawa</t>
  </si>
  <si>
    <t>Welland</t>
  </si>
  <si>
    <t>West Lorne</t>
  </si>
  <si>
    <t>Whitby</t>
  </si>
  <si>
    <t>Whitby (Brooklin)</t>
  </si>
  <si>
    <t>White River</t>
  </si>
  <si>
    <t>Wiarton</t>
  </si>
  <si>
    <t>Windsor</t>
  </si>
  <si>
    <t>Wingham</t>
  </si>
  <si>
    <t>Woodstock</t>
  </si>
  <si>
    <t>Wyoming</t>
  </si>
  <si>
    <t>Occupancy Type</t>
  </si>
  <si>
    <t>A - Assembly</t>
  </si>
  <si>
    <t>B1 - Detention</t>
  </si>
  <si>
    <t>B2 - Care and Treatment</t>
  </si>
  <si>
    <t>B3 - Detention, Care and Treatment</t>
  </si>
  <si>
    <t>C - Residential</t>
  </si>
  <si>
    <t>D - Business and Personal Services</t>
  </si>
  <si>
    <t>E - Mercantile</t>
  </si>
  <si>
    <t>F - Industrial</t>
  </si>
  <si>
    <t>Y</t>
  </si>
  <si>
    <t>N</t>
  </si>
  <si>
    <t>CDD Reference Lookup</t>
  </si>
  <si>
    <t>HDD Reference Lookup</t>
  </si>
  <si>
    <t>Critical Occupancies (apply 1% Coldest Temp)</t>
  </si>
  <si>
    <r>
      <rPr>
        <b/>
        <sz val="12"/>
        <color indexed="10"/>
        <rFont val="Helvetica Neue"/>
        <family val="2"/>
      </rPr>
      <t>User defined field:</t>
    </r>
    <r>
      <rPr>
        <b/>
        <sz val="12"/>
        <color indexed="8"/>
        <rFont val="Helvetica Neue"/>
        <family val="2"/>
      </rPr>
      <t xml:space="preserve"> </t>
    </r>
    <r>
      <rPr>
        <sz val="12"/>
        <color indexed="8"/>
        <rFont val="Helvetica Neue"/>
        <family val="2"/>
      </rPr>
      <t xml:space="preserve">Annual locally produced electricity from Photovoltaics: This does not reduce TEUI, but it DOES reduce GHGI. </t>
    </r>
  </si>
  <si>
    <t>30-50 ideal</t>
  </si>
  <si>
    <r>
      <t>kWh/m</t>
    </r>
    <r>
      <rPr>
        <vertAlign val="superscript"/>
        <sz val="16"/>
        <color indexed="8"/>
        <rFont val="Arial"/>
        <family val="2"/>
      </rPr>
      <t>2</t>
    </r>
    <r>
      <rPr>
        <sz val="16"/>
        <color indexed="8"/>
        <rFont val="Arial"/>
        <family val="2"/>
      </rPr>
      <t>/yr</t>
    </r>
  </si>
  <si>
    <r>
      <rPr>
        <b/>
        <sz val="12"/>
        <color indexed="10"/>
        <rFont val="Helvetica Neue"/>
        <family val="2"/>
      </rPr>
      <t>User Defined Field:</t>
    </r>
    <r>
      <rPr>
        <sz val="12"/>
        <color indexed="8"/>
        <rFont val="Helvetica Neue"/>
        <family val="2"/>
      </rPr>
      <t xml:space="preserve"> All values min. required by the noted reference standard Table 1.2 of the OBC SB-1</t>
    </r>
  </si>
  <si>
    <t>Updated per NECB 2020: Cooling Setpoint Reduced to 24ºC - ASHRAE methodology no longer permitted (for cooling design sufficiency)</t>
  </si>
  <si>
    <t>Minden</t>
  </si>
  <si>
    <t>litres/pp/yr</t>
  </si>
  <si>
    <r>
      <t>L/s•m</t>
    </r>
    <r>
      <rPr>
        <vertAlign val="superscript"/>
        <sz val="16"/>
        <color indexed="8"/>
        <rFont val="Arial"/>
        <family val="2"/>
      </rPr>
      <t>2</t>
    </r>
  </si>
  <si>
    <t># People</t>
  </si>
  <si>
    <t>Hours/Day</t>
  </si>
  <si>
    <t>Cooling Season Gains</t>
  </si>
  <si>
    <t>Activity Level</t>
  </si>
  <si>
    <t>Daily Total</t>
  </si>
  <si>
    <t>Cooling Season Days (June-Sept inclusive)</t>
  </si>
  <si>
    <r>
      <rPr>
        <b/>
        <sz val="12"/>
        <color indexed="10"/>
        <rFont val="Helvetica Neue"/>
        <family val="2"/>
      </rPr>
      <t>User Defined Field:</t>
    </r>
    <r>
      <rPr>
        <sz val="12"/>
        <color indexed="8"/>
        <rFont val="Helvetica Neue"/>
        <family val="2"/>
      </rPr>
      <t xml:space="preserve"> All values min. required by the noted reference standard in Cell D4: Value from NECB, if inapplicable, enter 0 sm in areas below</t>
    </r>
  </si>
  <si>
    <t>B.1 Major Occupancy</t>
  </si>
  <si>
    <t>B.2 Project Name</t>
  </si>
  <si>
    <t>T.1 Lifetime Carbon</t>
  </si>
  <si>
    <t>T.2 Annual Carbon</t>
  </si>
  <si>
    <r>
      <t>Annual Operational Emissions Intensity kgCO2e/m</t>
    </r>
    <r>
      <rPr>
        <vertAlign val="superscript"/>
        <sz val="12"/>
        <color rgb="FF000000"/>
        <rFont val="Arial Black"/>
        <family val="2"/>
      </rPr>
      <t>2</t>
    </r>
  </si>
  <si>
    <t>A.6 Atmospheric Offsets</t>
  </si>
  <si>
    <t>ACH 50Pa</t>
  </si>
  <si>
    <t>Dr. Ted's Quick and Dirty N-factors</t>
  </si>
  <si>
    <t>https://building-performance.org/bpa-journal/ach50-achnat/</t>
  </si>
  <si>
    <t>Zone</t>
  </si>
  <si>
    <t># of Storeys</t>
  </si>
  <si>
    <t>Avg.</t>
  </si>
  <si>
    <t>Overall Avg.</t>
  </si>
  <si>
    <t>Well-shielded</t>
  </si>
  <si>
    <t>Normal</t>
  </si>
  <si>
    <t>Exposed</t>
  </si>
  <si>
    <t>Ontario</t>
  </si>
  <si>
    <r>
      <t>m</t>
    </r>
    <r>
      <rPr>
        <vertAlign val="superscript"/>
        <sz val="16"/>
        <color indexed="8"/>
        <rFont val="Arial"/>
        <family val="2"/>
      </rPr>
      <t>2</t>
    </r>
  </si>
  <si>
    <r>
      <t>W/m</t>
    </r>
    <r>
      <rPr>
        <vertAlign val="superscript"/>
        <sz val="16"/>
        <color indexed="8"/>
        <rFont val="Arial"/>
        <family val="2"/>
      </rPr>
      <t>2</t>
    </r>
  </si>
  <si>
    <t>Method to determine heatloss of elements facing ground, 8ºC ground to 18ºC Interior</t>
  </si>
  <si>
    <t>T.3 TEUI</t>
  </si>
  <si>
    <r>
      <t>Total Annual Operational Energy Use Intensity kWh/m</t>
    </r>
    <r>
      <rPr>
        <vertAlign val="superscript"/>
        <sz val="12"/>
        <color rgb="FF000000"/>
        <rFont val="Arial Black"/>
        <family val="2"/>
      </rPr>
      <t>2</t>
    </r>
    <r>
      <rPr>
        <sz val="12"/>
        <color indexed="8"/>
        <rFont val="Arial Black"/>
        <family val="2"/>
      </rPr>
      <t>/yr</t>
    </r>
  </si>
  <si>
    <t>GJ/yr</t>
  </si>
  <si>
    <t>Areas m2</t>
  </si>
  <si>
    <r>
      <t>m</t>
    </r>
    <r>
      <rPr>
        <vertAlign val="superscript"/>
        <sz val="16"/>
        <color rgb="FF000000"/>
        <rFont val="Arial"/>
        <family val="2"/>
      </rPr>
      <t>3</t>
    </r>
    <r>
      <rPr>
        <sz val="16"/>
        <color rgb="FF000000"/>
        <rFont val="Arial"/>
        <family val="2"/>
      </rPr>
      <t>/yr</t>
    </r>
  </si>
  <si>
    <r>
      <t>m</t>
    </r>
    <r>
      <rPr>
        <vertAlign val="superscript"/>
        <sz val="16"/>
        <color rgb="FF000000"/>
        <rFont val="Arial"/>
        <family val="2"/>
      </rPr>
      <t>2</t>
    </r>
  </si>
  <si>
    <r>
      <t>kg</t>
    </r>
    <r>
      <rPr>
        <sz val="16"/>
        <color rgb="FF000000"/>
        <rFont val="Arial"/>
        <family val="2"/>
      </rPr>
      <t>/yr</t>
    </r>
  </si>
  <si>
    <t>S.3 Carbon Benchmarking Standard</t>
  </si>
  <si>
    <t>S.2 Actual (Bills) or Targeted (Design) Use</t>
  </si>
  <si>
    <t>Refer to NECB Table 5.2.10.4</t>
  </si>
  <si>
    <r>
      <t xml:space="preserve">Rimp </t>
    </r>
    <r>
      <rPr>
        <sz val="14"/>
        <color rgb="FF000000"/>
        <rFont val="Arial"/>
        <family val="2"/>
      </rPr>
      <t>ft²F•hr/Btu</t>
    </r>
  </si>
  <si>
    <r>
      <t xml:space="preserve">RSI 
</t>
    </r>
    <r>
      <rPr>
        <sz val="14"/>
        <color rgb="FF000000"/>
        <rFont val="Arial"/>
        <family val="2"/>
      </rPr>
      <t>K•m</t>
    </r>
    <r>
      <rPr>
        <vertAlign val="superscript"/>
        <sz val="14"/>
        <color rgb="FF000000"/>
        <rFont val="Arial"/>
        <family val="2"/>
      </rPr>
      <t>2</t>
    </r>
    <r>
      <rPr>
        <sz val="14"/>
        <color rgb="FF000000"/>
        <rFont val="Arial"/>
        <family val="2"/>
      </rPr>
      <t>/W</t>
    </r>
  </si>
  <si>
    <r>
      <t xml:space="preserve">U-Value
</t>
    </r>
    <r>
      <rPr>
        <sz val="14"/>
        <color rgb="FF000000"/>
        <rFont val="Arial"/>
        <family val="2"/>
      </rPr>
      <t>W/m2•K</t>
    </r>
  </si>
  <si>
    <r>
      <t xml:space="preserve">Heatloss
</t>
    </r>
    <r>
      <rPr>
        <sz val="14"/>
        <color rgb="FF000000"/>
        <rFont val="Arial"/>
        <family val="2"/>
      </rPr>
      <t>kWh/yr</t>
    </r>
  </si>
  <si>
    <t>Heatloss %</t>
  </si>
  <si>
    <t>% per Health Canada/NBC</t>
  </si>
  <si>
    <t>90% less than NBC</t>
  </si>
  <si>
    <t>post heat pump</t>
  </si>
  <si>
    <t>assume TEDI covered 100% by Electricity</t>
  </si>
  <si>
    <t>Heating Season Gains</t>
  </si>
  <si>
    <t>January 2.5 percentile Coldest Days per Location</t>
  </si>
  <si>
    <t>July 2.5 percentile Hottest Days per Location</t>
  </si>
  <si>
    <t>Heating Season Days (Oct-May inclusive)</t>
  </si>
  <si>
    <t>cfm</t>
  </si>
  <si>
    <t xml:space="preserve">Targeted (Design) </t>
  </si>
  <si>
    <t>Actual (Utility Bills)</t>
  </si>
  <si>
    <t>S.4 Embodied Carbon Target</t>
  </si>
  <si>
    <t>kgCO2e/m2</t>
  </si>
  <si>
    <t>gCO2e/kWh</t>
  </si>
  <si>
    <t>gCO2e/m3</t>
  </si>
  <si>
    <r>
      <rPr>
        <b/>
        <sz val="12"/>
        <color indexed="10"/>
        <rFont val="Helvetica Neue"/>
        <family val="2"/>
      </rPr>
      <t>User defined field:</t>
    </r>
    <r>
      <rPr>
        <b/>
        <sz val="12"/>
        <color indexed="8"/>
        <rFont val="Helvetica Neue"/>
        <family val="2"/>
      </rPr>
      <t xml:space="preserve"> </t>
    </r>
    <r>
      <rPr>
        <sz val="12"/>
        <color indexed="8"/>
        <rFont val="Helvetica Neue"/>
        <family val="2"/>
      </rPr>
      <t>Taken from an annual total as noted on energy bills for the building. This should have an auditable paper trail. https://www.canada.ca/en/environment-climate-change/services/climate-change/pricing-pollution-how-it-will-work/output-based-pricing-system/federal-greenhouse-gas-offset-system/emission-factors-reference-values.html</t>
    </r>
  </si>
  <si>
    <t>gCO2e/litre</t>
  </si>
  <si>
    <t>gCO2e/kg</t>
  </si>
  <si>
    <t>MT CO2e</t>
  </si>
  <si>
    <t>Use Your Own Value</t>
  </si>
  <si>
    <t>30-60</t>
  </si>
  <si>
    <t>Passive House guidance for Ontario 0.15</t>
  </si>
  <si>
    <t>measured from interior face of exterior enclosure</t>
  </si>
  <si>
    <t>Lower values result in lower envelope transmission losses</t>
  </si>
  <si>
    <t xml:space="preserve"> Be sure to include HST, Reg, Debt Retirement and Distribution Charges</t>
  </si>
  <si>
    <t>Targeted</t>
  </si>
  <si>
    <t xml:space="preserve">Renewable Energy Offsets are applied hereif entered above </t>
  </si>
  <si>
    <t>Fraction Of Year</t>
  </si>
  <si>
    <t>Total Annual Occupant Gains</t>
  </si>
  <si>
    <r>
      <t xml:space="preserve">% of </t>
    </r>
    <r>
      <rPr>
        <sz val="14"/>
        <color rgb="FF0096FF"/>
        <rFont val="Arial Black"/>
        <family val="2"/>
      </rPr>
      <t xml:space="preserve">Ae </t>
    </r>
    <r>
      <rPr>
        <sz val="14"/>
        <color theme="1"/>
        <rFont val="Arial Black"/>
        <family val="2"/>
      </rPr>
      <t>&amp;</t>
    </r>
    <r>
      <rPr>
        <sz val="14"/>
        <color rgb="FF0096FF"/>
        <rFont val="Arial Black"/>
        <family val="2"/>
      </rPr>
      <t xml:space="preserve"> </t>
    </r>
    <r>
      <rPr>
        <sz val="14"/>
        <color rgb="FF945200"/>
        <rFont val="Arial Black"/>
        <family val="2"/>
      </rPr>
      <t>Ag</t>
    </r>
  </si>
  <si>
    <t>MT CO2e/yr</t>
  </si>
  <si>
    <t>Hours Per Year</t>
  </si>
  <si>
    <r>
      <t>kWh/m</t>
    </r>
    <r>
      <rPr>
        <vertAlign val="superscript"/>
        <sz val="16"/>
        <color theme="1"/>
        <rFont val="Arial"/>
        <family val="2"/>
      </rPr>
      <t>2</t>
    </r>
    <r>
      <rPr>
        <sz val="16"/>
        <color theme="1"/>
        <rFont val="Arial"/>
        <family val="2"/>
      </rPr>
      <t>/yr</t>
    </r>
  </si>
  <si>
    <t>Separates out Transportation Related Loads from Building TEUI</t>
  </si>
  <si>
    <t>Excludes V.5 Net Ventilation Losses</t>
  </si>
  <si>
    <t>Years to Amortize</t>
  </si>
  <si>
    <t xml:space="preserve">of Targeted Design </t>
  </si>
  <si>
    <r>
      <rPr>
        <b/>
        <sz val="12"/>
        <color indexed="11"/>
        <rFont val="Helvetica Neue"/>
        <family val="2"/>
      </rPr>
      <t xml:space="preserve">G9: Calculated Field: </t>
    </r>
    <r>
      <rPr>
        <sz val="12"/>
        <color indexed="8"/>
        <rFont val="Helvetica Neue"/>
        <family val="2"/>
      </rPr>
      <t xml:space="preserve">A summary of </t>
    </r>
    <r>
      <rPr>
        <i/>
        <sz val="12"/>
        <color rgb="FF000000"/>
        <rFont val="Helvetica Neue"/>
        <family val="2"/>
      </rPr>
      <t>operational</t>
    </r>
    <r>
      <rPr>
        <sz val="12"/>
        <color indexed="8"/>
        <rFont val="Helvetica Neue"/>
        <family val="2"/>
      </rPr>
      <t xml:space="preserve"> GHGe in terms of carbon equivalency in kgCO2e/m2/yr. Different regions will have different carbon footprints based on the carbon intensity of electricity production. Net Zero = 0 MTCO2e in this field. Negative Numbers are Carbon Positive - indicating buildings that are producing more energy than they consume.</t>
    </r>
  </si>
  <si>
    <t>This cell does not form part of heatloss and cooling calcs, but will be used in embodied carbon calcs</t>
  </si>
  <si>
    <r>
      <rPr>
        <b/>
        <i/>
        <sz val="12"/>
        <color rgb="FF000000"/>
        <rFont val="Arial"/>
        <family val="2"/>
      </rPr>
      <t>Ag</t>
    </r>
    <r>
      <rPr>
        <i/>
        <sz val="12"/>
        <color indexed="8"/>
        <rFont val="Arial"/>
        <family val="2"/>
      </rPr>
      <t xml:space="preserve"> = all below grade surfaces, walls </t>
    </r>
    <r>
      <rPr>
        <b/>
        <i/>
        <sz val="12"/>
        <color rgb="FF000000"/>
        <rFont val="Arial"/>
        <family val="2"/>
      </rPr>
      <t>and</t>
    </r>
    <r>
      <rPr>
        <i/>
        <sz val="12"/>
        <color indexed="8"/>
        <rFont val="Arial"/>
        <family val="2"/>
      </rPr>
      <t xml:space="preserve"> floors</t>
    </r>
  </si>
  <si>
    <r>
      <rPr>
        <b/>
        <i/>
        <sz val="12"/>
        <color rgb="FF000000"/>
        <rFont val="Arial"/>
        <family val="2"/>
      </rPr>
      <t>Ae</t>
    </r>
    <r>
      <rPr>
        <i/>
        <sz val="12"/>
        <color indexed="8"/>
        <rFont val="Arial"/>
        <family val="2"/>
      </rPr>
      <t xml:space="preserve"> = all surfaces exposed to exterior air, walls </t>
    </r>
    <r>
      <rPr>
        <b/>
        <i/>
        <sz val="12"/>
        <color rgb="FF000000"/>
        <rFont val="Arial"/>
        <family val="2"/>
      </rPr>
      <t>and</t>
    </r>
    <r>
      <rPr>
        <i/>
        <sz val="12"/>
        <color indexed="8"/>
        <rFont val="Arial"/>
        <family val="2"/>
      </rPr>
      <t xml:space="preserve"> roofs</t>
    </r>
  </si>
  <si>
    <t>Theater-Matinee, Auditorium,</t>
  </si>
  <si>
    <t>Theater-Evening, School</t>
  </si>
  <si>
    <t>Offices, Hotels, Apartments</t>
  </si>
  <si>
    <t>Retail &amp; Department Stores</t>
  </si>
  <si>
    <t>Drug Store</t>
  </si>
  <si>
    <t>Bank</t>
  </si>
  <si>
    <t>Restaurant</t>
  </si>
  <si>
    <t>Factory - light work</t>
  </si>
  <si>
    <t>Dance Hall</t>
  </si>
  <si>
    <t>Factory - moderate work</t>
  </si>
  <si>
    <t>Bowling Alley</t>
  </si>
  <si>
    <t>Factory - heavy work, Gymnasium</t>
  </si>
  <si>
    <r>
      <t>(</t>
    </r>
    <r>
      <rPr>
        <b/>
        <i/>
        <sz val="8"/>
        <color rgb="FF000000"/>
        <rFont val="Arial"/>
        <family val="2"/>
      </rPr>
      <t>btu/hr</t>
    </r>
    <r>
      <rPr>
        <b/>
        <sz val="8"/>
        <color rgb="FF000000"/>
        <rFont val="Arial"/>
        <family val="2"/>
      </rPr>
      <t>)</t>
    </r>
  </si>
  <si>
    <t>Watts</t>
  </si>
  <si>
    <t>Human Heat Gain per Typical Application</t>
  </si>
  <si>
    <t>per: https://www.ashrae.org/File%20Library/Technical%20Resources/Standards%20and%20Guidelines/Standards%20Addenda/55_2010_g_Final.pdf</t>
  </si>
  <si>
    <t xml:space="preserve">   E.10 WWS Electricity</t>
  </si>
  <si>
    <t xml:space="preserve">   E.11 Green Natural Gas</t>
  </si>
  <si>
    <t>OBC SB10 5.5-6 Z6</t>
  </si>
  <si>
    <t>PH Classic</t>
  </si>
  <si>
    <t>PH Low Energy</t>
  </si>
  <si>
    <t>PHPP Heating Load OR Heating Demand may be used for compliance</t>
  </si>
  <si>
    <t>Unpurchased Energy From Sink (Air, Ground)</t>
  </si>
  <si>
    <r>
      <t>m</t>
    </r>
    <r>
      <rPr>
        <vertAlign val="superscript"/>
        <sz val="16"/>
        <color rgb="FF000000"/>
        <rFont val="Arial"/>
        <family val="2"/>
      </rPr>
      <t>3</t>
    </r>
    <r>
      <rPr>
        <sz val="16"/>
        <color indexed="8"/>
        <rFont val="Arial"/>
        <family val="2"/>
      </rPr>
      <t>/hr</t>
    </r>
  </si>
  <si>
    <t>per Kesik 900kWh/pp/yr. PHPP 21kWh/m2/yr</t>
  </si>
  <si>
    <t>EnerPHit</t>
  </si>
  <si>
    <t>PH Renovations</t>
  </si>
  <si>
    <t>80% less than NBC</t>
  </si>
  <si>
    <t>PH Plus</t>
  </si>
  <si>
    <t>OBC Prescriptive Path for HP</t>
  </si>
  <si>
    <t>OBC Prescriptive Path for Elect.</t>
  </si>
  <si>
    <t>OBC Prescriptive Path Part 3</t>
  </si>
  <si>
    <t>PH Premium</t>
  </si>
  <si>
    <r>
      <rPr>
        <b/>
        <sz val="12"/>
        <color indexed="10"/>
        <rFont val="Helvetica Neue"/>
        <family val="2"/>
      </rPr>
      <t xml:space="preserve">B.3 Conditioned Area: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https://openbuilding.ca/2024/06/23/teui-b-3-conditioned-area/</t>
    </r>
  </si>
  <si>
    <r>
      <rPr>
        <b/>
        <sz val="12"/>
        <color indexed="10"/>
        <rFont val="Helvetica Neue"/>
        <family val="2"/>
      </rPr>
      <t xml:space="preserve">B.1 Major Occupancy: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https://openbuilding.ca/2024/06/23/teui-b-1-major-occupancy/</t>
    </r>
  </si>
  <si>
    <r>
      <rPr>
        <b/>
        <sz val="12"/>
        <color indexed="10"/>
        <rFont val="Helvetica Neue"/>
        <family val="2"/>
      </rPr>
      <t xml:space="preserve">S.1 Compliance Standard: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https://openbuilding.ca/2024/06/23/teui-s-1-compliance-standard/</t>
    </r>
  </si>
  <si>
    <t>TGS 1</t>
  </si>
  <si>
    <t>TGS 2</t>
  </si>
  <si>
    <t>TGS 3</t>
  </si>
  <si>
    <t>TGS 4</t>
  </si>
  <si>
    <t>Denmark BR18</t>
  </si>
  <si>
    <t>CaGBC ZCB v4</t>
  </si>
  <si>
    <t>Building Service Life</t>
  </si>
  <si>
    <t>NBC 2025</t>
  </si>
  <si>
    <t xml:space="preserve">Part 9 Residential (Small) </t>
  </si>
  <si>
    <t xml:space="preserve">Part 3 Residential (Large) </t>
  </si>
  <si>
    <t>Part 3 All Other Types</t>
  </si>
  <si>
    <t>Part 3 Commercial Office/Retail</t>
  </si>
  <si>
    <t>Operational Intensity Limit Values (kgCO2e/m2) One Time MAX.</t>
  </si>
  <si>
    <t>B6 Emissions</t>
  </si>
  <si>
    <t>2023 Operational Intensity Limit Values (kgCO2e/m2/yr)</t>
  </si>
  <si>
    <t>Vancouver 2023</t>
  </si>
  <si>
    <t>N/A</t>
  </si>
  <si>
    <t>N/A = Values not defined or not yet applicable</t>
  </si>
  <si>
    <t>Alternate value for TEUI if Heatpump Heating AND/OR Cooling is applied</t>
  </si>
  <si>
    <r>
      <rPr>
        <b/>
        <sz val="12"/>
        <color indexed="10"/>
        <rFont val="Helvetica Neue"/>
        <family val="2"/>
      </rPr>
      <t>User Defined Field:</t>
    </r>
    <r>
      <rPr>
        <sz val="12"/>
        <color indexed="8"/>
        <rFont val="Helvetica Neue"/>
        <family val="2"/>
      </rPr>
      <t xml:space="preserve">  Enter 'No' if no Heat Pump specified or enter HSPF of 3.412, which derives a COP of 1 which is is the HSPF of an electric baseboard where 1kWh electrical input = 1kWh of thermal output. The COP derived from the HSPF (HSPF/3.412 = COPhtg) is generally COP+1 of the COP for the cooling season, because the COPhtg generally adds a factor of '1' to the heating load from the compressor's own heat. In other words the first 1 of a COPhtg is the same as an electric baseboard, the rest of the increase is a heat multiplier per Watt of electricity used to drive the comporessor. Refer to MNEC Table 5.2.12.1-A to G for COP and HSPF compliance requirements. If Cooling (B.1.2. is Yes, the efficiency from this section will be applied even if 'No' is selected for HP for Heating. This reflects all cases where houses have A/C only and do not use a Heatpump also for heating. </t>
    </r>
  </si>
  <si>
    <t>Reference %</t>
  </si>
  <si>
    <t>Assumes constant ventilation even when unoccupied.</t>
  </si>
  <si>
    <t>Unmitigated Cooling Load:  to consider overheating potential</t>
  </si>
  <si>
    <t>Enter 0% if N/A</t>
  </si>
  <si>
    <t>Only relvt to PH Max. 10kWh/m2/yr and green text = Unpurchased Energy From Sink (Air, Ground)</t>
  </si>
  <si>
    <t>Climate Specific Air-Leakage Zone per NBC https://cbhcc-cchcc.ca/eng/public-review/2024_1/pcfs/nbc20_divb_09.36.05.10._001819.html</t>
  </si>
  <si>
    <r>
      <rPr>
        <b/>
        <sz val="12"/>
        <color rgb="FFFF0000"/>
        <rFont val="Helvetica Neue"/>
        <family val="2"/>
      </rPr>
      <t>Calculated Field:(Doors + Windows) / (Net Walls Above Grade + Doors + Windows)</t>
    </r>
    <r>
      <rPr>
        <sz val="12"/>
        <color indexed="8"/>
        <rFont val="Helvetica Neue"/>
        <family val="2"/>
      </rPr>
      <t> </t>
    </r>
    <r>
      <rPr>
        <b/>
        <sz val="12"/>
        <color indexed="8"/>
        <rFont val="Helvetica Neue"/>
        <family val="2"/>
      </rPr>
      <t xml:space="preserve"> </t>
    </r>
    <r>
      <rPr>
        <sz val="12"/>
        <color indexed="8"/>
        <rFont val="Helvetica Neue"/>
        <family val="2"/>
      </rPr>
      <t>for SB12 0.22, for NECB 2020: 0.4 where HDD&lt;4000, 2000-0.2*HDD/3000 for 4000HDD&lt;HDD&lt;7000 and 0.2 for HDD &gt;=7000HDD</t>
    </r>
  </si>
  <si>
    <r>
      <rPr>
        <b/>
        <sz val="12"/>
        <color rgb="FFFF0000"/>
        <rFont val="Helvetica Neue"/>
        <family val="2"/>
      </rPr>
      <t xml:space="preserve">Onsite Energy offsets T3 value for both Targeted and Utility Bill Methods. </t>
    </r>
    <r>
      <rPr>
        <sz val="12"/>
        <color indexed="8"/>
        <rFont val="Helvetica Neue"/>
        <family val="2"/>
      </rPr>
      <t>Sum of local Renewable Energy Production. National Average is assumed to be 0%</t>
    </r>
  </si>
  <si>
    <t>kgCO2e/m3</t>
  </si>
  <si>
    <t>OBC 6.2.1.2 per Occupancy defined or Ashrae</t>
  </si>
  <si>
    <t>Daily Total Wh</t>
  </si>
  <si>
    <t>License &amp; Terms of Use</t>
  </si>
  <si>
    <t>Overheat Equation</t>
  </si>
  <si>
    <t>Volume</t>
  </si>
  <si>
    <t>Mass of Air</t>
  </si>
  <si>
    <t>Initial Temperature</t>
  </si>
  <si>
    <t>kWh to Joules</t>
  </si>
  <si>
    <t>kg</t>
  </si>
  <si>
    <t>J/(kg•K)</t>
  </si>
  <si>
    <t>Heat Gain kWh (Q)</t>
  </si>
  <si>
    <t>Mass of Air  kg/m3</t>
  </si>
  <si>
    <t>Spec. Heat Cap. of Air J/(kg•K)</t>
  </si>
  <si>
    <t>Total Mass of Bldg Air kg</t>
  </si>
  <si>
    <t>Dissipation in Hours</t>
  </si>
  <si>
    <t>Dissipation in days</t>
  </si>
  <si>
    <t>Partially Mitigated (Free Cooling Subtracted) Energy Added in kWh</t>
  </si>
  <si>
    <t>≈</t>
  </si>
  <si>
    <t>Daily Cooling Season Occupant Gains</t>
  </si>
  <si>
    <t>Daily Cooling Season Plug Load Gains</t>
  </si>
  <si>
    <t>Daily Cooling Season Lighting Gains</t>
  </si>
  <si>
    <t>Daily Cooling Season Equipment Gains</t>
  </si>
  <si>
    <t>Daily Cooling Season Solar Gains</t>
  </si>
  <si>
    <t>Wh</t>
  </si>
  <si>
    <t>Ton-Hours of Cooling Required to Remove Daily Gain</t>
  </si>
  <si>
    <t>Temperature Added in ºC if Perfectly Insulated and Airtight</t>
  </si>
  <si>
    <t>Resulting Temperature in ºC  if Perfectly Insulated and Airtight</t>
  </si>
  <si>
    <t>Tons Peak Cooling Averaged over 120 day Cooling Period</t>
  </si>
  <si>
    <t>Volume of Space in m3</t>
  </si>
  <si>
    <t>Free Cooling Calculation</t>
  </si>
  <si>
    <t>Ventilation Rate l/s</t>
  </si>
  <si>
    <t>Mass-Flow Rate of Air kg/s</t>
  </si>
  <si>
    <t>Heat Removed in one Day (Joules)</t>
  </si>
  <si>
    <t>Energy Added (Joules)</t>
  </si>
  <si>
    <t>Q̇ = ṁ * cₚ * ΔT (Heat Removal per Second in J/s or Watts)</t>
  </si>
  <si>
    <t>Stories</t>
  </si>
  <si>
    <t>kWh/pp/yr</t>
  </si>
  <si>
    <t>Historical Annual Average Emissions Factors (2015-2023), gCO2eq/kWh</t>
  </si>
  <si>
    <t>Year</t>
  </si>
  <si>
    <t>Annual AEF</t>
  </si>
  <si>
    <t>Historical Hourly Average Emissions Factors  (2015-2023), gCO2eq/kWh</t>
  </si>
  <si>
    <t>Hour</t>
  </si>
  <si>
    <t>Hourly AEF</t>
  </si>
  <si>
    <t>Forecasted Average Emissions Factors (2024-2041), gCO2eq/kWh</t>
  </si>
  <si>
    <t>Forecasted Peak/Off-Peak Marginal Emissions Factors (2024, 2030), gCO2eq/kWh</t>
  </si>
  <si>
    <t>Season</t>
  </si>
  <si>
    <t>Period</t>
  </si>
  <si>
    <t>% Gas on Margin</t>
  </si>
  <si>
    <t>Emissions Factor (gCO2e/kWh)</t>
  </si>
  <si>
    <t>Summer</t>
  </si>
  <si>
    <t>On Peak</t>
  </si>
  <si>
    <t>Mid Peak</t>
  </si>
  <si>
    <t>Off Peak</t>
  </si>
  <si>
    <t>Winter</t>
  </si>
  <si>
    <t>Shoulder</t>
  </si>
  <si>
    <t>Off Peak*</t>
  </si>
  <si>
    <t>Note: TAF has estimated the percent of time gas would be on the margin during the shoulder off peak based on forecasts provided by the IESO for other periods.</t>
  </si>
  <si>
    <t>TAF would like to thank our endowment funders: the City of Toronto, Province of Ontario, and Government of Canada. Views expressed here do not necessarily reflect the views of our funders. TAF is a proud member of the Low Carbon Cities Canada network.</t>
  </si>
  <si>
    <t>D.1 Reporting Period &amp; Service Life</t>
  </si>
  <si>
    <t>Averaged</t>
  </si>
  <si>
    <t>Copyright © The Atmospheric Fund, 2024. All rights reserved. </t>
  </si>
  <si>
    <t xml:space="preserve">Nuclear Refurbishments, Demand increase per: </t>
  </si>
  <si>
    <t>https://www.ieso.ca/Powering-Tomorrow/2024/Six-Graphs-and-a-Map-2024-Annual-Planning-Outlook-and-Emissions-Update</t>
  </si>
  <si>
    <t>Ditto</t>
  </si>
  <si>
    <t xml:space="preserve">Actual </t>
  </si>
  <si>
    <t>Target</t>
  </si>
  <si>
    <t>C.1 Carbon Tax Rate</t>
  </si>
  <si>
    <t>/MTCO2e</t>
  </si>
  <si>
    <t>/Embodied</t>
  </si>
  <si>
    <t>/yr OpEx</t>
  </si>
  <si>
    <t>electricity</t>
  </si>
  <si>
    <t>gas</t>
  </si>
  <si>
    <t>Excludes ekWh of any Gas loads</t>
  </si>
  <si>
    <t>Total/yr</t>
  </si>
  <si>
    <t>PER Factor</t>
  </si>
  <si>
    <t xml:space="preserve">Max. Seasonal Free Cooling Potential </t>
  </si>
  <si>
    <t>at Defined Ventilation Rate</t>
  </si>
  <si>
    <t>Tons-Cooling</t>
  </si>
  <si>
    <t>Constants</t>
  </si>
  <si>
    <r>
      <t xml:space="preserve">Temperature of Ground in ºC </t>
    </r>
    <r>
      <rPr>
        <i/>
        <sz val="14"/>
        <color rgb="FF000000"/>
        <rFont val="Arial"/>
        <family val="2"/>
      </rPr>
      <t>(can be used to simulate radiant cooling)</t>
    </r>
  </si>
  <si>
    <r>
      <t xml:space="preserve">Surface Area </t>
    </r>
    <r>
      <rPr>
        <b/>
        <sz val="14"/>
        <color rgb="FF000000"/>
        <rFont val="Arial"/>
        <family val="2"/>
      </rPr>
      <t>Ae</t>
    </r>
    <r>
      <rPr>
        <sz val="14"/>
        <color indexed="8"/>
        <rFont val="Arial"/>
        <family val="2"/>
      </rPr>
      <t xml:space="preserve"> in m2</t>
    </r>
  </si>
  <si>
    <r>
      <t xml:space="preserve">Surface Area </t>
    </r>
    <r>
      <rPr>
        <b/>
        <sz val="14"/>
        <color rgb="FF000000"/>
        <rFont val="Arial"/>
        <family val="2"/>
      </rPr>
      <t>Ag</t>
    </r>
    <r>
      <rPr>
        <sz val="14"/>
        <color indexed="8"/>
        <rFont val="Arial"/>
        <family val="2"/>
      </rPr>
      <t xml:space="preserve"> in m2</t>
    </r>
  </si>
  <si>
    <r>
      <t xml:space="preserve">Total Surface Area </t>
    </r>
    <r>
      <rPr>
        <b/>
        <sz val="14"/>
        <color rgb="FF000000"/>
        <rFont val="Arial"/>
        <family val="2"/>
      </rPr>
      <t>Ae</t>
    </r>
    <r>
      <rPr>
        <sz val="14"/>
        <color indexed="8"/>
        <rFont val="Arial"/>
        <family val="2"/>
      </rPr>
      <t xml:space="preserve"> + </t>
    </r>
    <r>
      <rPr>
        <b/>
        <sz val="14"/>
        <color rgb="FF000000"/>
        <rFont val="Arial"/>
        <family val="2"/>
      </rPr>
      <t>Ag</t>
    </r>
    <r>
      <rPr>
        <sz val="14"/>
        <color indexed="8"/>
        <rFont val="Arial"/>
        <family val="2"/>
      </rPr>
      <t xml:space="preserve"> in m2</t>
    </r>
  </si>
  <si>
    <r>
      <t xml:space="preserve">Aggregate U-Value of </t>
    </r>
    <r>
      <rPr>
        <b/>
        <sz val="14"/>
        <color rgb="FF000000"/>
        <rFont val="Arial"/>
        <family val="2"/>
      </rPr>
      <t>Ae</t>
    </r>
    <r>
      <rPr>
        <sz val="14"/>
        <color indexed="8"/>
        <rFont val="Arial"/>
        <family val="2"/>
      </rPr>
      <t xml:space="preserve"> in W/m2•K</t>
    </r>
  </si>
  <si>
    <r>
      <t xml:space="preserve">Aggregate U-Value of </t>
    </r>
    <r>
      <rPr>
        <b/>
        <sz val="14"/>
        <color rgb="FF000000"/>
        <rFont val="Arial"/>
        <family val="2"/>
      </rPr>
      <t>Ag</t>
    </r>
    <r>
      <rPr>
        <sz val="14"/>
        <color indexed="8"/>
        <rFont val="Arial"/>
        <family val="2"/>
      </rPr>
      <t xml:space="preserve"> in W/m2•K</t>
    </r>
  </si>
  <si>
    <r>
      <t xml:space="preserve">Temp Diff ºK ΔT for </t>
    </r>
    <r>
      <rPr>
        <b/>
        <sz val="14"/>
        <color rgb="FF000000"/>
        <rFont val="Arial"/>
        <family val="2"/>
      </rPr>
      <t>Ae</t>
    </r>
  </si>
  <si>
    <r>
      <t xml:space="preserve">Temp Diff ºK ΔT for </t>
    </r>
    <r>
      <rPr>
        <b/>
        <sz val="14"/>
        <color rgb="FF000000"/>
        <rFont val="Arial"/>
        <family val="2"/>
      </rPr>
      <t>Ag</t>
    </r>
  </si>
  <si>
    <r>
      <t xml:space="preserve">Heat Loss Rate </t>
    </r>
    <r>
      <rPr>
        <b/>
        <sz val="14"/>
        <color rgb="FF000000"/>
        <rFont val="Arial"/>
        <family val="2"/>
      </rPr>
      <t>Ae</t>
    </r>
    <r>
      <rPr>
        <sz val="14"/>
        <color indexed="8"/>
        <rFont val="Arial"/>
        <family val="2"/>
      </rPr>
      <t xml:space="preserve"> (J/s) or Watts</t>
    </r>
  </si>
  <si>
    <r>
      <t xml:space="preserve">Heat Loss Rate </t>
    </r>
    <r>
      <rPr>
        <b/>
        <sz val="14"/>
        <color rgb="FF000000"/>
        <rFont val="Arial"/>
        <family val="2"/>
      </rPr>
      <t>Ag</t>
    </r>
    <r>
      <rPr>
        <sz val="14"/>
        <color indexed="8"/>
        <rFont val="Arial"/>
        <family val="2"/>
      </rPr>
      <t xml:space="preserve"> (J/s) or Watts</t>
    </r>
  </si>
  <si>
    <t>Starting and Cooling Tset Temperature</t>
  </si>
  <si>
    <t>Initial Interior and Tset Temp in ºC</t>
  </si>
  <si>
    <r>
      <t xml:space="preserve">Same as </t>
    </r>
    <r>
      <rPr>
        <b/>
        <sz val="14"/>
        <color rgb="FFFF0000"/>
        <rFont val="Arial"/>
        <family val="2"/>
      </rPr>
      <t>A1</t>
    </r>
    <r>
      <rPr>
        <sz val="14"/>
        <color indexed="8"/>
        <rFont val="Arial"/>
        <family val="2"/>
      </rPr>
      <t xml:space="preserve"> as Checksum</t>
    </r>
  </si>
  <si>
    <t>NOTE:</t>
  </si>
  <si>
    <t>Free Cooling Percentage Calculated</t>
  </si>
  <si>
    <t>kWh = (D19 * Max. # Days in Cooling Season)</t>
  </si>
  <si>
    <t>kWh Total Daily Gains</t>
  </si>
  <si>
    <t xml:space="preserve">kWh Reduced by Free Cooling in One Day </t>
  </si>
  <si>
    <t>ⓘ</t>
  </si>
  <si>
    <t>m3/second (if A20&lt;12hrs, Recommend Increase Vent Rate)</t>
  </si>
  <si>
    <t xml:space="preserve"> </t>
  </si>
  <si>
    <t>CDD for Named Location (in ºC)</t>
  </si>
  <si>
    <t>Named Location</t>
  </si>
  <si>
    <t>Ae U-Value</t>
  </si>
  <si>
    <t>m2 Surface Area of Ae</t>
  </si>
  <si>
    <t>Thermostat Setpoint</t>
  </si>
  <si>
    <t>ºC Hottest Day at Location</t>
  </si>
  <si>
    <t>kWh Net Daily Heat Gain</t>
  </si>
  <si>
    <t>Net Daily Heat Gain from All Sources minus % Free Cooling in kWh</t>
  </si>
  <si>
    <t xml:space="preserve">kWh Seasonal Cooling Load (UnMet) </t>
  </si>
  <si>
    <t>kWh Total Seasonal Free Cooling Potential kWh</t>
  </si>
  <si>
    <t>kWh Remaining UnMet Cooling Load</t>
  </si>
  <si>
    <t>MJ/m³K Thermal Capacitance of a Light Wood Framed Building</t>
  </si>
  <si>
    <t>MJ/m³K Thermal Capacitance of a Concrete Building (similar capacitance but higher density)</t>
  </si>
  <si>
    <t>Calculate Thermal Mass Capacity: Q=Volume×Density×Specific Heat Capacity</t>
  </si>
  <si>
    <t>Estimate the Heat Absorbed/Released (ΔQ): ΔQ=Q×ΔT</t>
  </si>
  <si>
    <t>MJ/m³K Thermal Capacitance of a Mass Timber Framed Building</t>
  </si>
  <si>
    <t>Lookup</t>
  </si>
  <si>
    <t>Exposure / Stories</t>
  </si>
  <si>
    <t>1-Shielded</t>
  </si>
  <si>
    <t>1-Normal</t>
  </si>
  <si>
    <t>1-Exposed</t>
  </si>
  <si>
    <t>2-Shielded</t>
  </si>
  <si>
    <t>2-Normal</t>
  </si>
  <si>
    <t>2-Exposed</t>
  </si>
  <si>
    <t>3-Shielded</t>
  </si>
  <si>
    <t>3-Normal</t>
  </si>
  <si>
    <t>3-Exposed</t>
  </si>
  <si>
    <t>4-Shielded</t>
  </si>
  <si>
    <t>4-Normal</t>
  </si>
  <si>
    <t>4-Exposed</t>
  </si>
  <si>
    <t>Hotels</t>
  </si>
  <si>
    <t>Warehouses</t>
  </si>
  <si>
    <t>Restaurants</t>
  </si>
  <si>
    <t>References:</t>
  </si>
  <si>
    <r>
      <t>National Renewable Energy Laboratory (NREL) Resources</t>
    </r>
    <r>
      <rPr>
        <sz val="8"/>
        <color rgb="FF000000"/>
        <rFont val="Helvetica Neue Light"/>
      </rPr>
      <t>:</t>
    </r>
  </si>
  <si>
    <t>Commercial Building Energy Consumption Survey (CBECS)</t>
  </si>
  <si>
    <t>Residential Energy Consumption Survey (RECS)</t>
  </si>
  <si>
    <r>
      <t>National Research Council Canada (NRC) Resources</t>
    </r>
    <r>
      <rPr>
        <sz val="8"/>
        <color rgb="FF000000"/>
        <rFont val="Helvetica Neue Light"/>
      </rPr>
      <t>:</t>
    </r>
  </si>
  <si>
    <t>Canadian National Energy Code for Buildings (NECB)</t>
  </si>
  <si>
    <r>
      <t>ASHRAE Standards</t>
    </r>
    <r>
      <rPr>
        <sz val="8"/>
        <color rgb="FF000000"/>
        <rFont val="Helvetica Neue Light"/>
      </rPr>
      <t>:</t>
    </r>
  </si>
  <si>
    <t>ASHRAE Standard 90.1</t>
  </si>
  <si>
    <t>ASHRAE Handbook</t>
  </si>
  <si>
    <r>
      <t>Building Performance Institute (BPI) Resources</t>
    </r>
    <r>
      <rPr>
        <sz val="8"/>
        <color rgb="FF000000"/>
        <rFont val="Helvetica Neue Light"/>
      </rPr>
      <t>:</t>
    </r>
  </si>
  <si>
    <t>BPI Resources</t>
  </si>
  <si>
    <t>NREL Building Data &amp; https://comstock.nrel.gov</t>
  </si>
  <si>
    <t>Lookup:</t>
  </si>
  <si>
    <t>Elevators</t>
  </si>
  <si>
    <t>No Elevators</t>
  </si>
  <si>
    <t>Low Energy</t>
  </si>
  <si>
    <t>A - Assembly+Regular</t>
  </si>
  <si>
    <t>B1 - Detention+Regular</t>
  </si>
  <si>
    <t>B2 - Care and Treatment+Regular</t>
  </si>
  <si>
    <t>B3 - Detention Care and Treatment+Regular</t>
  </si>
  <si>
    <t>C - Residential+Regular</t>
  </si>
  <si>
    <t>D - Business and Personal Services+Regular</t>
  </si>
  <si>
    <t>E - Mercantile+Regular</t>
  </si>
  <si>
    <t>F - Industrial+Regular</t>
  </si>
  <si>
    <t>Occupancy-Based Equipment Loads by  Specification Type in W/m2</t>
  </si>
  <si>
    <t>A - Assembly+Low Energy</t>
  </si>
  <si>
    <t>B1 - Detention+Low Energy</t>
  </si>
  <si>
    <t>B2 - Care and Treatment+Low Energy</t>
  </si>
  <si>
    <t>C - Residential+Low Energy</t>
  </si>
  <si>
    <t>D - Business and Personal Services+Low Energy</t>
  </si>
  <si>
    <t>E - Mercantile+Low Energy</t>
  </si>
  <si>
    <t>F - Industrial+Low Energy</t>
  </si>
  <si>
    <t>Additional Stories Extrapolated: Experimental</t>
  </si>
  <si>
    <t xml:space="preserve">Scope of Research Article Limited to 3 Stories. </t>
  </si>
  <si>
    <t>B3 - Detention, Care and Treatment+Low Energy</t>
  </si>
  <si>
    <t>DHW and SHW Efficiency Factors</t>
  </si>
  <si>
    <t>Residential Gas-Fired DHW Heaters:</t>
  </si>
  <si>
    <t xml:space="preserve">    Conventional Storage Water Heaters:</t>
  </si>
  <si>
    <t>EF</t>
  </si>
  <si>
    <t>58-65%</t>
  </si>
  <si>
    <t xml:space="preserve">    High-Efficiency Storage Water Heaters:</t>
  </si>
  <si>
    <t>67-70%</t>
  </si>
  <si>
    <t>Power-vented, better burners, more insulation</t>
  </si>
  <si>
    <t>Pilot light and conventional flue</t>
  </si>
  <si>
    <t xml:space="preserve">    Tankless (On-Demand) Water Heaters:</t>
  </si>
  <si>
    <t>80-99%</t>
  </si>
  <si>
    <t>Reduces standby losses</t>
  </si>
  <si>
    <t xml:space="preserve">    Condensing Water Heaters:</t>
  </si>
  <si>
    <t>90-98%</t>
  </si>
  <si>
    <t>Secondary HX to extract energy from exhaust gases</t>
  </si>
  <si>
    <t>Standard Commercial Storage Water Heaters:</t>
  </si>
  <si>
    <t>80-85%</t>
  </si>
  <si>
    <t xml:space="preserve">    High Efficiency Models</t>
  </si>
  <si>
    <t xml:space="preserve">90-98% </t>
  </si>
  <si>
    <t xml:space="preserve">    Commercial Tankless</t>
  </si>
  <si>
    <t>Where space is limited or demand is intermittent</t>
  </si>
  <si>
    <t>Designed for high demand</t>
  </si>
  <si>
    <t>Same but with condensing feature, better insulation and burners</t>
  </si>
  <si>
    <t xml:space="preserve">Source: </t>
  </si>
  <si>
    <t>https://www.energystar.gov/products/high_efficiency_gas_storage_water_heaters</t>
  </si>
  <si>
    <t>from: https://assets.cmhc-schl.gc.ca/sf/project/cmhc/pdfs/content/en/rcah-drainwater-heat-recovery.pdf</t>
  </si>
  <si>
    <t>Max: https://oee.nrcan.gc.ca/pml-lmp/index.cfm?action=app.formHandler&amp;operation=details-details&amp;ref=5768755&amp;appliance=DWHR&amp;nr=1</t>
  </si>
  <si>
    <t>DW Heat Recovery Efficiency:  Heat Recovery Efficiency: Measure of overall efficiency of the drain water heat recovery expressed as a ratio between the actual heat transfer and the theoretical maximum possible heat transfer. Range: 19.9 to 72.8 from: https://oee.nrcan.gc.ca/pml-lmp/index.cfm?action=app.search-recherche&amp;appliance=DWHR</t>
  </si>
  <si>
    <r>
      <rPr>
        <b/>
        <sz val="8"/>
        <color rgb="FF000000"/>
        <rFont val="Arial"/>
        <family val="2"/>
      </rPr>
      <t>DWHR</t>
    </r>
    <r>
      <rPr>
        <sz val="8"/>
        <color indexed="8"/>
        <rFont val="Arial"/>
        <family val="2"/>
      </rPr>
      <t xml:space="preserve"> The overall thermal effectiveness of the DWHR units tested ranged from 46 per cent to 67 per cent, depending on size,flow rates and piping configuration.</t>
    </r>
  </si>
  <si>
    <t>Latent Load (Energy Required to Remove)</t>
  </si>
  <si>
    <t>Sensible (Thermal Energy Added from Metabolism)</t>
  </si>
  <si>
    <t>Combined Watts (Sensible + Latent)</t>
  </si>
  <si>
    <t>Totals</t>
  </si>
  <si>
    <t>TED</t>
  </si>
  <si>
    <t>Min. Indoor Temp [°C] per OBC 6.2.1.2</t>
  </si>
  <si>
    <t>Max. Indoor Temp [°C] per NBC 2025  (ref. pending)</t>
  </si>
  <si>
    <t>Item</t>
  </si>
  <si>
    <t>Apartments, Condominiums, Other Multi-family Dwellings - per person</t>
  </si>
  <si>
    <t>Boarding Houses</t>
  </si>
  <si>
    <t>2a</t>
  </si>
  <si>
    <t>Per person, with meals and laundry facilities</t>
  </si>
  <si>
    <t>Per person, without meal or laundry facilities</t>
  </si>
  <si>
    <t>2b</t>
  </si>
  <si>
    <t>Per non-resident staff per 8-hour shift</t>
  </si>
  <si>
    <t>Boarding School - per person</t>
  </si>
  <si>
    <t>Dwellings</t>
  </si>
  <si>
    <t>4a</t>
  </si>
  <si>
    <t>1 bedroom dwelling</t>
  </si>
  <si>
    <t>4b</t>
  </si>
  <si>
    <t>2 bedroom dwelling</t>
  </si>
  <si>
    <t>4c</t>
  </si>
  <si>
    <t>3 bedroom dwelling</t>
  </si>
  <si>
    <t>4d</t>
  </si>
  <si>
    <t>4 bedroom dwelling</t>
  </si>
  <si>
    <t>4e</t>
  </si>
  <si>
    <t>5 bedroom dwelling</t>
  </si>
  <si>
    <t>4f</t>
  </si>
  <si>
    <t>Additional flow for:</t>
  </si>
  <si>
    <t>4fi</t>
  </si>
  <si>
    <t>Each bedroom over 5</t>
  </si>
  <si>
    <t>4fiiA</t>
  </si>
  <si>
    <t>Each 10 m² (or part of it) over 200 m² up to 400 m²</t>
  </si>
  <si>
    <t>4fiiB</t>
  </si>
  <si>
    <t>Each 10 m² (or part of it) over 400 m² up to 600 m²</t>
  </si>
  <si>
    <t>4fiiC</t>
  </si>
  <si>
    <t>Each 10 m² (or part of it) over 600 m²</t>
  </si>
  <si>
    <t>4fiii</t>
  </si>
  <si>
    <t>Each fixture unit over 20 fixture units</t>
  </si>
  <si>
    <t>Hotels and Motels (excluding bars and restaurants)</t>
  </si>
  <si>
    <t>5a</t>
  </si>
  <si>
    <t>Regular, per room</t>
  </si>
  <si>
    <t>5b</t>
  </si>
  <si>
    <t>Resort hotel, cottage, per person</t>
  </si>
  <si>
    <t>5c</t>
  </si>
  <si>
    <t>Self-service laundry, per machine</t>
  </si>
  <si>
    <t>Work Camp/Construction Camp, semi-permanent per worker</t>
  </si>
  <si>
    <t>Residential Occupancy Water User per OBC 8.2.1.3.A</t>
  </si>
  <si>
    <t>275 l/pp•day OBC,  900kWh/pp/yr</t>
  </si>
  <si>
    <t>PHPP Method Sum of Surface Transmission Losses</t>
  </si>
  <si>
    <t>Other Occupancies per OBC Table 8.2.1.3.B</t>
  </si>
  <si>
    <t>Airports, Bus Terminals, Train Stations, Dock/Port Facilities (Food Services excluded)</t>
  </si>
  <si>
    <t>1a</t>
  </si>
  <si>
    <t>Per passenger</t>
  </si>
  <si>
    <t>1b</t>
  </si>
  <si>
    <t>Per employee per 8-hour shift</t>
  </si>
  <si>
    <t>Assembly Hall</t>
  </si>
  <si>
    <t>No food service</t>
  </si>
  <si>
    <t>Food service provided</t>
  </si>
  <si>
    <t>Barber Shop/Beauty Salon - per service chair</t>
  </si>
  <si>
    <t>Bowling Alleys (Food Service not included) - per lane</t>
  </si>
  <si>
    <t>Churches and Similar Places of Worship - per seat</t>
  </si>
  <si>
    <t>No kitchen facilities</t>
  </si>
  <si>
    <t>Kitchen facilities provided</t>
  </si>
  <si>
    <t>Country Club (excluding Food Service)</t>
  </si>
  <si>
    <t>6a</t>
  </si>
  <si>
    <t>Per resident</t>
  </si>
  <si>
    <t>6b</t>
  </si>
  <si>
    <t>6c</t>
  </si>
  <si>
    <t>Per member or patron</t>
  </si>
  <si>
    <t>Day Care Facility per person (staff and children)</t>
  </si>
  <si>
    <t>Dentist Office</t>
  </si>
  <si>
    <t>8a</t>
  </si>
  <si>
    <t>Per wet service chair</t>
  </si>
  <si>
    <t>8b</t>
  </si>
  <si>
    <t>Per dry service chair</t>
  </si>
  <si>
    <t>Doctors Office</t>
  </si>
  <si>
    <t>9a</t>
  </si>
  <si>
    <t>Per practitioner</t>
  </si>
  <si>
    <t>9b</t>
  </si>
  <si>
    <t>Factory (excluding process or cleaning waters) - per employee per 8-hour shift</t>
  </si>
  <si>
    <t>10a</t>
  </si>
  <si>
    <t>No showers</t>
  </si>
  <si>
    <t>10b</t>
  </si>
  <si>
    <t>Including showers</t>
  </si>
  <si>
    <t>Flea Markets (open not more than 3 days per week)</t>
  </si>
  <si>
    <t>11a</t>
  </si>
  <si>
    <t>Per non-food service vendor space</t>
  </si>
  <si>
    <t>11b</t>
  </si>
  <si>
    <t>Per food service establishment / 9.25 m² of floor space</t>
  </si>
  <si>
    <t>11c</t>
  </si>
  <si>
    <t>Per limited food service outlet</t>
  </si>
  <si>
    <t>Food Service Operations</t>
  </si>
  <si>
    <t>12a</t>
  </si>
  <si>
    <t>Restaurant (not 24 hour), per seat</t>
  </si>
  <si>
    <t>12b</t>
  </si>
  <si>
    <t>Restaurant (24 hour), per seat</t>
  </si>
  <si>
    <t>12c</t>
  </si>
  <si>
    <t>Restaurant on controlled-access highway, per seat</t>
  </si>
  <si>
    <t>12d</t>
  </si>
  <si>
    <t>Paper service restaurant, per seat</t>
  </si>
  <si>
    <t>Donut shop, per seat</t>
  </si>
  <si>
    <t>12f</t>
  </si>
  <si>
    <t>Bar and cocktail lounge, per seat</t>
  </si>
  <si>
    <t>12g</t>
  </si>
  <si>
    <t>Drive-in restaurant per parking space</t>
  </si>
  <si>
    <t>12h</t>
  </si>
  <si>
    <t>Take-out restaurant (no seating area)</t>
  </si>
  <si>
    <t>12h(i)</t>
  </si>
  <si>
    <t>Per 9.25 m² of floor area</t>
  </si>
  <si>
    <t>12h(ii)</t>
  </si>
  <si>
    <t>12i</t>
  </si>
  <si>
    <t>Cafeteria - per meal</t>
  </si>
  <si>
    <t>12j</t>
  </si>
  <si>
    <t>Food outlet</t>
  </si>
  <si>
    <t>12j(i)</t>
  </si>
  <si>
    <t>Excluding delicatessen, bakery, and meat department, per 9.25 m² of floor space</t>
  </si>
  <si>
    <t>12j(ii)</t>
  </si>
  <si>
    <t>Per 9.25 m² of delicatessen floor space</t>
  </si>
  <si>
    <t>12j(iii)</t>
  </si>
  <si>
    <t>Per 9.25 m² of bakery floor space</t>
  </si>
  <si>
    <t>12j(iv)</t>
  </si>
  <si>
    <t>Per 9.25 m² of meat department floor space</t>
  </si>
  <si>
    <t>12j(v)</t>
  </si>
  <si>
    <t>Per water closet</t>
  </si>
  <si>
    <t>Hospitals - per bed</t>
  </si>
  <si>
    <t>13a</t>
  </si>
  <si>
    <t>Including laundry facilities</t>
  </si>
  <si>
    <t>13b</t>
  </si>
  <si>
    <t>Excluding laundry facilities</t>
  </si>
  <si>
    <t>Long-Term Care Homes, etc. - per bed</t>
  </si>
  <si>
    <t>Office Building</t>
  </si>
  <si>
    <t>15a</t>
  </si>
  <si>
    <t>15b</t>
  </si>
  <si>
    <t>Per each 9.3 m² of floor space</t>
  </si>
  <si>
    <t>Public Parks</t>
  </si>
  <si>
    <t>16a</t>
  </si>
  <si>
    <t>With toilets only per person</t>
  </si>
  <si>
    <t>16b</t>
  </si>
  <si>
    <t>With bathhouse, showers, and toilets per person</t>
  </si>
  <si>
    <t>Recreational Vehicle or Campground Park</t>
  </si>
  <si>
    <t>17a</t>
  </si>
  <si>
    <t>Per site without water or sewer hook-up</t>
  </si>
  <si>
    <t>17b</t>
  </si>
  <si>
    <t>Per site with water and sewer hook-up</t>
  </si>
  <si>
    <t>Schools - per student</t>
  </si>
  <si>
    <t>18a</t>
  </si>
  <si>
    <t>Day school</t>
  </si>
  <si>
    <t>18b</t>
  </si>
  <si>
    <t>With showers</t>
  </si>
  <si>
    <t>18c</t>
  </si>
  <si>
    <t>With cafeteria</t>
  </si>
  <si>
    <t>18d</t>
  </si>
  <si>
    <t>Per non-teaching employee per 8-hour shift</t>
  </si>
  <si>
    <t>Service Stations (no vehicle washing)</t>
  </si>
  <si>
    <t>19a</t>
  </si>
  <si>
    <t>19a(i)</t>
  </si>
  <si>
    <t>Per fuel outlet</t>
  </si>
  <si>
    <t>19a(ii)</t>
  </si>
  <si>
    <t>Per vehicle served</t>
  </si>
  <si>
    <t>Shopping Centre (excluding food and laundry) - per 1.0 m² of floor space</t>
  </si>
  <si>
    <t>Percapita Volume, litres</t>
  </si>
  <si>
    <t>PerArea/Use Volume, litres</t>
  </si>
  <si>
    <t>Cooling</t>
  </si>
  <si>
    <t>Heating</t>
  </si>
  <si>
    <t>Occupant Scheduler</t>
  </si>
  <si>
    <r>
      <t xml:space="preserve">EMISSION FACTORS
</t>
    </r>
    <r>
      <rPr>
        <sz val="14"/>
        <color theme="0"/>
        <rFont val="Arial"/>
        <family val="2"/>
      </rPr>
      <t xml:space="preserve">per Reporting Period/TAF </t>
    </r>
  </si>
  <si>
    <t>T.3.1 Total Electricity Use</t>
  </si>
  <si>
    <t>T.3.2 Total Fossil Gas Use</t>
  </si>
  <si>
    <t>T.3.3 Total Propane Use</t>
  </si>
  <si>
    <t>T.3.4 Total Oil Use</t>
  </si>
  <si>
    <t>T.3.4 Total Wood Use</t>
  </si>
  <si>
    <t>E.5 Photovoltaics</t>
  </si>
  <si>
    <t>E.6 Wind</t>
  </si>
  <si>
    <t>E.7 Remove EV Charging from TEUI</t>
  </si>
  <si>
    <t>E.8 Reserved (other removals)</t>
  </si>
  <si>
    <t>A.2 Radon (annual avg.)</t>
  </si>
  <si>
    <t>A.3 CO2 (annual avg.)</t>
  </si>
  <si>
    <t>A.4 TVOC (annual avg.)</t>
  </si>
  <si>
    <t>B.4 Roof</t>
  </si>
  <si>
    <r>
      <t xml:space="preserve">B.5 Walls Above Grade </t>
    </r>
    <r>
      <rPr>
        <i/>
        <sz val="16"/>
        <color rgb="FF000000"/>
        <rFont val="Arial"/>
        <family val="2"/>
      </rPr>
      <t>(Exclude Openings!)</t>
    </r>
  </si>
  <si>
    <t>B.6 Floor Exposed</t>
  </si>
  <si>
    <t>B.8.1 Window Area North</t>
  </si>
  <si>
    <t>B.8.2 Window Area East</t>
  </si>
  <si>
    <t>B.8.3 Window Area South</t>
  </si>
  <si>
    <t>B.8.4 Window Area West</t>
  </si>
  <si>
    <t>B.11 Interior Floors (incl. garages)</t>
  </si>
  <si>
    <t>Envelope Totals</t>
  </si>
  <si>
    <t>B.13.1 Thermal Bridge Penalty (min. 5-70%)</t>
  </si>
  <si>
    <r>
      <t>B.16 Total Area Exposed to Air (</t>
    </r>
    <r>
      <rPr>
        <b/>
        <sz val="16"/>
        <color rgb="FF000000"/>
        <rFont val="Arial"/>
        <family val="2"/>
      </rPr>
      <t>Ae</t>
    </r>
    <r>
      <rPr>
        <sz val="16"/>
        <color indexed="8"/>
        <rFont val="Arial"/>
        <family val="2"/>
      </rPr>
      <t>)</t>
    </r>
  </si>
  <si>
    <t>Heatgain %</t>
  </si>
  <si>
    <t>Reference</t>
  </si>
  <si>
    <t>Determination of Ground Facing Heating and Cooling Degree Days GFHDD and GFCDD</t>
  </si>
  <si>
    <t>L.2.1 Heating Degree Days (HDD)</t>
  </si>
  <si>
    <r>
      <t xml:space="preserve">Weighted Average Rate of Heatloss/gain from </t>
    </r>
    <r>
      <rPr>
        <b/>
        <sz val="14"/>
        <color rgb="FF000000"/>
        <rFont val="Arial"/>
        <family val="2"/>
      </rPr>
      <t>Ae</t>
    </r>
    <r>
      <rPr>
        <sz val="14"/>
        <color indexed="8"/>
        <rFont val="Arial"/>
        <family val="2"/>
      </rPr>
      <t xml:space="preserve"> &amp; </t>
    </r>
    <r>
      <rPr>
        <b/>
        <sz val="14"/>
        <color rgb="FF000000"/>
        <rFont val="Arial"/>
        <family val="2"/>
      </rPr>
      <t>Ag</t>
    </r>
    <r>
      <rPr>
        <sz val="14"/>
        <color indexed="8"/>
        <rFont val="Arial"/>
        <family val="2"/>
      </rPr>
      <t xml:space="preserve"> (J/s) or Watts</t>
    </r>
  </si>
  <si>
    <t>Compounding heat Gain Loop (added to next day) if Dissipation &gt; 1 Day in kWh</t>
  </si>
  <si>
    <t xml:space="preserve">Dissipation in Seconds (Ae &amp; Ag) </t>
  </si>
  <si>
    <t>Heat Removed in one Day (kWh)</t>
  </si>
  <si>
    <t>Building Thermal Mass/Capacitance/Transfer Calculation (Pending)</t>
  </si>
  <si>
    <t>Includes V.5 Net Ventilation Losses, Excludes T.7.3 CEDI Ae</t>
  </si>
  <si>
    <t>ºF</t>
  </si>
  <si>
    <t>B.3 Conditioned Area (Net)</t>
  </si>
  <si>
    <r>
      <t xml:space="preserve">ACTUAL ENERGY
</t>
    </r>
    <r>
      <rPr>
        <sz val="14"/>
        <color theme="0"/>
        <rFont val="Arial"/>
        <family val="2"/>
      </rPr>
      <t>(Utility Bills)</t>
    </r>
  </si>
  <si>
    <r>
      <t xml:space="preserve">TARGET ENERGY 
</t>
    </r>
    <r>
      <rPr>
        <sz val="14"/>
        <color theme="0"/>
        <rFont val="Arial"/>
        <family val="2"/>
      </rPr>
      <t>(Design)</t>
    </r>
  </si>
  <si>
    <t>`</t>
  </si>
  <si>
    <t>W.1 Daily Water Use (determines DHW load)</t>
  </si>
  <si>
    <r>
      <t xml:space="preserve">kWh </t>
    </r>
    <r>
      <rPr>
        <i/>
        <sz val="16"/>
        <color rgb="FF000000"/>
        <rFont val="Arial"/>
        <family val="2"/>
      </rPr>
      <t>Actual</t>
    </r>
  </si>
  <si>
    <r>
      <t xml:space="preserve">GJ </t>
    </r>
    <r>
      <rPr>
        <i/>
        <sz val="16"/>
        <color rgb="FF000000"/>
        <rFont val="Arial"/>
        <family val="2"/>
      </rPr>
      <t>Actual</t>
    </r>
  </si>
  <si>
    <r>
      <t xml:space="preserve">kWh </t>
    </r>
    <r>
      <rPr>
        <i/>
        <sz val="16"/>
        <color rgb="FF000000"/>
        <rFont val="Arial"/>
        <family val="2"/>
      </rPr>
      <t>Target</t>
    </r>
  </si>
  <si>
    <r>
      <t xml:space="preserve">GJ </t>
    </r>
    <r>
      <rPr>
        <i/>
        <sz val="16"/>
        <color rgb="FF000000"/>
        <rFont val="Arial"/>
        <family val="2"/>
      </rPr>
      <t>Target</t>
    </r>
  </si>
  <si>
    <t>Part 3 Warehouse and Distribution Centres</t>
  </si>
  <si>
    <t>Length of Cooling Period in Days</t>
  </si>
  <si>
    <t># of Days Cooling Load Cannot be Met by Free Cooling Alone</t>
  </si>
  <si>
    <t>PH Min. 75% at 0ºC, Note: SRE Values by HVI measure to -20ºC. Demand based ventilation where applicable may use the rate from cell G142 Hours Occupied.</t>
  </si>
  <si>
    <t>Experimental free-cooling calc., 120 day cooling period seasonal average where gains can be exhausted overnight. Refer to 'Overheat Warning' worksheet.</t>
  </si>
  <si>
    <t>Enter 0% if no anticipated window opening or MVHR Summer Bypass. see 'Overheat Warning' worksheet (uses V.1.1 Rate)</t>
  </si>
  <si>
    <t>CaGBC ZCB</t>
  </si>
  <si>
    <t>S.1 Reference Standard</t>
  </si>
  <si>
    <t>HDD - Energy Star</t>
  </si>
  <si>
    <t>CDD - Energy Star</t>
  </si>
  <si>
    <r>
      <rPr>
        <b/>
        <sz val="12"/>
        <color indexed="10"/>
        <rFont val="Helvetica Neue"/>
        <family val="2"/>
      </rPr>
      <t>User Defined Field:</t>
    </r>
    <r>
      <rPr>
        <sz val="12"/>
        <color indexed="8"/>
        <rFont val="Helvetica Neue"/>
        <family val="2"/>
      </rPr>
      <t xml:space="preserve"> Taken from a local IAQ/EAQ monitoring system such as Airthings. 30-60% is considered the safe range for human health. Greater than 60% can result in mould formation. Less than 30% may worsen health issues.</t>
    </r>
  </si>
  <si>
    <r>
      <rPr>
        <b/>
        <sz val="12"/>
        <color indexed="10"/>
        <rFont val="Helvetica Neue"/>
        <family val="2"/>
      </rPr>
      <t>User Defined Field:</t>
    </r>
    <r>
      <rPr>
        <sz val="12"/>
        <color indexed="8"/>
        <rFont val="Helvetica Neue"/>
        <family val="2"/>
      </rPr>
      <t xml:space="preserve"> Acres dedicated for Carbon Offset, where 1 acre of marginally productive forest cover sequesters 1 MT of CO2/yr, and mature deciduous forest can sequester up to 3 MT of CO2/yr. National Average is assumed to be 0. Entering a value here does not reduce actual carbon embodied or emitted from the building and so has no effect on calculations. If it becomes codified in legislation at some point that carbon offsets can be applied to building metrics, then we can activate this cell. </t>
    </r>
  </si>
  <si>
    <t xml:space="preserve">W.3 DHW or SHW Energy Source </t>
  </si>
  <si>
    <t>W.5 Drain Water Heat Recovery Efficiency</t>
  </si>
  <si>
    <t xml:space="preserve">W.4 DHW or SHW Efficiency Factor (EF) </t>
  </si>
  <si>
    <t>COPdhw</t>
  </si>
  <si>
    <r>
      <t>W/m</t>
    </r>
    <r>
      <rPr>
        <vertAlign val="superscript"/>
        <sz val="16"/>
        <color theme="1"/>
        <rFont val="Arial"/>
        <family val="2"/>
      </rPr>
      <t>2</t>
    </r>
    <r>
      <rPr>
        <sz val="16"/>
        <color theme="1"/>
        <rFont val="Arial"/>
        <family val="2"/>
      </rPr>
      <t xml:space="preserve"> Unmitigated</t>
    </r>
  </si>
  <si>
    <r>
      <t>W/m</t>
    </r>
    <r>
      <rPr>
        <vertAlign val="superscript"/>
        <sz val="16"/>
        <color theme="1"/>
        <rFont val="Arial"/>
        <family val="2"/>
      </rPr>
      <t>2</t>
    </r>
    <r>
      <rPr>
        <sz val="16"/>
        <color theme="1"/>
        <rFont val="Arial"/>
        <family val="2"/>
      </rPr>
      <t xml:space="preserve"> Mitigated</t>
    </r>
  </si>
  <si>
    <t>TEDI TEUI3 (kWh/m2/yr)</t>
  </si>
  <si>
    <t>TEDI PHPP (kWh/m2/yr)</t>
  </si>
  <si>
    <t>HP Free Energy (HP)</t>
  </si>
  <si>
    <r>
      <rPr>
        <b/>
        <sz val="16"/>
        <color theme="1"/>
        <rFont val="Arial"/>
        <family val="2"/>
      </rPr>
      <t>TED NRC:</t>
    </r>
    <r>
      <rPr>
        <sz val="16"/>
        <color theme="1"/>
        <rFont val="Arial"/>
        <family val="2"/>
      </rPr>
      <t xml:space="preserve"> Heatpump Load</t>
    </r>
  </si>
  <si>
    <t>None</t>
  </si>
  <si>
    <t>B.19.6 Air Leakage</t>
  </si>
  <si>
    <t>V.4.1 Incoming Ventil. Energy</t>
  </si>
  <si>
    <t>G.1.2 Occupant Gains</t>
  </si>
  <si>
    <t>TEUI 3 Cooling Season Energy Balance Summary (Detailed)</t>
  </si>
  <si>
    <t xml:space="preserve">TEUI 3 Simplified Heating Season Energy Balance </t>
  </si>
  <si>
    <t>TEUI3 Detailed Heating Season Energy Balance Summary</t>
  </si>
  <si>
    <r>
      <t>Gas m</t>
    </r>
    <r>
      <rPr>
        <vertAlign val="superscript"/>
        <sz val="16"/>
        <color rgb="FF000000"/>
        <rFont val="Arial"/>
        <family val="2"/>
      </rPr>
      <t>3</t>
    </r>
    <r>
      <rPr>
        <sz val="16"/>
        <color rgb="FF000000"/>
        <rFont val="Arial"/>
        <family val="2"/>
      </rPr>
      <t>/yr</t>
    </r>
  </si>
  <si>
    <t>CEER</t>
  </si>
  <si>
    <t>CEER or COP</t>
  </si>
  <si>
    <t>NBC 2020  9.36.6.4.-A</t>
  </si>
  <si>
    <t>10% Better</t>
  </si>
  <si>
    <t>20% Better</t>
  </si>
  <si>
    <t>40% Better</t>
  </si>
  <si>
    <t>70% Better</t>
  </si>
  <si>
    <t>Supplied kWh</t>
  </si>
  <si>
    <t>Lost (kWh)</t>
  </si>
  <si>
    <t>Supplied (kWh)</t>
  </si>
  <si>
    <t>Gained (kWh)</t>
  </si>
  <si>
    <t>Removed (kWh)</t>
  </si>
  <si>
    <r>
      <rPr>
        <sz val="16"/>
        <color rgb="FF0432FF"/>
        <rFont val="Arial Black"/>
        <family val="2"/>
      </rPr>
      <t>PROJECT NOTES:</t>
    </r>
    <r>
      <rPr>
        <sz val="16"/>
        <color rgb="FF0432FF"/>
        <rFont val="Arial"/>
        <family val="2"/>
      </rPr>
      <t xml:space="preserve"> </t>
    </r>
  </si>
  <si>
    <t>Savings</t>
  </si>
  <si>
    <t>Costs</t>
  </si>
  <si>
    <t>Climate Zone</t>
  </si>
  <si>
    <t>Date</t>
  </si>
  <si>
    <t>Change Log</t>
  </si>
  <si>
    <t>Build</t>
  </si>
  <si>
    <t>2024.07.25</t>
  </si>
  <si>
    <t>Development Notes Log: v3.2: Update of Climate Sheet for Future Weather and NECB/NBC 2025 Weather: Pending. Updating and adding to Reference Values (Ongoing).  </t>
  </si>
  <si>
    <t xml:space="preserve">2024.07.01 </t>
  </si>
  <si>
    <t>Fixed Cooling Switch addition to loads. Locked up all Plug/Light/Eqpt loads to match occupancy</t>
  </si>
  <si>
    <t>Users MUST carefully edit all relevant refrence values to suit project compliance targets - there are too many variations for the dev. team to add and update all of them!</t>
  </si>
  <si>
    <t>Show all Ref. Formulae, Add Shielding and Stories for n-Factor </t>
  </si>
  <si>
    <t xml:space="preserve">2024.06.02: </t>
  </si>
  <si>
    <r>
      <rPr>
        <b/>
        <sz val="12"/>
        <color rgb="FF000000"/>
        <rFont val="Arial"/>
        <family val="2"/>
      </rPr>
      <t xml:space="preserve">FIXED/ </t>
    </r>
    <r>
      <rPr>
        <sz val="12"/>
        <color indexed="8"/>
        <rFont val="Arial"/>
        <family val="2"/>
      </rPr>
      <t>Cooling Setpoint influence on more than T.4.3 Peak Cooling Load, but total handling of cooling load via spec. density of air, temp diff, etc.</t>
    </r>
  </si>
  <si>
    <r>
      <rPr>
        <sz val="12"/>
        <color rgb="FF000000"/>
        <rFont val="Arial"/>
        <family val="2"/>
      </rPr>
      <t>Added TAF Emissions Factors at Cell</t>
    </r>
    <r>
      <rPr>
        <b/>
        <sz val="12"/>
        <color rgb="FF000000"/>
        <rFont val="Arial"/>
        <family val="2"/>
      </rPr>
      <t xml:space="preserve"> </t>
    </r>
    <r>
      <rPr>
        <sz val="12"/>
        <color indexed="8"/>
        <rFont val="Arial"/>
        <family val="2"/>
      </rPr>
      <t xml:space="preserve">I5 &amp; I18, Reference Sheet 'Ontario Emissions' and named ranges for Year and AEF. </t>
    </r>
  </si>
  <si>
    <t>Gas DHW Added to reflect emissions correctly - but ekWh net energy after DWHR applied remains the same. Updated Gas line under energy totals to show Utility Bill vs. Targeted in this instance</t>
  </si>
  <si>
    <t xml:space="preserve">2024.07.05: </t>
  </si>
  <si>
    <t>72 Total Inputs, Reorganized to track Target and Actual Emissions and Remove SHW double-counting from TEUI. Now Gas/Electric Toggle reports EUI to correct lines, Gas/Electric, energy same but emissions change (need to add cost for gas)</t>
  </si>
  <si>
    <t>Add carbon tax to GHGI field</t>
  </si>
  <si>
    <t xml:space="preserve">2024.07.06: </t>
  </si>
  <si>
    <t xml:space="preserve">Fixed Heating Energy Balance Diagram to account for PHPP style 'Unusable Gains, by putting them on the losses side (ABS) value. Added Heating Season Solar Gains Shading %. Changed Ventilation 'BOOST' mode to apply to cooling season ventilation only. </t>
  </si>
  <si>
    <t xml:space="preserve">2024.07.19: </t>
  </si>
  <si>
    <t xml:space="preserve">Added Capacitance function for thermal mass transfer in cooling season to sub-grade assemblies, added PHPP style Cooling Demand W/m2, graphic cleanup &amp; black header bars with key values. Corrected DWHR typo and moved all water use including thermal loads to Water section. Fleshed out Schedules Page with more equipment values. Added V.4.1 to Cooling Load. </t>
  </si>
  <si>
    <t xml:space="preserve">2024.07.18: </t>
  </si>
  <si>
    <t>Fixed Latent Load application when Boost mode also engaged. Edited Cooling Season Energy Balance Diagrams. Tied TB Penalty directly to Ae/Ag heatloss function section - not overall heatloss w air effects, etc. as it was previously. Added Cooling season heat energy infiltration.</t>
  </si>
  <si>
    <t>Integrate Clausius-Clapeyron function to Latent Load Factor for Ontario (RCP 1.5ºC = 7% to 147%, RCP 2.5ºC = 14% to 154%)</t>
  </si>
  <si>
    <t>Explore ISO 13790, 52016 validation, https://www.iso.org/standard/65696.html</t>
  </si>
  <si>
    <t>Release Candidate BETA posted to OPenBuilding.ca as limited BETA</t>
  </si>
  <si>
    <t>B.10 Floor Slab (Conditioned Space)</t>
  </si>
  <si>
    <t>B.9 Walls Below Grade (Conditioned Space)</t>
  </si>
  <si>
    <t>GFHDD Static</t>
  </si>
  <si>
    <t>GFCDD Static</t>
  </si>
  <si>
    <t>GFCDD Capacitance</t>
  </si>
  <si>
    <t>2024.07.26</t>
  </si>
  <si>
    <t xml:space="preserve">Fixed Static Method to zero out GF CDD. Fixed Energy Balance Diagrams wrt TB Penalty that was reversing signs. All balance now with any method applied. Moved Capacitance Method for Cooling to Climate Section to better view impact of methods on results. </t>
  </si>
  <si>
    <t>L.2.2 Cooling Degree Days (CDD)</t>
  </si>
  <si>
    <t>Degree-Days Below 18°C</t>
  </si>
  <si>
    <t>Degree-Days Below 15°C</t>
  </si>
  <si>
    <t>2.5% °C</t>
  </si>
  <si>
    <t>1% °C</t>
  </si>
  <si>
    <t>British Columbia</t>
  </si>
  <si>
    <t>100 Mile House</t>
  </si>
  <si>
    <t>Abbotsford</t>
  </si>
  <si>
    <t>Agassiz</t>
  </si>
  <si>
    <t>Alberni</t>
  </si>
  <si>
    <t>Ashcroft</t>
  </si>
  <si>
    <t>Bamfield</t>
  </si>
  <si>
    <t>3.0 3.2</t>
  </si>
  <si>
    <t>Beatton River</t>
  </si>
  <si>
    <t>Bella Bella</t>
  </si>
  <si>
    <t>Bella Coola</t>
  </si>
  <si>
    <t>Burns Lake</t>
  </si>
  <si>
    <t>Cache Creek</t>
  </si>
  <si>
    <t>Campbell River</t>
  </si>
  <si>
    <t>1.6 1.7</t>
  </si>
  <si>
    <t>Carmi</t>
  </si>
  <si>
    <t>Castlegar</t>
  </si>
  <si>
    <t>Chetwynd</t>
  </si>
  <si>
    <t>Chilliwack</t>
  </si>
  <si>
    <t>Comox</t>
  </si>
  <si>
    <t>Courtenay</t>
  </si>
  <si>
    <t>1.5 1.6</t>
  </si>
  <si>
    <t>Cranbrook</t>
  </si>
  <si>
    <t>Crescent Valley</t>
  </si>
  <si>
    <t>Crofton</t>
  </si>
  <si>
    <t>Dawson Creek</t>
  </si>
  <si>
    <t>Dease Lake</t>
  </si>
  <si>
    <t>Dog Creek</t>
  </si>
  <si>
    <t>Duncan</t>
  </si>
  <si>
    <t>Elko</t>
  </si>
  <si>
    <t>Fernie</t>
  </si>
  <si>
    <t>Fort Nelson</t>
  </si>
  <si>
    <t>Fort St. John</t>
  </si>
  <si>
    <t>Glacier</t>
  </si>
  <si>
    <t>Golden</t>
  </si>
  <si>
    <t>Gold River</t>
  </si>
  <si>
    <t>Grand Forks</t>
  </si>
  <si>
    <t>Greenwood</t>
  </si>
  <si>
    <t>Hope</t>
  </si>
  <si>
    <t>1.9 2.0</t>
  </si>
  <si>
    <t>Jordan River</t>
  </si>
  <si>
    <t>Kamloops</t>
  </si>
  <si>
    <t>Kaslo</t>
  </si>
  <si>
    <t>Kelowna</t>
  </si>
  <si>
    <t>Kimberley</t>
  </si>
  <si>
    <t>Kitimat Plant</t>
  </si>
  <si>
    <t>Kitimat Townsite</t>
  </si>
  <si>
    <t>Ladysmith</t>
  </si>
  <si>
    <t>Langford</t>
  </si>
  <si>
    <t>Lillooet</t>
  </si>
  <si>
    <t>Lytton</t>
  </si>
  <si>
    <t>Mackenzie</t>
  </si>
  <si>
    <t>Masset</t>
  </si>
  <si>
    <t>McBride</t>
  </si>
  <si>
    <t>McLeod Lake</t>
  </si>
  <si>
    <t>Merritt</t>
  </si>
  <si>
    <t>Mission City</t>
  </si>
  <si>
    <t>Montrose</t>
  </si>
  <si>
    <t>Nakusp</t>
  </si>
  <si>
    <t>Nanaimo</t>
  </si>
  <si>
    <t>Nelson</t>
  </si>
  <si>
    <t>Ocean Falls</t>
  </si>
  <si>
    <t>Osoyoos</t>
  </si>
  <si>
    <t>Parksville</t>
  </si>
  <si>
    <t>Penticton</t>
  </si>
  <si>
    <t>Port Alberni</t>
  </si>
  <si>
    <t>2.0 2.1</t>
  </si>
  <si>
    <t>Port Alice</t>
  </si>
  <si>
    <t>3.4 3.6</t>
  </si>
  <si>
    <t>Port Hardy</t>
  </si>
  <si>
    <t>Port McNeill</t>
  </si>
  <si>
    <t>Port Renfrew</t>
  </si>
  <si>
    <t>Powell River</t>
  </si>
  <si>
    <t>Prince George</t>
  </si>
  <si>
    <t>Prince Rupert</t>
  </si>
  <si>
    <t>Qualicum Beach</t>
  </si>
  <si>
    <t>Queen Charlotte City</t>
  </si>
  <si>
    <t>Quesnel</t>
  </si>
  <si>
    <t>Revelstoke</t>
  </si>
  <si>
    <t>Salmon Arm</t>
  </si>
  <si>
    <t>Sandspit</t>
  </si>
  <si>
    <t>Sechelt</t>
  </si>
  <si>
    <t>Sidney</t>
  </si>
  <si>
    <t>Smithers</t>
  </si>
  <si>
    <t>Smith River</t>
  </si>
  <si>
    <t>Sooke</t>
  </si>
  <si>
    <t>Squamish</t>
  </si>
  <si>
    <t>Stewart</t>
  </si>
  <si>
    <t>Tahsis</t>
  </si>
  <si>
    <t>Taylor</t>
  </si>
  <si>
    <t>Terrace</t>
  </si>
  <si>
    <t>Tofino</t>
  </si>
  <si>
    <t>Trail</t>
  </si>
  <si>
    <t>Ucluelet</t>
  </si>
  <si>
    <t>Burnaby (Simon Fraser Univ.)</t>
  </si>
  <si>
    <t>Cloverdale</t>
  </si>
  <si>
    <t>Haney</t>
  </si>
  <si>
    <t>Ladner</t>
  </si>
  <si>
    <t>Langley</t>
  </si>
  <si>
    <t>New Westminster</t>
  </si>
  <si>
    <t>North Vancouver</t>
  </si>
  <si>
    <t>Richmond</t>
  </si>
  <si>
    <t>Surrey (88 Ave &amp; 156 St.)</t>
  </si>
  <si>
    <t>Vancouver (City Hall)</t>
  </si>
  <si>
    <t>Vancouver (Granville St. &amp; 41st Ave)</t>
  </si>
  <si>
    <t>West Vancouver</t>
  </si>
  <si>
    <t>Vernon</t>
  </si>
  <si>
    <t>Victoria Region</t>
  </si>
  <si>
    <t>Victoria</t>
  </si>
  <si>
    <t>Victoria (Gonzales Hts)</t>
  </si>
  <si>
    <t>Victoria (Mt Tolmie)</t>
  </si>
  <si>
    <t>Whistler</t>
  </si>
  <si>
    <t>White Rock</t>
  </si>
  <si>
    <t>Williams Lake</t>
  </si>
  <si>
    <t>Youbou</t>
  </si>
  <si>
    <t>2.1 2.2</t>
  </si>
  <si>
    <t>Alberta</t>
  </si>
  <si>
    <t>Athabasca</t>
  </si>
  <si>
    <t>Banff</t>
  </si>
  <si>
    <t>Barrhead</t>
  </si>
  <si>
    <t>Beaverlodge</t>
  </si>
  <si>
    <t>Brooks</t>
  </si>
  <si>
    <t>Calgary</t>
  </si>
  <si>
    <t>Campsie</t>
  </si>
  <si>
    <t>Camrose</t>
  </si>
  <si>
    <t>Canmore</t>
  </si>
  <si>
    <t>Cardston</t>
  </si>
  <si>
    <t>Claresholm</t>
  </si>
  <si>
    <t>Cold Lake</t>
  </si>
  <si>
    <t>Coleman</t>
  </si>
  <si>
    <t>Coronation</t>
  </si>
  <si>
    <t>Cowley</t>
  </si>
  <si>
    <t>Drumheller</t>
  </si>
  <si>
    <t>Edmonton</t>
  </si>
  <si>
    <t>Edson</t>
  </si>
  <si>
    <t>Embarras Portage</t>
  </si>
  <si>
    <t>Fairview</t>
  </si>
  <si>
    <t>Fort MacLeod</t>
  </si>
  <si>
    <t>Fort McMurray</t>
  </si>
  <si>
    <t>Fort Saskatchewan</t>
  </si>
  <si>
    <t>Fort Vermilion</t>
  </si>
  <si>
    <t>Grande Prairie</t>
  </si>
  <si>
    <t>Habay</t>
  </si>
  <si>
    <t>Hardisty</t>
  </si>
  <si>
    <t>High River</t>
  </si>
  <si>
    <t>Hinton</t>
  </si>
  <si>
    <t>Jasper</t>
  </si>
  <si>
    <t>Keg River</t>
  </si>
  <si>
    <t>Lac La Biche</t>
  </si>
  <si>
    <t>Lacombe</t>
  </si>
  <si>
    <t>Lethbridge</t>
  </si>
  <si>
    <t>Manning</t>
  </si>
  <si>
    <t>Medicine Hat</t>
  </si>
  <si>
    <t>Peace River</t>
  </si>
  <si>
    <t>Pincher Creek</t>
  </si>
  <si>
    <t>Ranfurly</t>
  </si>
  <si>
    <t>Red Deer</t>
  </si>
  <si>
    <t>Rocky Mountain House</t>
  </si>
  <si>
    <t>Slave Lake</t>
  </si>
  <si>
    <t>Stettler</t>
  </si>
  <si>
    <t>Stony Plain</t>
  </si>
  <si>
    <t>Suffield</t>
  </si>
  <si>
    <t>Taber</t>
  </si>
  <si>
    <t>Turner Valley</t>
  </si>
  <si>
    <t>Valleyview</t>
  </si>
  <si>
    <t>Vegreville</t>
  </si>
  <si>
    <t>Vermilion</t>
  </si>
  <si>
    <t>Wagner</t>
  </si>
  <si>
    <t>Wainwright</t>
  </si>
  <si>
    <t>Wetaskiwin</t>
  </si>
  <si>
    <t>Whitecourt</t>
  </si>
  <si>
    <t>Wimborne</t>
  </si>
  <si>
    <t>Saskatchewan</t>
  </si>
  <si>
    <t>Assiniboia</t>
  </si>
  <si>
    <t>Battrum</t>
  </si>
  <si>
    <t>Biggar</t>
  </si>
  <si>
    <t>Broadview</t>
  </si>
  <si>
    <t>Dafoe</t>
  </si>
  <si>
    <t>Dundurn</t>
  </si>
  <si>
    <t>Estevan</t>
  </si>
  <si>
    <t>Hudson Bay</t>
  </si>
  <si>
    <t>Humboldt</t>
  </si>
  <si>
    <t>Island Falls</t>
  </si>
  <si>
    <t>Kamsack</t>
  </si>
  <si>
    <t>Kindersley</t>
  </si>
  <si>
    <t>Lloydminster</t>
  </si>
  <si>
    <t>Maple Creek</t>
  </si>
  <si>
    <t>Meadow Lake</t>
  </si>
  <si>
    <t>Melfort</t>
  </si>
  <si>
    <t>Melville</t>
  </si>
  <si>
    <t>Moose Jaw</t>
  </si>
  <si>
    <t>Nipawin</t>
  </si>
  <si>
    <t>North Battleford</t>
  </si>
  <si>
    <t>Prince Albert</t>
  </si>
  <si>
    <t>Qu'Appelle</t>
  </si>
  <si>
    <t>Regina</t>
  </si>
  <si>
    <t>Rosetown</t>
  </si>
  <si>
    <t>Saskatoon</t>
  </si>
  <si>
    <t>Scott</t>
  </si>
  <si>
    <t>Strasbourg</t>
  </si>
  <si>
    <t>Swift Current</t>
  </si>
  <si>
    <t>Uranium City</t>
  </si>
  <si>
    <t>Weyburn</t>
  </si>
  <si>
    <t>Yorkton</t>
  </si>
  <si>
    <t>Manitoba</t>
  </si>
  <si>
    <t>Beausejour</t>
  </si>
  <si>
    <t>Boissevain</t>
  </si>
  <si>
    <t>Brandon</t>
  </si>
  <si>
    <t>Churchill</t>
  </si>
  <si>
    <t>Dauphin</t>
  </si>
  <si>
    <t>Flin Flon</t>
  </si>
  <si>
    <t>Gimli</t>
  </si>
  <si>
    <t>Island Lake</t>
  </si>
  <si>
    <t>Lac du Bonnet</t>
  </si>
  <si>
    <t>Lynn Lake</t>
  </si>
  <si>
    <t>Morden</t>
  </si>
  <si>
    <t>Neepawa</t>
  </si>
  <si>
    <t>Pine Falls</t>
  </si>
  <si>
    <t>Portage la Prairie</t>
  </si>
  <si>
    <t>Rivers</t>
  </si>
  <si>
    <t>Sandilands</t>
  </si>
  <si>
    <t>Selkirk</t>
  </si>
  <si>
    <t>Split Lake</t>
  </si>
  <si>
    <t>Steinbach</t>
  </si>
  <si>
    <t>Swan River</t>
  </si>
  <si>
    <t>The Pas</t>
  </si>
  <si>
    <t>Thompson</t>
  </si>
  <si>
    <t>Virden</t>
  </si>
  <si>
    <t>Winnipeg</t>
  </si>
  <si>
    <t>Borden (CFB)</t>
  </si>
  <si>
    <t>Deseronto</t>
  </si>
  <si>
    <t>Hamilton</t>
  </si>
  <si>
    <t>Kitchenuhmaykoosib / Big Trout Lake</t>
  </si>
  <si>
    <t>–</t>
  </si>
  <si>
    <t>Mississauga (Port Credit)</t>
  </si>
  <si>
    <t>Ottawa (M-C Int'l Airport)</t>
  </si>
  <si>
    <t>Ottawa (Orléans)</t>
  </si>
  <si>
    <t>Pickering (Dunbarton)</t>
  </si>
  <si>
    <t>Smiths Falls</t>
  </si>
  <si>
    <t>St. Marys</t>
  </si>
  <si>
    <t>Etobicoke</t>
  </si>
  <si>
    <t>North York</t>
  </si>
  <si>
    <t>Scarborough</t>
  </si>
  <si>
    <t>Québec</t>
  </si>
  <si>
    <t>Acton Vale</t>
  </si>
  <si>
    <t>Alma</t>
  </si>
  <si>
    <t>Amos</t>
  </si>
  <si>
    <t>Aylmer</t>
  </si>
  <si>
    <t>Baie-Comeau</t>
  </si>
  <si>
    <t>Baie-Saint-Paul</t>
  </si>
  <si>
    <t>Beauport</t>
  </si>
  <si>
    <t>Bedford</t>
  </si>
  <si>
    <t>Beloeil</t>
  </si>
  <si>
    <t>Brome</t>
  </si>
  <si>
    <t>Brossard</t>
  </si>
  <si>
    <t>Buckingham</t>
  </si>
  <si>
    <t>Campbell's Bay</t>
  </si>
  <si>
    <t>Chambly</t>
  </si>
  <si>
    <t>Coaticook</t>
  </si>
  <si>
    <t>Contrecoeur</t>
  </si>
  <si>
    <t>Cowansville</t>
  </si>
  <si>
    <t>Deux-Montagnes</t>
  </si>
  <si>
    <t>Dolbeau</t>
  </si>
  <si>
    <t>Drummondville</t>
  </si>
  <si>
    <t>Farnham</t>
  </si>
  <si>
    <t>Fort-Coulonge</t>
  </si>
  <si>
    <t>Gagnon</t>
  </si>
  <si>
    <t>Gaspé</t>
  </si>
  <si>
    <t>Gatineau</t>
  </si>
  <si>
    <t>Gracefield</t>
  </si>
  <si>
    <t>Granby</t>
  </si>
  <si>
    <t>Harrington Harbour</t>
  </si>
  <si>
    <t>Havre-Saint-Pierre</t>
  </si>
  <si>
    <t>Hemmingford</t>
  </si>
  <si>
    <t>Hull</t>
  </si>
  <si>
    <t>Iberville</t>
  </si>
  <si>
    <t>Inukjuak</t>
  </si>
  <si>
    <t>Joliette</t>
  </si>
  <si>
    <t>Kuujjuaq</t>
  </si>
  <si>
    <t>Kuujjuarapik</t>
  </si>
  <si>
    <t>Lachute</t>
  </si>
  <si>
    <t>Lac-Mégantic</t>
  </si>
  <si>
    <t>La Malbaie</t>
  </si>
  <si>
    <t>La Pocatière</t>
  </si>
  <si>
    <t>La Tuque</t>
  </si>
  <si>
    <t>Lennoxville</t>
  </si>
  <si>
    <t>Léry</t>
  </si>
  <si>
    <t>Loretteville</t>
  </si>
  <si>
    <t>Louiseville</t>
  </si>
  <si>
    <t>Magog</t>
  </si>
  <si>
    <t>Malartic</t>
  </si>
  <si>
    <t>Maniwaki</t>
  </si>
  <si>
    <t>Masson</t>
  </si>
  <si>
    <t>Matane</t>
  </si>
  <si>
    <t>Mont-Joli</t>
  </si>
  <si>
    <t>Mont-Laurier</t>
  </si>
  <si>
    <t>Montmagny</t>
  </si>
  <si>
    <t>Beaconsfield</t>
  </si>
  <si>
    <t>Dorval</t>
  </si>
  <si>
    <t>Laval</t>
  </si>
  <si>
    <t>Montréal (City Hall)</t>
  </si>
  <si>
    <t>Montréal-Est</t>
  </si>
  <si>
    <t>Montréal-Nord</t>
  </si>
  <si>
    <t>Outremont</t>
  </si>
  <si>
    <t>Pierrefonds</t>
  </si>
  <si>
    <t>Sainte-Anne-de-Bellevue</t>
  </si>
  <si>
    <t>Saint-Lambert</t>
  </si>
  <si>
    <t>Saint-Laurent</t>
  </si>
  <si>
    <t>Verdun</t>
  </si>
  <si>
    <t>Nicolet (Gentilly)</t>
  </si>
  <si>
    <t>Nitchequon</t>
  </si>
  <si>
    <t>Noranda</t>
  </si>
  <si>
    <t>Percé</t>
  </si>
  <si>
    <t>Pincourt</t>
  </si>
  <si>
    <t>Plessisville</t>
  </si>
  <si>
    <t>Port-Cartier</t>
  </si>
  <si>
    <t>Puvirnituq</t>
  </si>
  <si>
    <t>Ancienne-Lorette</t>
  </si>
  <si>
    <t>Lévis</t>
  </si>
  <si>
    <t>Sainte-Foy</t>
  </si>
  <si>
    <t>Sillery</t>
  </si>
  <si>
    <t>Rimouski</t>
  </si>
  <si>
    <t>Rivière-du-Loup</t>
  </si>
  <si>
    <t>Roberval</t>
  </si>
  <si>
    <t>Rock Island</t>
  </si>
  <si>
    <t>Rosemère</t>
  </si>
  <si>
    <t>Rouyn</t>
  </si>
  <si>
    <t>Saguenay</t>
  </si>
  <si>
    <t>Saguenay (Bagotville)</t>
  </si>
  <si>
    <t>Saguenay (Jonquière)</t>
  </si>
  <si>
    <t>Saguenay (Kénogami)</t>
  </si>
  <si>
    <t>Sainte-Agathe-des-Monts</t>
  </si>
  <si>
    <t>Saint-Eustache</t>
  </si>
  <si>
    <t>Saint-Félicien</t>
  </si>
  <si>
    <t>Saint-Georges-de-Cacouna</t>
  </si>
  <si>
    <t>Saint-Hubert</t>
  </si>
  <si>
    <t>Saint-Hubert-de-Rivière-du-Loup</t>
  </si>
  <si>
    <t>Saint-Hyacinthe</t>
  </si>
  <si>
    <t>Saint-Jean-sur-Richelieu</t>
  </si>
  <si>
    <t>Saint-Jérôme</t>
  </si>
  <si>
    <t>Saint-Jovite</t>
  </si>
  <si>
    <t>Saint-Lazare / Hudson</t>
  </si>
  <si>
    <t>Saint-Nicolas</t>
  </si>
  <si>
    <t>Salaberry-de-Valleyfield</t>
  </si>
  <si>
    <t>Schefferville</t>
  </si>
  <si>
    <t>Senneterre</t>
  </si>
  <si>
    <t>Sept-Îles</t>
  </si>
  <si>
    <t>Shawinigan</t>
  </si>
  <si>
    <t>Shawville</t>
  </si>
  <si>
    <t>Sherbrooke</t>
  </si>
  <si>
    <t>Sorel</t>
  </si>
  <si>
    <t>Sutton</t>
  </si>
  <si>
    <t>Tadoussac</t>
  </si>
  <si>
    <t>Témiscaming</t>
  </si>
  <si>
    <t>Terrebonne</t>
  </si>
  <si>
    <t>Thetford Mines</t>
  </si>
  <si>
    <t>Thurso</t>
  </si>
  <si>
    <t>Trois-Rivières</t>
  </si>
  <si>
    <t>Val-des-Sources</t>
  </si>
  <si>
    <t>Val-d'Or</t>
  </si>
  <si>
    <t>Varennes</t>
  </si>
  <si>
    <t>Verchères</t>
  </si>
  <si>
    <t>Victoriaville</t>
  </si>
  <si>
    <t>Ville-Marie</t>
  </si>
  <si>
    <t>Wakefield</t>
  </si>
  <si>
    <t>New Brunswick</t>
  </si>
  <si>
    <t>Bathurst</t>
  </si>
  <si>
    <t>Boiestown</t>
  </si>
  <si>
    <t>Campbellton</t>
  </si>
  <si>
    <t>Edmundston</t>
  </si>
  <si>
    <t>Fredericton</t>
  </si>
  <si>
    <t>Gagetown</t>
  </si>
  <si>
    <t>Grand Falls</t>
  </si>
  <si>
    <t>Miramichi</t>
  </si>
  <si>
    <t>Moncton</t>
  </si>
  <si>
    <t>Oromocto</t>
  </si>
  <si>
    <t>Sackville</t>
  </si>
  <si>
    <t>Saint Andrews</t>
  </si>
  <si>
    <t>Saint John</t>
  </si>
  <si>
    <t>Shippagan</t>
  </si>
  <si>
    <t>St. George</t>
  </si>
  <si>
    <t>St. Stephen</t>
  </si>
  <si>
    <t>Nova Scotia</t>
  </si>
  <si>
    <t>Amherst</t>
  </si>
  <si>
    <t>Antigonish</t>
  </si>
  <si>
    <t>Bridgewater</t>
  </si>
  <si>
    <t>Canso</t>
  </si>
  <si>
    <t>Debert</t>
  </si>
  <si>
    <t>Digby</t>
  </si>
  <si>
    <t>Greenwood (CFB)</t>
  </si>
  <si>
    <t>Halifax Region</t>
  </si>
  <si>
    <t>Dartmouth</t>
  </si>
  <si>
    <t>Halifax</t>
  </si>
  <si>
    <t>Kentville</t>
  </si>
  <si>
    <t>Liverpool</t>
  </si>
  <si>
    <t>Lockeport</t>
  </si>
  <si>
    <t>Louisbourg</t>
  </si>
  <si>
    <t>Lunenburg</t>
  </si>
  <si>
    <t>New Glasgow</t>
  </si>
  <si>
    <t>North Sydney</t>
  </si>
  <si>
    <t>Pictou</t>
  </si>
  <si>
    <t>Port Hawkesbury</t>
  </si>
  <si>
    <t>Springhill</t>
  </si>
  <si>
    <t>Stewiacke</t>
  </si>
  <si>
    <t>Sydney</t>
  </si>
  <si>
    <t>Tatamagouche</t>
  </si>
  <si>
    <t>Truro</t>
  </si>
  <si>
    <t>Wolfville</t>
  </si>
  <si>
    <t>Yarmouth</t>
  </si>
  <si>
    <t>Prince Edward Island</t>
  </si>
  <si>
    <t>Charlottetown</t>
  </si>
  <si>
    <t>Souris</t>
  </si>
  <si>
    <t>Summerside</t>
  </si>
  <si>
    <t>Tignish</t>
  </si>
  <si>
    <t>Newfoundland and Labrador</t>
  </si>
  <si>
    <t>Argentia</t>
  </si>
  <si>
    <t>Bonavista</t>
  </si>
  <si>
    <t>Buchans</t>
  </si>
  <si>
    <t>Cape Harrison</t>
  </si>
  <si>
    <t>Cape Race</t>
  </si>
  <si>
    <t>Channel-Port aux Basques</t>
  </si>
  <si>
    <t>Corner Brook</t>
  </si>
  <si>
    <t>Gander</t>
  </si>
  <si>
    <t>Grand Bank</t>
  </si>
  <si>
    <t>Happy Valley-Goose Bay</t>
  </si>
  <si>
    <t>Labrador City</t>
  </si>
  <si>
    <t>St. Anthony</t>
  </si>
  <si>
    <t>Stephenville</t>
  </si>
  <si>
    <t>St. John's</t>
  </si>
  <si>
    <t>Twin Falls</t>
  </si>
  <si>
    <t>Wabana</t>
  </si>
  <si>
    <t>Wabush</t>
  </si>
  <si>
    <t>Yukon</t>
  </si>
  <si>
    <t>Aishihik</t>
  </si>
  <si>
    <t>Dawson</t>
  </si>
  <si>
    <t>Destruction Bay</t>
  </si>
  <si>
    <t>Faro</t>
  </si>
  <si>
    <t>Haines Junction</t>
  </si>
  <si>
    <t>Snag</t>
  </si>
  <si>
    <t>Teslin</t>
  </si>
  <si>
    <t>Watson Lake</t>
  </si>
  <si>
    <t>Whitehorse</t>
  </si>
  <si>
    <t>Northwest Territories</t>
  </si>
  <si>
    <t>Aklavik</t>
  </si>
  <si>
    <t>Echo Bay / Port Radium</t>
  </si>
  <si>
    <t>Fort Good Hope</t>
  </si>
  <si>
    <t>Fort McPherson</t>
  </si>
  <si>
    <t>Fort Providence</t>
  </si>
  <si>
    <t>Fort Resolution</t>
  </si>
  <si>
    <t>Fort Simpson</t>
  </si>
  <si>
    <t>Fort Smith</t>
  </si>
  <si>
    <t>Hay River</t>
  </si>
  <si>
    <t>Inuvik</t>
  </si>
  <si>
    <t>Mould Bay</t>
  </si>
  <si>
    <t>Norman Wells</t>
  </si>
  <si>
    <t>Tungsten</t>
  </si>
  <si>
    <t>Ulukhaktok / Holman</t>
  </si>
  <si>
    <t>Wrigley</t>
  </si>
  <si>
    <t>Yellowknife</t>
  </si>
  <si>
    <t>Nunavut</t>
  </si>
  <si>
    <t>Alert</t>
  </si>
  <si>
    <t>Arctic Bay</t>
  </si>
  <si>
    <t>Arviat</t>
  </si>
  <si>
    <t>Baker Lake</t>
  </si>
  <si>
    <t>Eureka</t>
  </si>
  <si>
    <t>Igluligaarjuk / Chesterfield Inlet</t>
  </si>
  <si>
    <t>Iqaluit</t>
  </si>
  <si>
    <t>Iqaluktuuttiaq / Cambridge Bay</t>
  </si>
  <si>
    <t>Isachsen</t>
  </si>
  <si>
    <t>Kangiqiniq / Rankin Inlet</t>
  </si>
  <si>
    <t>Kanngiqtugaapik / Clyde River</t>
  </si>
  <si>
    <t>Kugluktuk / Coppermine</t>
  </si>
  <si>
    <t>Nottingham Island</t>
  </si>
  <si>
    <t>Resolute</t>
  </si>
  <si>
    <t>Resolution Island</t>
  </si>
  <si>
    <t>Salliq / Coral Harbour</t>
  </si>
  <si>
    <t>Moist. Index (NEW)</t>
  </si>
  <si>
    <t>Winter Average</t>
  </si>
  <si>
    <t>Ss</t>
  </si>
  <si>
    <t>Sr</t>
  </si>
  <si>
    <t>1/50</t>
  </si>
  <si>
    <t>1/500</t>
  </si>
  <si>
    <t>1/10 (NEW)</t>
  </si>
  <si>
    <t>1/50 (NEW)</t>
  </si>
  <si>
    <t>2.9 3.0</t>
  </si>
  <si>
    <t>2.3 2.4</t>
  </si>
  <si>
    <t>2.2 2.3</t>
  </si>
  <si>
    <t>3.2 3.4</t>
  </si>
  <si>
    <t>2.8 2.9</t>
  </si>
  <si>
    <t>2.4 2.5</t>
  </si>
  <si>
    <t>3.1 3.3</t>
  </si>
  <si>
    <t>4.3 4.5</t>
  </si>
  <si>
    <t>2.6 2.7</t>
  </si>
  <si>
    <t>3.6 3.8</t>
  </si>
  <si>
    <t>4.2 4.4</t>
  </si>
  <si>
    <t>4.7 4.9</t>
  </si>
  <si>
    <t>5.5 5.8</t>
  </si>
  <si>
    <t>3.8 4.0</t>
  </si>
  <si>
    <t>1/10</t>
  </si>
  <si>
    <t/>
  </si>
  <si>
    <t>Behchokǫ̀ / Rae-Edzo</t>
  </si>
  <si>
    <t>Elev ASL (m)</t>
  </si>
  <si>
    <t>15 Min. Rain mm</t>
  </si>
  <si>
    <t>15 Min. Rain mm (NEW)</t>
  </si>
  <si>
    <t>One Day Rain 1/50 mm</t>
  </si>
  <si>
    <t>One Day Rain 1/50 mm (NEW)</t>
  </si>
  <si>
    <t>Ann. Rain mm</t>
  </si>
  <si>
    <t>Ann. Rain mm (NEW)</t>
  </si>
  <si>
    <t>Ann. Tot. Ppn. mm</t>
  </si>
  <si>
    <t>Ann. Tot. Ppn. mm (NEW)</t>
  </si>
  <si>
    <t>Driving Rain Wind Pressures Pa 1/5</t>
  </si>
  <si>
    <t>Driving Rain Wind Pressures Pa 1/5 (NEW)</t>
  </si>
  <si>
    <t>Snow Load kPa 1/50</t>
  </si>
  <si>
    <t>Snow Load kPa 1/1000</t>
  </si>
  <si>
    <t>Hourly Wind Pressures kPa (NEW)</t>
  </si>
  <si>
    <t>Wind Speed m/s</t>
  </si>
  <si>
    <t>Hourly Wind Pr. kPa</t>
  </si>
  <si>
    <t>Temp. °C</t>
  </si>
  <si>
    <t>FUTURE HDD 2021-2050 Ensemble Mean Degree-Days Below 18°C</t>
  </si>
  <si>
    <t>If CDDfuture shows 666, User must lookup CDD for 2021-2050 Mean Ensemble CDD as NBC has NOT provided these values in the NBC 2025 C2 Reference Table</t>
  </si>
  <si>
    <t>2024.07.27</t>
  </si>
  <si>
    <t>Added PRF 1979 DRAFT NBC 2025 revised Weather Data Table C2, Including Revised Current and Future Weather Values for all locations in Canada</t>
  </si>
  <si>
    <r>
      <t xml:space="preserve">ACTUAL NET
</t>
    </r>
    <r>
      <rPr>
        <sz val="14"/>
        <color theme="0"/>
        <rFont val="Arial"/>
        <family val="2"/>
      </rPr>
      <t>ekWh</t>
    </r>
  </si>
  <si>
    <r>
      <t xml:space="preserve">TARGET NET
</t>
    </r>
    <r>
      <rPr>
        <sz val="14"/>
        <color theme="0"/>
        <rFont val="Arial"/>
        <family val="2"/>
      </rPr>
      <t>ekWh</t>
    </r>
  </si>
  <si>
    <t>kW Occupant Gains (for sizing cooling)</t>
  </si>
  <si>
    <r>
      <rPr>
        <b/>
        <sz val="11"/>
        <color rgb="FF000000"/>
        <rFont val="Helvetica Neue Light"/>
      </rPr>
      <t>B.1.2 Activity Level</t>
    </r>
    <r>
      <rPr>
        <sz val="11"/>
        <color indexed="8"/>
        <rFont val="Helvetica Neue Light"/>
      </rPr>
      <t>, Sensible &amp; Latent Combined (Watts)</t>
    </r>
  </si>
  <si>
    <t>B.1.3 Daily Average Occupied Hours</t>
  </si>
  <si>
    <t>Historical</t>
  </si>
  <si>
    <t>Latent Heat of Vaporization J/kg</t>
  </si>
  <si>
    <t>Net Cooling Load Method</t>
  </si>
  <si>
    <t>July 2.5% Dry Bulb Temperature Present</t>
  </si>
  <si>
    <t>July 2.5% Wet Bulb Temperature Present</t>
  </si>
  <si>
    <t>July 2.5% Wet Bulb Temperature Future</t>
  </si>
  <si>
    <t>July 2.5% Dry Bulb Temperature Future</t>
  </si>
  <si>
    <t>Location per FACTS sheet</t>
  </si>
  <si>
    <t>T.10.2 Total Annual Cooling Load (unmitigated) from FACTS TEDI Section</t>
  </si>
  <si>
    <t>B.1.3 Indoor Design Temperature</t>
  </si>
  <si>
    <t>V1.1 Ventilation Rate in m3/s</t>
  </si>
  <si>
    <t>Cooling Period in Days</t>
  </si>
  <si>
    <t>Number of Peak Days in Cooling Period (2.5%)</t>
  </si>
  <si>
    <t>Daily Average Cooling Load kWh</t>
  </si>
  <si>
    <t>Peak Day Hourly Cooling Load kW</t>
  </si>
  <si>
    <t>Peak Day Daily Cooling Load kWh (1.5x average)</t>
  </si>
  <si>
    <t>PRESENT Qfreecooling kW</t>
  </si>
  <si>
    <t>FUTURE Qfreecooling kW</t>
  </si>
  <si>
    <t>kW PRESENT Net Peak Cooling Load (Compare with T.4.4 on FACTS)</t>
  </si>
  <si>
    <t>kW FUTURE Net Peak Cooling Load (Compare with T.4.4 on FACTS)</t>
  </si>
  <si>
    <r>
      <rPr>
        <b/>
        <sz val="14"/>
        <color rgb="FF000000"/>
        <rFont val="Arial"/>
        <family val="2"/>
      </rPr>
      <t>Tons</t>
    </r>
    <r>
      <rPr>
        <sz val="14"/>
        <color indexed="8"/>
        <rFont val="Arial"/>
        <family val="2"/>
      </rPr>
      <t xml:space="preserve"> FUTURE Net Peak Cooling Calculated</t>
    </r>
  </si>
  <si>
    <r>
      <rPr>
        <b/>
        <sz val="14"/>
        <color rgb="FF000000"/>
        <rFont val="Arial"/>
        <family val="2"/>
      </rPr>
      <t>Tons</t>
    </r>
    <r>
      <rPr>
        <sz val="14"/>
        <color indexed="8"/>
        <rFont val="Arial"/>
        <family val="2"/>
      </rPr>
      <t xml:space="preserve"> PRESENT Net Peak Cooling Calculated</t>
    </r>
  </si>
  <si>
    <t xml:space="preserve">kWh Present Sensible DAILY Cooling Load Calculated </t>
  </si>
  <si>
    <t xml:space="preserve">kWh Future Sensible DAILY Cooling Load Calculated </t>
  </si>
  <si>
    <t>Cooling Degree Days for Location and Years</t>
  </si>
  <si>
    <t xml:space="preserve">kWh Present Latent DAILY Cooling Load Calculated </t>
  </si>
  <si>
    <t xml:space="preserve">kWh Future Latent DAILY Cooling Load Calculated </t>
  </si>
  <si>
    <t>Pa Partial Pressure of Water Vapour at Peak (100% RH b/c Tempwb)</t>
  </si>
  <si>
    <t>Windoor = Humidity Ration Indoors kg/kg</t>
  </si>
  <si>
    <r>
      <t xml:space="preserve">Psat Peak: Saturation Vapour Pressure in Pa (Tetens Formula) </t>
    </r>
    <r>
      <rPr>
        <b/>
        <sz val="14"/>
        <color rgb="FF000000"/>
        <rFont val="Arial"/>
        <family val="2"/>
      </rPr>
      <t>FUTURE</t>
    </r>
  </si>
  <si>
    <r>
      <t xml:space="preserve">Psat Peak: Saturation Vapour Pressure in Pa (Tetens Formula) </t>
    </r>
    <r>
      <rPr>
        <b/>
        <sz val="14"/>
        <color rgb="FF000000"/>
        <rFont val="Arial"/>
        <family val="2"/>
      </rPr>
      <t>PRESENT</t>
    </r>
  </si>
  <si>
    <r>
      <t xml:space="preserve">Psat, Indoor: Same as above for Indoor Condition </t>
    </r>
    <r>
      <rPr>
        <b/>
        <sz val="14"/>
        <color rgb="FF000000"/>
        <rFont val="Arial"/>
        <family val="2"/>
      </rPr>
      <t>PRESENT</t>
    </r>
  </si>
  <si>
    <r>
      <t xml:space="preserve">Psat, Indoor: Same as above for Indoor Condition </t>
    </r>
    <r>
      <rPr>
        <b/>
        <sz val="14"/>
        <color rgb="FF000000"/>
        <rFont val="Arial"/>
        <family val="2"/>
      </rPr>
      <t>FUTURE</t>
    </r>
  </si>
  <si>
    <r>
      <t xml:space="preserve">Wpeak Humidity Ratio at Peak Conditions in kg/kg </t>
    </r>
    <r>
      <rPr>
        <b/>
        <sz val="14"/>
        <color rgb="FF000000"/>
        <rFont val="Arial"/>
        <family val="2"/>
      </rPr>
      <t>PRESENT</t>
    </r>
  </si>
  <si>
    <r>
      <t xml:space="preserve">Wpeak Humidity Ratio at Peak Conditions in kg/kg </t>
    </r>
    <r>
      <rPr>
        <b/>
        <sz val="14"/>
        <color rgb="FF000000"/>
        <rFont val="Arial"/>
        <family val="2"/>
      </rPr>
      <t>FUTURE</t>
    </r>
  </si>
  <si>
    <r>
      <t xml:space="preserve">Humidity Ratio Difference ΔW=Wpeak-Windoor kg/kg </t>
    </r>
    <r>
      <rPr>
        <b/>
        <sz val="14"/>
        <color rgb="FF000000"/>
        <rFont val="Arial"/>
        <family val="2"/>
      </rPr>
      <t>PRESENT</t>
    </r>
  </si>
  <si>
    <r>
      <t xml:space="preserve">Humidity Ratio Difference ΔW=Wpeak-Windoor kg/kg </t>
    </r>
    <r>
      <rPr>
        <b/>
        <sz val="14"/>
        <color rgb="FF000000"/>
        <rFont val="Arial"/>
        <family val="2"/>
      </rPr>
      <t>FUTURE</t>
    </r>
  </si>
  <si>
    <t>A.5 Ideal Average Interior RH in % from FACTS</t>
  </si>
  <si>
    <t>Sensible</t>
  </si>
  <si>
    <t>Latent</t>
  </si>
  <si>
    <t>Another Alternative Method to Derive Peak Cooling Load</t>
  </si>
  <si>
    <t>Combined</t>
  </si>
  <si>
    <r>
      <t xml:space="preserve">Watts Qpeak </t>
    </r>
    <r>
      <rPr>
        <b/>
        <sz val="14"/>
        <color rgb="FF000000"/>
        <rFont val="Arial"/>
        <family val="2"/>
      </rPr>
      <t>Present</t>
    </r>
    <r>
      <rPr>
        <sz val="14"/>
        <color indexed="8"/>
        <rFont val="Arial"/>
        <family val="2"/>
      </rPr>
      <t xml:space="preserve"> Combined Sensible &amp; Latent Loads</t>
    </r>
  </si>
  <si>
    <r>
      <t xml:space="preserve">Watts Qpeak </t>
    </r>
    <r>
      <rPr>
        <b/>
        <sz val="14"/>
        <color rgb="FF000000"/>
        <rFont val="Arial"/>
        <family val="2"/>
      </rPr>
      <t>Future</t>
    </r>
    <r>
      <rPr>
        <sz val="14"/>
        <color indexed="8"/>
        <rFont val="Arial"/>
        <family val="2"/>
      </rPr>
      <t xml:space="preserve"> Combined Sensible &amp; Latent Loads</t>
    </r>
  </si>
  <si>
    <t>V1.1 Ventilation Rate in m3/hr (for Full Occupancy)</t>
  </si>
  <si>
    <t>V.1.2 Summer Bost Rate is just a test to see if cooling can be improved by ventilation increases alone, by reducing number of days active cooling is required, it should be set to 'None' as a final result, but you can increase V.1.1 if it shows benefits. Just check that V.1.1 does not adversely affect cooling at !Cooling worksheet line 48</t>
  </si>
  <si>
    <t>Calculate a Cooling Season Average Multiplier to Determine Latent Load Impact on Sensible Cooling Load</t>
  </si>
  <si>
    <t>Pa Atmospheric Pressure Adjusted for Project Elevation</t>
  </si>
  <si>
    <t>Pa Atmospheric Pressure Adjusted at Sea Level</t>
  </si>
  <si>
    <t xml:space="preserve">Watts Present Sensible VENTILATION ONLY Cooling Load Calculated </t>
  </si>
  <si>
    <t xml:space="preserve">Watts Future Sensible VENTILATION ONLY Cooling Load Calculated </t>
  </si>
  <si>
    <r>
      <t xml:space="preserve">Watts </t>
    </r>
    <r>
      <rPr>
        <b/>
        <sz val="14"/>
        <color rgb="FF000000"/>
        <rFont val="Arial"/>
        <family val="2"/>
      </rPr>
      <t>Present</t>
    </r>
    <r>
      <rPr>
        <sz val="14"/>
        <color indexed="8"/>
        <rFont val="Arial"/>
        <family val="2"/>
      </rPr>
      <t xml:space="preserve"> Latent VENTILATION ONLY Cooling Load Calculated </t>
    </r>
  </si>
  <si>
    <r>
      <t xml:space="preserve">Watts </t>
    </r>
    <r>
      <rPr>
        <b/>
        <sz val="14"/>
        <color rgb="FF000000"/>
        <rFont val="Arial"/>
        <family val="2"/>
      </rPr>
      <t>Future</t>
    </r>
    <r>
      <rPr>
        <sz val="14"/>
        <color indexed="8"/>
        <rFont val="Arial"/>
        <family val="2"/>
      </rPr>
      <t xml:space="preserve"> Latent VENTILATION ONLY Cooling Load Calculated </t>
    </r>
  </si>
  <si>
    <t>B.1.3 Indoor Design Temperature (Initial Interior and Tset Temp in ºC)</t>
  </si>
  <si>
    <r>
      <t xml:space="preserve">Pa Psat Avg: Saturation Vapour Pressure (Tetens Formula) </t>
    </r>
    <r>
      <rPr>
        <b/>
        <sz val="14"/>
        <color rgb="FF000000"/>
        <rFont val="Arial"/>
        <family val="2"/>
      </rPr>
      <t>PRESENT</t>
    </r>
  </si>
  <si>
    <t>Outdoor Seasonal Relative Humidity %</t>
  </si>
  <si>
    <t>Pa Partial Pressure of Water Vapor at Seasonal Average Conditions</t>
  </si>
  <si>
    <t>Humidity Ratio at Seasonal Average Conditions kg/kg</t>
  </si>
  <si>
    <r>
      <t xml:space="preserve">Humidity Ratio Difference ΔW=Wavg-Windoor kg/kg </t>
    </r>
    <r>
      <rPr>
        <b/>
        <sz val="14"/>
        <color rgb="FF000000"/>
        <rFont val="Arial"/>
        <family val="2"/>
      </rPr>
      <t>PRESENT</t>
    </r>
  </si>
  <si>
    <t>Pa Saturation Vapor Pressure at Indoor Conditions</t>
  </si>
  <si>
    <t>Pa Partial Pressure of Water Vapor Indoors</t>
  </si>
  <si>
    <t>Indoor Humidity Ratio kg/kg</t>
  </si>
  <si>
    <t>Latent Cooling Load Calculated</t>
  </si>
  <si>
    <t>RH</t>
  </si>
  <si>
    <t>Seasonal Average Wet °C</t>
  </si>
  <si>
    <t>Summer Average (TEUI3 ADDED COLUMN - VALUES NEEDED)</t>
  </si>
  <si>
    <t>Project Height Above Sea Level (ASL metres Calculated from Location)</t>
  </si>
  <si>
    <t>Obviously negative days of free cooling is not possible - the goal here is to get close to zero - anything less than zero is overkill ventilation-wise</t>
  </si>
  <si>
    <t>VENTILATION-ONLY DERIVED COMBINED COOLING LOAD (NET of Sensible &amp; Latent)</t>
  </si>
  <si>
    <t>Sensible &amp; Cooling Load Calculated from Ventilation Rate Only</t>
  </si>
  <si>
    <t xml:space="preserve">These cooling load and free cooling calculations are simplified models to determine a cooling loads over the entire cooling season from a very limite set of data, like CCD or Seasonal Averages and/or July 2.5% peak temperatures (Wet and Dry). 
Net free cooling is calculated as a function of the cooling season seasonal averages, and the ability for the building to exhaust the calculated daily gains in less than a 12-hour period, typically overnight. The benefit of increased ventilation is diminished by the  latency of the cooling load introduced by ventilation, or in other words Increasing ventilation rates also increases the latent load. Incoming, more humid fresh air is subject to a latent load factor calculated above, typically &gt;~140% for Southern Ontario, which imposes the additional cooling load burden. This percentage is calculated by comparing seasonal average wet and dry bulb temperatures against the interior cooling setpoint temperature and targeted relative humidity set on the FACTS worksheet. </t>
  </si>
  <si>
    <r>
      <t>Avg. Free Cooling Limit (</t>
    </r>
    <r>
      <rPr>
        <i/>
        <sz val="28"/>
        <color rgb="FF000000"/>
        <rFont val="Arial Black"/>
        <family val="2"/>
      </rPr>
      <t>experimental</t>
    </r>
    <r>
      <rPr>
        <sz val="28"/>
        <color indexed="8"/>
        <rFont val="Arial Black"/>
        <family val="2"/>
      </rPr>
      <t>)</t>
    </r>
  </si>
  <si>
    <t>Mean Twb,crit, &lt;25-31, not 35ºC: https://www.ncbi.nlm.nih.gov/pmc/articles/PMC8799385/</t>
  </si>
  <si>
    <t>for human survivability</t>
  </si>
  <si>
    <t>References</t>
  </si>
  <si>
    <t>On how to derive TwbºC from RH% and TdbºC</t>
  </si>
  <si>
    <t>% RH (don't reformat as 'percentage' in excel! From EC data Average Relative Humidity - 1500LST (%)</t>
  </si>
  <si>
    <t>ºC Tdb (ie. Use Seasonal Mean Temp, Not July Temp, etc.)</t>
  </si>
  <si>
    <t>ºC Twb avg. of both simplifications above</t>
  </si>
  <si>
    <t>ºC Cooling Season average wet-bulb temperature (Calculated)</t>
  </si>
  <si>
    <t>ºC Cooling Season average dry-bulb temperature (From A3 above)</t>
  </si>
  <si>
    <t>=</t>
  </si>
  <si>
    <r>
      <rPr>
        <b/>
        <sz val="20"/>
        <color rgb="FF000000"/>
        <rFont val="Arial"/>
        <family val="2"/>
      </rPr>
      <t>V.4.2. Latent Load Factor</t>
    </r>
    <r>
      <rPr>
        <sz val="20"/>
        <color rgb="FF000000"/>
        <rFont val="Arial"/>
        <family val="2"/>
      </rPr>
      <t xml:space="preserve">  (Calculated from This Sheet)</t>
    </r>
  </si>
  <si>
    <t xml:space="preserve">A.5 Rel. Indoor Humidity (annual avg.) </t>
  </si>
  <si>
    <t>! Important - combined w V.1.1 large effect on TEUI</t>
  </si>
  <si>
    <t>Cooling Season Mean RH in % at 15h00 LST (Jun-Sept) USER DEFINED or from Weather File</t>
  </si>
  <si>
    <t>Cooling Season Mean RH% at 15h00 LST</t>
  </si>
  <si>
    <t>To be Defined</t>
  </si>
  <si>
    <r>
      <rPr>
        <b/>
        <sz val="14"/>
        <color rgb="FF000000"/>
        <rFont val="Arial"/>
        <family val="2"/>
      </rPr>
      <t>PRESENT</t>
    </r>
    <r>
      <rPr>
        <sz val="14"/>
        <color indexed="8"/>
        <rFont val="Arial"/>
        <family val="2"/>
      </rPr>
      <t xml:space="preserve"> Latent Load as Percentage of Total Combined</t>
    </r>
  </si>
  <si>
    <t>Values above suggest latent is &gt;6x sensible load. Need to carefully review V.4.2. Latent Load Factor</t>
  </si>
  <si>
    <t xml:space="preserve">Watts Present Sensible Seasonal Average VENTILATION ONLY Cooling Load Calculated </t>
  </si>
  <si>
    <t>Total Combined PRESENT Seasonal Average Sensible &amp; Latent Cooling Load</t>
  </si>
  <si>
    <r>
      <rPr>
        <b/>
        <sz val="14"/>
        <color rgb="FF000000"/>
        <rFont val="Arial"/>
        <family val="2"/>
      </rPr>
      <t>PRESENT</t>
    </r>
    <r>
      <rPr>
        <sz val="14"/>
        <color indexed="8"/>
        <rFont val="Arial"/>
        <family val="2"/>
      </rPr>
      <t xml:space="preserve"> PEAK Latent Load as Percentage of Sensible</t>
    </r>
  </si>
  <si>
    <t>1991-2020 Climate Normals (https://climate.weather.gc.ca/climate_normals/index_e.html) Cooling Seasonal Average (June-Sept) Dry °C</t>
  </si>
  <si>
    <t>https://climate.weather.gc.ca/climate_normals/index_e.html</t>
  </si>
  <si>
    <t>ZONE</t>
  </si>
  <si>
    <t>Exposure Level (1=Shielded, 2=Normal, 3=Exposed)</t>
  </si>
  <si>
    <t>Calculated n-Factor</t>
  </si>
  <si>
    <t>Linear Regression of Table Data Above for Up to 10 Stories (THEORETICAL - not validated with empirical data)</t>
  </si>
  <si>
    <t>Beyond 9 stories n-Factor approaches 1 (max. heatloss). Suggests taller buildings need a curve to plot, also due to atmos. Press. And wind load differences</t>
  </si>
  <si>
    <t>2024.08.07</t>
  </si>
  <si>
    <t xml:space="preserve">Added NRC Unguarded Method Values to NLR50 drop-down values. Did Linear Regression on n-Factor for Air-Leakage over 6 stories (Fail!), Added Twb Calculation from Several Formula to determine calculated Latent Load Factor rather than 140% as best guess. </t>
  </si>
  <si>
    <t>litres/pp/day</t>
  </si>
  <si>
    <t>Capacitance</t>
  </si>
  <si>
    <t>2024.08.10</t>
  </si>
  <si>
    <t>3.015 RC Beta</t>
  </si>
  <si>
    <t>Added Gas as Primary Heating System Option (Gas/HP/Electric) &amp; Connected AFUE &amp; Total Emissions &amp; all TEUI target metrics</t>
  </si>
  <si>
    <t>TEUI3 Equation: Twb = Tdb - (Tdb - (Tdb - (100 - RH%) / 5)) * (0.3 + 0.7 * (RH% / 100))</t>
  </si>
  <si>
    <t>Days Active Cooling Required (Experimental)</t>
  </si>
  <si>
    <t>L.1 Province</t>
  </si>
  <si>
    <t>L.2 City</t>
  </si>
  <si>
    <t>2024.10.02</t>
  </si>
  <si>
    <t xml:space="preserve">Fix Regions to state that a subregion must be selected to prevent user from getting #VALUE errors (REGIONS do not have HDD, CDD, etc, only subregions), Allow locations by province to access the full table of municipal weather files, edit cooling tab to allow evaluation of all Canadian weather station data by ASL, Add Building Rotation and Evaluation by Solar Gain Average or Orientation Methods. Add emissions factors for all Provinces and Territories. </t>
  </si>
  <si>
    <t>Night-Time Temp Outside in ºC (≈ Summer Mean Jun-Aug) USER DEFINED or from Weather File</t>
  </si>
  <si>
    <t>Climate Normals References from: https://climate.weather.gc.ca/climate_normals/index_e.html</t>
  </si>
  <si>
    <t>3.016a</t>
  </si>
  <si>
    <t>Fixed Future Weather. Check Orientation with a test file. Add Solar Gains Summer by Orientation when unshaded. Add Hemmingford and MTL CDD values and RH% Values for Cooling</t>
  </si>
  <si>
    <t>Add CO2 to Demand-Based Ventilation, the add Occupant-Based and Volume Based Methods</t>
  </si>
  <si>
    <t>V.2.1 Heating Season Ventil. Energy</t>
  </si>
  <si>
    <t>V.2.2 Heating Season Ventil. Recovered</t>
  </si>
  <si>
    <t>V.3.1 Incoming Cooling Season Ventil. Energy</t>
  </si>
  <si>
    <t>V.3.2 Latent Load Factor (Calculated on Cooling Worksheet)</t>
  </si>
  <si>
    <t>V.3.3 Outgoing Cooling Season Ventil. Energy</t>
  </si>
  <si>
    <t>% Nat. Avg*</t>
  </si>
  <si>
    <t xml:space="preserve">* Per StatsCan, NRC
** Based on the Ontario Building Code SB10 and SB12, NBC and NECB
</t>
  </si>
  <si>
    <t>Building Information</t>
  </si>
  <si>
    <t>3.018 icons</t>
  </si>
  <si>
    <t xml:space="preserve">Addition of Icons along left margin to facilitate navigation, addition of oB logo and move OAA logo to footer with notes. BUGFIX pending: some values related to capacitance throw the 'detailed' versio of the energy balance in cooling out of whack, this will be remedied in a future release (TB penalties are being double-counted). </t>
  </si>
  <si>
    <t>Developed by OpenBuilding.ca</t>
  </si>
  <si>
    <t xml:space="preserve">The OBJECTIVE TEUI3 Framework, Calculator and Workshop Resources are generously supported by: </t>
  </si>
  <si>
    <t>ºC Twb derived from Linear equation</t>
  </si>
  <si>
    <t>ºC Twb derived from Linear Equation with Dewpoint Correction Factor (above is better)</t>
  </si>
  <si>
    <t>Linear Equation to Obtain Twb from Tdb and RH% at 15h00 LST</t>
  </si>
  <si>
    <t>Rebranded OBJECTIVE v.3.019. Fixed Ventilation mode totals (Volume, Occupant, Demand) to modify V.1.3 value to remedy cooling by total volume rather than modify V.2.1 downstream with more complex equation. Now adjusts cool+heat+free cool loads by calculated volume of vent air.</t>
  </si>
  <si>
    <t>Month</t>
  </si>
  <si>
    <t>February</t>
  </si>
  <si>
    <t xml:space="preserve">March </t>
  </si>
  <si>
    <t>April</t>
  </si>
  <si>
    <t>May</t>
  </si>
  <si>
    <t>June</t>
  </si>
  <si>
    <t>July</t>
  </si>
  <si>
    <t>August</t>
  </si>
  <si>
    <t>September</t>
  </si>
  <si>
    <t>October</t>
  </si>
  <si>
    <t>November</t>
  </si>
  <si>
    <t>December</t>
  </si>
  <si>
    <t>City</t>
  </si>
  <si>
    <t>Sum</t>
  </si>
  <si>
    <t>Checksum</t>
  </si>
  <si>
    <t>TED Energy Use kWh</t>
  </si>
  <si>
    <t>Air Leakage</t>
  </si>
  <si>
    <t>Vent Losses</t>
  </si>
  <si>
    <t>Plug Loads</t>
  </si>
  <si>
    <t>Lighting Loads</t>
  </si>
  <si>
    <t>TEU (n.incl Gains) in kWh</t>
  </si>
  <si>
    <t>Eqpt &amp; Appliance Loads</t>
  </si>
  <si>
    <t>HDD (18ºC)</t>
  </si>
  <si>
    <t>Lighting Load Distribution</t>
  </si>
  <si>
    <t>Thermal Load Distribution</t>
  </si>
  <si>
    <t>Proposed Developments</t>
  </si>
  <si>
    <t xml:space="preserve">Added N/A text when 'Targeted' method selected to avoid user confusion around 'Actual Use' KPIs in Header.  Added toggle to select DHW Calculation Method rather than by Occupancy to provide options for Care and Treatment Occupancies, including Input Guidance. This emphasizes the value of DWHR by showing a user impacts that were less apparent with a default Engineer value of 10,000litres, which did not relate to any use per occupant. </t>
  </si>
  <si>
    <t>l/s per person</t>
  </si>
  <si>
    <r>
      <rPr>
        <b/>
        <sz val="12"/>
        <color rgb="FF000000"/>
        <rFont val="Arial"/>
        <family val="2"/>
      </rPr>
      <t>Disclaimer:</t>
    </r>
    <r>
      <rPr>
        <sz val="12"/>
        <color indexed="8"/>
        <rFont val="Arial"/>
        <family val="2"/>
      </rPr>
      <t xml:space="preserve">
OpenBuilding, including its directors, advisors, and volunteers, makes no guarantees and assumes no legal responsibility for the accuracy, completeness, or usefulness of this tool. 
</t>
    </r>
    <r>
      <rPr>
        <b/>
        <sz val="12"/>
        <color rgb="FF000000"/>
        <rFont val="Arial"/>
        <family val="2"/>
      </rPr>
      <t xml:space="preserve">Use at Your Own Risk: </t>
    </r>
    <r>
      <rPr>
        <sz val="12"/>
        <color indexed="8"/>
        <rFont val="Arial"/>
        <family val="2"/>
      </rPr>
      <t xml:space="preserve">
We have made reasonable efforts to review and ensure that the information provided is factually correct, comprehensive, and up-to-date. However, this tool and any related content should not be used as a substitute for the expertise of a licensed architect or engineer. Always consult a knowledgeable professional before using this tool to inform decisions.
This tool is designed to assist with evaluating energy and carbon targets during early-stage design only, and it is not a substitute for professional engineering or architectural services. Information in this tool may change and is not intended to cover all possible building types, system designs, building codes, standards, or occupancy scenarios. The absence of warnings does not imply that this tool is accurate, compliant with standards, effective, or appropriate for every situation.
Energy simulation or performance compliance methods cannot guarantee that a finished building will meet proposed targets due to factors beyond the control of any software, including user behavior, construction methods, site conditions, and climate variability. For example, weather data alone, over a 5-year period for the same Canadian location, can affect actual TEUI by up to 40%. Tools like OBJECTIVE are not intended to predict actual performance but to help set targets over a baseline or reference case.
As stated in an Informative Note from ASHRAE Standard 90.1-2013, </t>
    </r>
    <r>
      <rPr>
        <b/>
        <i/>
        <sz val="12"/>
        <color rgb="FF000000"/>
        <rFont val="Arial"/>
        <family val="2"/>
      </rPr>
      <t>"actual experience will differ from these calculations due to variations such as occupancy, building operation and maintenance, weather, energy use not covered by this standard, changes in energy rates between design of the building and occupancy, and precision of the calculation tool."</t>
    </r>
    <r>
      <rPr>
        <sz val="12"/>
        <color indexed="8"/>
        <rFont val="Arial"/>
        <family val="2"/>
      </rPr>
      <t xml:space="preserve">
Load calculations provided by a Mechanical Consultant take precedence over those generated by this tool. Architectural energy performance outputs should serve only as a reference for mechanical loads and to support data tables from Building Codes. </t>
    </r>
    <r>
      <rPr>
        <b/>
        <i/>
        <sz val="12"/>
        <color rgb="FF000000"/>
        <rFont val="Arial"/>
        <family val="2"/>
      </rPr>
      <t xml:space="preserve">Users must verify that any data in the 'Reference Values' section of this tool conforms to the most current and relevant sections of applicable building codes. We have provided some limited sample reference values to demonstrate how this section is intended to function but it is neither an exhaustive or complete list as there are simply far too many variables to add for every type of building occupancy and type, for every province in Canada. </t>
    </r>
    <r>
      <rPr>
        <sz val="12"/>
        <color indexed="8"/>
        <rFont val="Arial"/>
        <family val="2"/>
      </rPr>
      <t xml:space="preserve">
This tool is intended for use by licensed professionals with the requisite insurance to undertake professional design activities in their respective jurisdiction in Canada. Use of this tool constitutes an acknowledgment that the user meets these qualifications and agrees to the terms of use stated here and agreed upon during download.</t>
    </r>
  </si>
  <si>
    <t>PH Method</t>
  </si>
  <si>
    <t>Major Occupancy per Building Code</t>
  </si>
  <si>
    <t>Building Type</t>
  </si>
  <si>
    <t>Tier 2 (10% better)</t>
  </si>
  <si>
    <t>Tier 3 (20% better)</t>
  </si>
  <si>
    <t>Tier 4  (40% better)</t>
  </si>
  <si>
    <t>Tier 5  (70% better)</t>
  </si>
  <si>
    <t>Data Source (see Notes)</t>
  </si>
  <si>
    <t>Bank/Financial Institution</t>
  </si>
  <si>
    <t>Courthouse</t>
  </si>
  <si>
    <t>Office - 10,000sf</t>
  </si>
  <si>
    <t>Office - 10,000 to 100,000sf</t>
  </si>
  <si>
    <t>Office - &gt;100,001sf</t>
  </si>
  <si>
    <t>Retail - Mall</t>
  </si>
  <si>
    <t>Retail - Non-Mall, Vehicle Dealerships,  Misc</t>
  </si>
  <si>
    <t>Retail Store</t>
  </si>
  <si>
    <t>Food Sales Convenience Store (w/ or w/o gas station)</t>
  </si>
  <si>
    <t>Food Sales - General</t>
  </si>
  <si>
    <t>Food Sales - Supermarket/Grocery</t>
  </si>
  <si>
    <t>Storage Refrigerated Warehouse</t>
  </si>
  <si>
    <t>Food Service - Fast Food</t>
  </si>
  <si>
    <t>Food Service - General</t>
  </si>
  <si>
    <t>Food Service Restaurant/Cafeteria</t>
  </si>
  <si>
    <t>Health Care - Clinic</t>
  </si>
  <si>
    <t>Health Care - Hospital Inpatient</t>
  </si>
  <si>
    <t>Health Care - Medical Office</t>
  </si>
  <si>
    <t>Health Care - Outpatient</t>
  </si>
  <si>
    <t>Lodging - General</t>
  </si>
  <si>
    <t>Lodging - Hotel/Motel</t>
  </si>
  <si>
    <t>Lodging - Residence Hall/Dormitory</t>
  </si>
  <si>
    <t>Public Assembly - Entertainment/Culture</t>
  </si>
  <si>
    <t>Public Assembly - General</t>
  </si>
  <si>
    <t>Public Assembly - Library</t>
  </si>
  <si>
    <t>Public Assembly - Recreation</t>
  </si>
  <si>
    <t>Public Assembly - Social/Meeting</t>
  </si>
  <si>
    <t>Public Safety - Fire/Police Station</t>
  </si>
  <si>
    <t>Public Safety - General</t>
  </si>
  <si>
    <t>Religious Worship</t>
  </si>
  <si>
    <t>Education (College/University-Campus level)</t>
  </si>
  <si>
    <t>Education - General</t>
  </si>
  <si>
    <t>Education - K-12 School</t>
  </si>
  <si>
    <t>Service (Vehicle Repair/Service, Postal Service)</t>
  </si>
  <si>
    <t>Storage - Distribution/Shipping Centre</t>
  </si>
  <si>
    <t>Storage - General</t>
  </si>
  <si>
    <t>Storage Non-Refrigerated Warehouse</t>
  </si>
  <si>
    <t>Warehouse - Self-Storage</t>
  </si>
  <si>
    <t>to be verified</t>
  </si>
  <si>
    <t>Data Center</t>
  </si>
  <si>
    <t>Laboratory</t>
  </si>
  <si>
    <t>Mixed-Use</t>
  </si>
  <si>
    <t>Residential - Mobile Homes</t>
  </si>
  <si>
    <t>Residential - Multi-Family, 2 to 4 Units</t>
  </si>
  <si>
    <t>Residential - Multi-Family, 5 or More Units</t>
  </si>
  <si>
    <t>Residential - Single-Family Attached</t>
  </si>
  <si>
    <t>Residential - Single-Family Detached</t>
  </si>
  <si>
    <t>Residential - Mid-Rise/High Rise</t>
  </si>
  <si>
    <t>1. CBECS (Commercial Building Energy Consumption Survey) Average calculated as the arithmetic mean of reported EUIs across all survey buildings of the given type, then modified for the Ontario climate.</t>
  </si>
  <si>
    <t>2. Canadian Comprehensive Energy Use Database for Ontario 2003</t>
  </si>
  <si>
    <t>3. Recommend the use of Target Finder to derive data.</t>
  </si>
  <si>
    <t>4. Recommend the use of Labs21 to derive data.</t>
  </si>
  <si>
    <t>5. Recommend the use of the Calculator tab to develop single EUI.</t>
  </si>
  <si>
    <t>This data was developed in 2014, by Bob Bach, Energy Profiles Ltd. in consultation with the Ontario Association of Architect’s (OAA) Sustainable Built Environment Committee</t>
  </si>
  <si>
    <t>Notes: </t>
  </si>
  <si>
    <r>
      <t xml:space="preserve">kW </t>
    </r>
    <r>
      <rPr>
        <b/>
        <sz val="16"/>
        <color theme="1"/>
        <rFont val="Arial"/>
        <family val="2"/>
      </rPr>
      <t>PRESENT</t>
    </r>
    <r>
      <rPr>
        <sz val="16"/>
        <color theme="1"/>
        <rFont val="Arial"/>
        <family val="2"/>
      </rPr>
      <t xml:space="preserve"> Net Ventilation Peak Cooling Load (Compare with T.4.4 on FACTS)</t>
    </r>
  </si>
  <si>
    <r>
      <rPr>
        <b/>
        <sz val="16"/>
        <color rgb="FF000000"/>
        <rFont val="Arial"/>
        <family val="2"/>
      </rPr>
      <t>Tons</t>
    </r>
    <r>
      <rPr>
        <sz val="16"/>
        <color indexed="8"/>
        <rFont val="Arial"/>
        <family val="2"/>
      </rPr>
      <t xml:space="preserve"> PRESENT Net Ventilation Peak Cooling Calculated</t>
    </r>
  </si>
  <si>
    <r>
      <t xml:space="preserve">kW </t>
    </r>
    <r>
      <rPr>
        <b/>
        <sz val="16"/>
        <color theme="1"/>
        <rFont val="Arial"/>
        <family val="2"/>
      </rPr>
      <t>FUTURE</t>
    </r>
    <r>
      <rPr>
        <sz val="16"/>
        <color theme="1"/>
        <rFont val="Arial"/>
        <family val="2"/>
      </rPr>
      <t xml:space="preserve"> Net Ventilation Peak Cooling Load (Compare with T.4.4 on FACTS)</t>
    </r>
  </si>
  <si>
    <r>
      <rPr>
        <b/>
        <sz val="16"/>
        <color rgb="FF000000"/>
        <rFont val="Arial"/>
        <family val="2"/>
      </rPr>
      <t>Tons</t>
    </r>
    <r>
      <rPr>
        <sz val="16"/>
        <color indexed="8"/>
        <rFont val="Arial"/>
        <family val="2"/>
      </rPr>
      <t xml:space="preserve"> FUTURE Net Ventilation Peak Cooling Calculated</t>
    </r>
  </si>
  <si>
    <t>6. https://portfoliomanager.energystar.gov/pdf/reference/Canadian%20National%20Median%20Table.pdf</t>
  </si>
  <si>
    <t>CANADA Portfolio Manager GJ/m2</t>
  </si>
  <si>
    <t>CANADA Portfolio Manager kWh/m2</t>
  </si>
  <si>
    <t>ONTARIO Revised EUI (ekWh/m²·yr)</t>
  </si>
  <si>
    <t>Health Care - Nursing/Assisted Living/Longterm Care</t>
  </si>
  <si>
    <t>ONTARIO Averaged TEUI per Occupancy</t>
  </si>
  <si>
    <t>Public Assembly - Pool</t>
  </si>
  <si>
    <t>Averaged Ontario TEUI per Major Occupancy</t>
  </si>
  <si>
    <t>RESERVED</t>
  </si>
  <si>
    <t>For 1991-2020 Canadian Climate Normals Visit: https://climate.weather.gc.ca/climate_normals/index_e.html</t>
  </si>
  <si>
    <t>Licence No:</t>
  </si>
  <si>
    <t>2024.11.06</t>
  </si>
  <si>
    <t>2024.11.04</t>
  </si>
  <si>
    <t>2024.11.19</t>
  </si>
  <si>
    <t>Added regression Test Tab, Pending Binned and/or Hourly Data Feeds. Fixed TEDI Bug (misplaced formula/cell reference)</t>
  </si>
  <si>
    <t>Reworked disclaimer and EULA</t>
  </si>
  <si>
    <r>
      <t xml:space="preserve">Window U-Value
</t>
    </r>
    <r>
      <rPr>
        <sz val="14"/>
        <color rgb="FF000000"/>
        <rFont val="Arial"/>
        <family val="2"/>
      </rPr>
      <t>W/m2•K</t>
    </r>
  </si>
  <si>
    <r>
      <t xml:space="preserve">ROI 
</t>
    </r>
    <r>
      <rPr>
        <sz val="14"/>
        <color rgb="FF000000"/>
        <rFont val="Arial"/>
        <family val="2"/>
      </rPr>
      <t>Yrs</t>
    </r>
  </si>
  <si>
    <t>CapEx</t>
  </si>
  <si>
    <t>OpEx</t>
  </si>
  <si>
    <t>OpEx Improvement</t>
  </si>
  <si>
    <t>Window Cost/m2</t>
  </si>
  <si>
    <t>baseline values above</t>
  </si>
  <si>
    <t>improvement values below</t>
  </si>
  <si>
    <t>Premium</t>
  </si>
  <si>
    <r>
      <t>Gas/m</t>
    </r>
    <r>
      <rPr>
        <vertAlign val="superscript"/>
        <sz val="16"/>
        <color rgb="FF000000"/>
        <rFont val="Arial"/>
        <family val="2"/>
      </rPr>
      <t>3</t>
    </r>
  </si>
  <si>
    <t>Propane/kg</t>
  </si>
  <si>
    <r>
      <t>Wood/m</t>
    </r>
    <r>
      <rPr>
        <vertAlign val="superscript"/>
        <sz val="16"/>
        <color rgb="FF000000"/>
        <rFont val="Arial"/>
        <family val="2"/>
      </rPr>
      <t>3</t>
    </r>
  </si>
  <si>
    <t>Sum of Other Energy Costs</t>
  </si>
  <si>
    <t>propane</t>
  </si>
  <si>
    <t>oil</t>
  </si>
  <si>
    <t>wood</t>
  </si>
  <si>
    <t>Oil/litre</t>
  </si>
  <si>
    <t xml:space="preserve">Added Window Premium and ROI tool, Added all energy costs by type and Summary at header. </t>
  </si>
  <si>
    <t>Heatpump Savings</t>
  </si>
  <si>
    <r>
      <rPr>
        <b/>
        <sz val="12"/>
        <color indexed="10"/>
        <rFont val="Helvetica Neue"/>
        <family val="2"/>
      </rPr>
      <t>User Defined Field:</t>
    </r>
    <r>
      <rPr>
        <sz val="12"/>
        <color indexed="8"/>
        <rFont val="Helvetica Neue"/>
        <family val="2"/>
      </rPr>
      <t xml:space="preserve"> Taken from water utility meter bills. Canadian average per person is 146,000 litres per year, or 251l/pp/day per 2011 ECCC. OBC Defined usage data is found under the Design Temps and Schedules Tab, but is 97l/pp/day SHW</t>
    </r>
  </si>
  <si>
    <t>Target (Design)</t>
  </si>
  <si>
    <t>Reference (Baseline)</t>
  </si>
  <si>
    <t>2024.11.20</t>
  </si>
  <si>
    <t xml:space="preserve">Add REFERENCE Methodology, change FACTS sheet to 'REPORT' and 'REFERENCE' tab. Add ECONOMICS tab for worksheeting. </t>
  </si>
  <si>
    <t>U-Value Reduction Factor from 5-50% with 5% for PH, 50% for Conventional Design. NOTE: NECB/NBC/OBC do NOT account for TB reductions, so 50% should be assumed for reference models</t>
  </si>
  <si>
    <t>NBC T2</t>
  </si>
  <si>
    <t>NBC T3</t>
  </si>
  <si>
    <t>NBC T4</t>
  </si>
  <si>
    <t>NBC T5</t>
  </si>
  <si>
    <t>NBC 9.36 Prescriptive Path</t>
  </si>
  <si>
    <t>NBC T1</t>
  </si>
  <si>
    <t>NECB T1 (Z6)</t>
  </si>
  <si>
    <t>ADD YOUR OWN HERE</t>
  </si>
  <si>
    <t>User Defined</t>
  </si>
  <si>
    <t>Total</t>
  </si>
  <si>
    <t>Guidance Limits</t>
  </si>
  <si>
    <r>
      <rPr>
        <b/>
        <sz val="12"/>
        <color indexed="10"/>
        <rFont val="Helvetica Neue"/>
        <family val="2"/>
      </rPr>
      <t>PER:</t>
    </r>
    <r>
      <rPr>
        <b/>
        <sz val="12"/>
        <color indexed="8"/>
        <rFont val="Helvetica Neue"/>
        <family val="2"/>
      </rPr>
      <t xml:space="preserve"> </t>
    </r>
    <r>
      <rPr>
        <sz val="12"/>
        <color rgb="FF000000"/>
        <rFont val="Helvetica Neue"/>
        <family val="2"/>
      </rPr>
      <t xml:space="preserve">PHI has a unique, and very German way of calculating PER and emissions intensity that is often not reflective of Ontario or Canadian actual values. For this reason it makes more sense to consider SITE EUI only which has a PER of 1.0. OBJECTIVE calculates emission intensity and GHGI in its own line items, so using PER to drive emissions is not necessary or advised.  </t>
    </r>
  </si>
  <si>
    <t>W.2.D.N SHW Net Demand</t>
  </si>
  <si>
    <t>TEUI3 Sum of Surface HEDI Ae + HEDI Ag Losses (Checksum)</t>
  </si>
  <si>
    <r>
      <t>Lifetime Emissions Intensity kgCO2e/m</t>
    </r>
    <r>
      <rPr>
        <vertAlign val="superscript"/>
        <sz val="12"/>
        <color rgb="FF000000"/>
        <rFont val="Arial Black"/>
        <family val="2"/>
      </rPr>
      <t>2</t>
    </r>
    <r>
      <rPr>
        <sz val="12"/>
        <color indexed="8"/>
        <rFont val="Arial Black"/>
        <family val="2"/>
      </rPr>
      <t>/Service Life (Yrs)</t>
    </r>
  </si>
  <si>
    <t>E.3.1 Embedded Carbon Intensity (A1-3)</t>
  </si>
  <si>
    <t>B.7.0 Doors</t>
  </si>
  <si>
    <t>TEDI (typical defintion)</t>
  </si>
  <si>
    <t>TEL (excl. ventilation)</t>
  </si>
  <si>
    <t>TELI (excl. ventilation)</t>
  </si>
  <si>
    <t>Total Gains</t>
  </si>
  <si>
    <r>
      <t xml:space="preserve">Heatgain
</t>
    </r>
    <r>
      <rPr>
        <sz val="14"/>
        <color rgb="FF000000"/>
        <rFont val="Arial"/>
        <family val="2"/>
      </rPr>
      <t>kWh/Cool Season</t>
    </r>
  </si>
  <si>
    <t>Reference Model Lookup:</t>
  </si>
  <si>
    <r>
      <t xml:space="preserve">    TED PHPP (Q</t>
    </r>
    <r>
      <rPr>
        <b/>
        <vertAlign val="subscript"/>
        <sz val="16"/>
        <color rgb="FFC00000"/>
        <rFont val="Arial"/>
        <family val="2"/>
      </rPr>
      <t>L</t>
    </r>
    <r>
      <rPr>
        <b/>
        <sz val="16"/>
        <color rgb="FFC00000"/>
        <rFont val="Arial"/>
        <family val="2"/>
      </rPr>
      <t>-Q</t>
    </r>
    <r>
      <rPr>
        <b/>
        <vertAlign val="subscript"/>
        <sz val="16"/>
        <color rgb="FFC00000"/>
        <rFont val="Arial"/>
        <family val="2"/>
      </rPr>
      <t>G-net</t>
    </r>
    <r>
      <rPr>
        <b/>
        <sz val="16"/>
        <color rgb="FFC00000"/>
        <rFont val="Arial"/>
        <family val="2"/>
      </rPr>
      <t>)/TFA</t>
    </r>
  </si>
  <si>
    <t>T.6.3 TEL + V.2.4 →</t>
  </si>
  <si>
    <t>Total (n.incl W.2.D.N)</t>
  </si>
  <si>
    <t xml:space="preserve"> W.2.W SHW Wasted</t>
  </si>
  <si>
    <r>
      <t xml:space="preserve">ACTUAL ENERGY
</t>
    </r>
    <r>
      <rPr>
        <sz val="14"/>
        <color theme="1"/>
        <rFont val="Arial"/>
        <family val="2"/>
      </rPr>
      <t>(Utility Bills)</t>
    </r>
  </si>
  <si>
    <r>
      <t xml:space="preserve">ACTUAL NET
</t>
    </r>
    <r>
      <rPr>
        <sz val="14"/>
        <color theme="1"/>
        <rFont val="Arial"/>
        <family val="2"/>
      </rPr>
      <t>ekWh</t>
    </r>
  </si>
  <si>
    <r>
      <t xml:space="preserve">E.1 EMISSIONS
</t>
    </r>
    <r>
      <rPr>
        <sz val="14"/>
        <color theme="1"/>
        <rFont val="Arial"/>
        <family val="2"/>
      </rPr>
      <t>kgCO2/yr</t>
    </r>
  </si>
  <si>
    <r>
      <t xml:space="preserve">TARGET ENERGY 
</t>
    </r>
    <r>
      <rPr>
        <sz val="14"/>
        <color theme="1"/>
        <rFont val="Arial"/>
        <family val="2"/>
      </rPr>
      <t>(Design)</t>
    </r>
  </si>
  <si>
    <r>
      <t xml:space="preserve">TARGET NET
</t>
    </r>
    <r>
      <rPr>
        <sz val="14"/>
        <color theme="1"/>
        <rFont val="Arial"/>
        <family val="2"/>
      </rPr>
      <t>ekWh</t>
    </r>
  </si>
  <si>
    <r>
      <t xml:space="preserve">E.1 EMISSIONS 
</t>
    </r>
    <r>
      <rPr>
        <sz val="14"/>
        <color theme="1"/>
        <rFont val="Arial"/>
        <family val="2"/>
      </rPr>
      <t>kgCO2/yr</t>
    </r>
  </si>
  <si>
    <r>
      <t xml:space="preserve">EMISSION FACTORS
</t>
    </r>
    <r>
      <rPr>
        <sz val="14"/>
        <color theme="1"/>
        <rFont val="Arial"/>
        <family val="2"/>
      </rPr>
      <t xml:space="preserve">per Reporting Period/TAF </t>
    </r>
  </si>
  <si>
    <t>Unit Qty</t>
  </si>
  <si>
    <r>
      <t xml:space="preserve">Htg Gain
</t>
    </r>
    <r>
      <rPr>
        <sz val="14"/>
        <color rgb="FF000000"/>
        <rFont val="Arial"/>
        <family val="2"/>
      </rPr>
      <t>kWh/yr</t>
    </r>
  </si>
  <si>
    <r>
      <t xml:space="preserve">Htg Gain
</t>
    </r>
    <r>
      <rPr>
        <sz val="14"/>
        <color rgb="FF000000"/>
        <rFont val="Arial"/>
        <family val="2"/>
      </rPr>
      <t>%</t>
    </r>
  </si>
  <si>
    <r>
      <t xml:space="preserve">Cooling Gain
</t>
    </r>
    <r>
      <rPr>
        <sz val="14"/>
        <color rgb="FF000000"/>
        <rFont val="Arial"/>
        <family val="2"/>
      </rPr>
      <t>kWh/yr</t>
    </r>
  </si>
  <si>
    <t>G.7 Doors</t>
  </si>
  <si>
    <t>G.8.1 Window Area North</t>
  </si>
  <si>
    <t>G.8.2 Window Area East</t>
  </si>
  <si>
    <t>G.8.3 Window Area South</t>
  </si>
  <si>
    <t>G.8.4 Window Area West</t>
  </si>
  <si>
    <r>
      <rPr>
        <b/>
        <sz val="14"/>
        <color rgb="FF000000"/>
        <rFont val="Arial Black"/>
        <family val="2"/>
      </rPr>
      <t>SHGC</t>
    </r>
    <r>
      <rPr>
        <sz val="14"/>
        <color indexed="8"/>
        <rFont val="Arial"/>
        <family val="2"/>
      </rPr>
      <t xml:space="preserve">
</t>
    </r>
    <r>
      <rPr>
        <sz val="14"/>
        <color rgb="FF000000"/>
        <rFont val="Arial"/>
        <family val="2"/>
      </rPr>
      <t>0.5 is Default</t>
    </r>
  </si>
  <si>
    <t>Winter Shading %</t>
  </si>
  <si>
    <t>Summer Shading %</t>
  </si>
  <si>
    <r>
      <t xml:space="preserve">Annual
</t>
    </r>
    <r>
      <rPr>
        <sz val="14"/>
        <color rgb="FF000000"/>
        <rFont val="Arial"/>
        <family val="2"/>
      </rPr>
      <t>kWh/yr</t>
    </r>
  </si>
  <si>
    <t>North</t>
  </si>
  <si>
    <t>East</t>
  </si>
  <si>
    <t>South</t>
  </si>
  <si>
    <t>West</t>
  </si>
  <si>
    <r>
      <t xml:space="preserve">Gain Factor
</t>
    </r>
    <r>
      <rPr>
        <sz val="14"/>
        <color rgb="FF000000"/>
        <rFont val="Arial"/>
        <family val="2"/>
      </rPr>
      <t>kWh/m2/yr</t>
    </r>
  </si>
  <si>
    <r>
      <rPr>
        <b/>
        <sz val="14"/>
        <color rgb="FF000000"/>
        <rFont val="Arial Black"/>
        <family val="2"/>
      </rPr>
      <t>Orientation</t>
    </r>
    <r>
      <rPr>
        <sz val="14"/>
        <color indexed="8"/>
        <rFont val="Arial"/>
        <family val="2"/>
      </rPr>
      <t xml:space="preserve">
</t>
    </r>
    <r>
      <rPr>
        <sz val="14"/>
        <color rgb="FF000000"/>
        <rFont val="Arial"/>
        <family val="2"/>
      </rPr>
      <t>Alter if Skewed</t>
    </r>
  </si>
  <si>
    <r>
      <t xml:space="preserve">Solar Gain
</t>
    </r>
    <r>
      <rPr>
        <sz val="14"/>
        <color rgb="FF000000"/>
        <rFont val="Arial"/>
        <family val="2"/>
      </rPr>
      <t>Heating kWh/yr</t>
    </r>
  </si>
  <si>
    <r>
      <t xml:space="preserve">Solar Gain
</t>
    </r>
    <r>
      <rPr>
        <sz val="14"/>
        <color rgb="FF000000"/>
        <rFont val="Arial"/>
        <family val="2"/>
      </rPr>
      <t>Heating %</t>
    </r>
  </si>
  <si>
    <r>
      <t xml:space="preserve">Solar Gain
</t>
    </r>
    <r>
      <rPr>
        <sz val="14"/>
        <color rgb="FF000000"/>
        <rFont val="Arial"/>
        <family val="2"/>
      </rPr>
      <t>Cool Load kWh/yr</t>
    </r>
  </si>
  <si>
    <r>
      <t xml:space="preserve">Solar Gain
</t>
    </r>
    <r>
      <rPr>
        <sz val="14"/>
        <color rgb="FF000000"/>
        <rFont val="Arial"/>
        <family val="2"/>
      </rPr>
      <t>Cool Load %</t>
    </r>
  </si>
  <si>
    <r>
      <t xml:space="preserve">U-Val. for </t>
    </r>
    <r>
      <rPr>
        <b/>
        <i/>
        <sz val="16"/>
        <color rgb="FF000000"/>
        <rFont val="Arial"/>
        <family val="2"/>
      </rPr>
      <t>Ae</t>
    </r>
  </si>
  <si>
    <r>
      <t xml:space="preserve">U-Val. for </t>
    </r>
    <r>
      <rPr>
        <b/>
        <i/>
        <sz val="16"/>
        <color rgb="FF000000"/>
        <rFont val="Arial"/>
        <family val="2"/>
      </rPr>
      <t>Ag</t>
    </r>
  </si>
  <si>
    <t>Net Usable Gains by PHPP Method (Reference)</t>
  </si>
  <si>
    <r>
      <t xml:space="preserve">Gain Rate
</t>
    </r>
    <r>
      <rPr>
        <sz val="14"/>
        <color rgb="FF000000"/>
        <rFont val="Arial"/>
        <family val="2"/>
      </rPr>
      <t>kWh/m</t>
    </r>
    <r>
      <rPr>
        <vertAlign val="superscript"/>
        <sz val="14"/>
        <color rgb="FF000000"/>
        <rFont val="Arial"/>
        <family val="2"/>
      </rPr>
      <t>2</t>
    </r>
  </si>
  <si>
    <r>
      <t xml:space="preserve">Loss Rate
</t>
    </r>
    <r>
      <rPr>
        <sz val="14"/>
        <color rgb="FF000000"/>
        <rFont val="Arial"/>
        <family val="2"/>
      </rPr>
      <t>kWh/m</t>
    </r>
    <r>
      <rPr>
        <vertAlign val="superscript"/>
        <sz val="14"/>
        <color rgb="FF000000"/>
        <rFont val="Arial"/>
        <family val="2"/>
      </rPr>
      <t>2</t>
    </r>
  </si>
  <si>
    <t>Internal Gains Total</t>
  </si>
  <si>
    <t>Work this out for a typical day of gains (from REPORT tab)</t>
  </si>
  <si>
    <t>Certifier:</t>
  </si>
  <si>
    <t xml:space="preserve">User is Responsible to always check apply RELEVANT reference values to their project. We have only provided placeholder values for you to test functionality. </t>
  </si>
  <si>
    <t>REFERENCE VALUES</t>
  </si>
  <si>
    <r>
      <t xml:space="preserve">Energy Savings
</t>
    </r>
    <r>
      <rPr>
        <sz val="14"/>
        <color rgb="FF000000"/>
        <rFont val="Arial"/>
        <family val="2"/>
      </rPr>
      <t>Net $/yr</t>
    </r>
  </si>
  <si>
    <r>
      <t xml:space="preserve">E.1 EMISSIONS
</t>
    </r>
    <r>
      <rPr>
        <sz val="14"/>
        <color theme="0"/>
        <rFont val="Arial"/>
        <family val="2"/>
      </rPr>
      <t>kgCO2/yr</t>
    </r>
  </si>
  <si>
    <r>
      <t xml:space="preserve">E.1 EMISSIONS 
</t>
    </r>
    <r>
      <rPr>
        <sz val="14"/>
        <color theme="0"/>
        <rFont val="Arial"/>
        <family val="2"/>
      </rPr>
      <t>kgCO2/yr</t>
    </r>
  </si>
  <si>
    <r>
      <t xml:space="preserve">Annual
</t>
    </r>
    <r>
      <rPr>
        <sz val="14"/>
        <color theme="0"/>
        <rFont val="Arial"/>
        <family val="2"/>
      </rPr>
      <t>kWh/yr</t>
    </r>
  </si>
  <si>
    <r>
      <t xml:space="preserve">Htg Gain
</t>
    </r>
    <r>
      <rPr>
        <sz val="14"/>
        <color theme="0"/>
        <rFont val="Arial"/>
        <family val="2"/>
      </rPr>
      <t>kWh/yr</t>
    </r>
  </si>
  <si>
    <r>
      <t xml:space="preserve">Htg Gain
</t>
    </r>
    <r>
      <rPr>
        <sz val="14"/>
        <color theme="0"/>
        <rFont val="Arial"/>
        <family val="2"/>
      </rPr>
      <t>%</t>
    </r>
  </si>
  <si>
    <r>
      <t xml:space="preserve">Cooling Gain
</t>
    </r>
    <r>
      <rPr>
        <sz val="14"/>
        <color theme="0"/>
        <rFont val="Arial"/>
        <family val="2"/>
      </rPr>
      <t>kWh/yr</t>
    </r>
  </si>
  <si>
    <r>
      <rPr>
        <b/>
        <sz val="14"/>
        <color theme="0"/>
        <rFont val="Arial Black"/>
        <family val="2"/>
      </rPr>
      <t>Orientation</t>
    </r>
    <r>
      <rPr>
        <sz val="14"/>
        <color theme="0"/>
        <rFont val="Arial"/>
        <family val="2"/>
      </rPr>
      <t xml:space="preserve">
Alter if Skewed</t>
    </r>
  </si>
  <si>
    <r>
      <rPr>
        <b/>
        <sz val="14"/>
        <color theme="0"/>
        <rFont val="Arial Black"/>
        <family val="2"/>
      </rPr>
      <t>SHGC</t>
    </r>
    <r>
      <rPr>
        <sz val="14"/>
        <color theme="0"/>
        <rFont val="Arial"/>
        <family val="2"/>
      </rPr>
      <t xml:space="preserve">
0.5 is Default</t>
    </r>
  </si>
  <si>
    <r>
      <t xml:space="preserve">Solar Gain
</t>
    </r>
    <r>
      <rPr>
        <sz val="14"/>
        <color theme="0"/>
        <rFont val="Arial"/>
        <family val="2"/>
      </rPr>
      <t>Heating kWh/yr</t>
    </r>
  </si>
  <si>
    <r>
      <t xml:space="preserve">Solar Gain
</t>
    </r>
    <r>
      <rPr>
        <sz val="14"/>
        <color theme="0"/>
        <rFont val="Arial"/>
        <family val="2"/>
      </rPr>
      <t>Heating %</t>
    </r>
  </si>
  <si>
    <r>
      <t xml:space="preserve">Solar Gain
</t>
    </r>
    <r>
      <rPr>
        <sz val="14"/>
        <color theme="0"/>
        <rFont val="Arial"/>
        <family val="2"/>
      </rPr>
      <t>Cool Load kWh/yr</t>
    </r>
  </si>
  <si>
    <r>
      <t xml:space="preserve">Solar Gain
</t>
    </r>
    <r>
      <rPr>
        <sz val="14"/>
        <color theme="0"/>
        <rFont val="Arial"/>
        <family val="2"/>
      </rPr>
      <t>Cool Load %</t>
    </r>
  </si>
  <si>
    <r>
      <t xml:space="preserve">Gain Factor
</t>
    </r>
    <r>
      <rPr>
        <sz val="14"/>
        <color theme="0"/>
        <rFont val="Arial"/>
        <family val="2"/>
      </rPr>
      <t>kWh/m2/yr</t>
    </r>
  </si>
  <si>
    <r>
      <t xml:space="preserve">Rimp </t>
    </r>
    <r>
      <rPr>
        <sz val="14"/>
        <color theme="0"/>
        <rFont val="Arial"/>
        <family val="2"/>
      </rPr>
      <t>ft²F•hr/Btu</t>
    </r>
  </si>
  <si>
    <r>
      <t xml:space="preserve">RSI 
</t>
    </r>
    <r>
      <rPr>
        <sz val="14"/>
        <color theme="0"/>
        <rFont val="Arial"/>
        <family val="2"/>
      </rPr>
      <t>K•m</t>
    </r>
    <r>
      <rPr>
        <vertAlign val="superscript"/>
        <sz val="14"/>
        <color theme="0"/>
        <rFont val="Arial"/>
        <family val="2"/>
      </rPr>
      <t>2</t>
    </r>
    <r>
      <rPr>
        <sz val="14"/>
        <color theme="0"/>
        <rFont val="Arial"/>
        <family val="2"/>
      </rPr>
      <t>/W</t>
    </r>
  </si>
  <si>
    <r>
      <t xml:space="preserve">U-Value
</t>
    </r>
    <r>
      <rPr>
        <sz val="14"/>
        <color theme="0"/>
        <rFont val="Arial"/>
        <family val="2"/>
      </rPr>
      <t>W/m2•K</t>
    </r>
  </si>
  <si>
    <t>% of Ae &amp; Ag</t>
  </si>
  <si>
    <r>
      <t xml:space="preserve">Heatloss
</t>
    </r>
    <r>
      <rPr>
        <sz val="14"/>
        <color theme="0"/>
        <rFont val="Arial"/>
        <family val="2"/>
      </rPr>
      <t>kWh/yr</t>
    </r>
  </si>
  <si>
    <r>
      <t xml:space="preserve">Heatgain
</t>
    </r>
    <r>
      <rPr>
        <sz val="14"/>
        <color theme="0"/>
        <rFont val="Arial"/>
        <family val="2"/>
      </rPr>
      <t>kWh/Cool Season</t>
    </r>
  </si>
  <si>
    <r>
      <t xml:space="preserve">Loss Rate
</t>
    </r>
    <r>
      <rPr>
        <sz val="14"/>
        <color theme="0"/>
        <rFont val="Arial"/>
        <family val="2"/>
      </rPr>
      <t>kWh/m</t>
    </r>
    <r>
      <rPr>
        <vertAlign val="superscript"/>
        <sz val="14"/>
        <color theme="0"/>
        <rFont val="Arial"/>
        <family val="2"/>
      </rPr>
      <t>2</t>
    </r>
  </si>
  <si>
    <r>
      <t xml:space="preserve">Gain Rate
</t>
    </r>
    <r>
      <rPr>
        <sz val="14"/>
        <color theme="0"/>
        <rFont val="Arial"/>
        <family val="2"/>
      </rPr>
      <t>kWh/m</t>
    </r>
    <r>
      <rPr>
        <vertAlign val="superscript"/>
        <sz val="14"/>
        <color theme="0"/>
        <rFont val="Arial"/>
        <family val="2"/>
      </rPr>
      <t>2</t>
    </r>
  </si>
  <si>
    <t>146000 kWh/yr/housegold. OBC States 97//pp/day DHW Use</t>
  </si>
  <si>
    <t>(Assume Code Minimum Construction at 50%)</t>
  </si>
  <si>
    <t>NRC 50%</t>
  </si>
  <si>
    <t>(Assume 40-50% for Code Minimum Methods)</t>
  </si>
  <si>
    <r>
      <t>W/m</t>
    </r>
    <r>
      <rPr>
        <vertAlign val="superscript"/>
        <sz val="16"/>
        <color rgb="FF000000"/>
        <rFont val="Arial"/>
        <family val="2"/>
      </rPr>
      <t>2</t>
    </r>
  </si>
  <si>
    <t>#</t>
  </si>
  <si>
    <t>Watts L&amp;S</t>
  </si>
  <si>
    <t>KWh/yr</t>
  </si>
  <si>
    <t xml:space="preserve">kW </t>
  </si>
  <si>
    <t>$</t>
  </si>
  <si>
    <t xml:space="preserve">* Per StatsCan, NRC
** Based on the Ontario Building Code SB10 and SB12, NBC and NECB DRAFTS for 2025
</t>
  </si>
  <si>
    <t>2025.01.18</t>
  </si>
  <si>
    <t xml:space="preserve">Major Update. Separated Gains and Losses per Modules. Reduced decimal expansion in formulae to limit parsefloat errors to prepare for hourly modelling. Paired with Sankey Javascript (new mapping required to updated format). Reduced lines of input by over 60, more compact UI, cleaned up and renumbered entry cells. </t>
  </si>
  <si>
    <t>Test per ASHRAE 140 2023 update to standard (Hourly analyis is a prerequisite)</t>
  </si>
  <si>
    <r>
      <t xml:space="preserve">Creative Commons License for Use: </t>
    </r>
    <r>
      <rPr>
        <b/>
        <sz val="12"/>
        <color rgb="FF000000"/>
        <rFont val="Arial"/>
        <family val="2"/>
      </rPr>
      <t>CC-BY-NC-ND 2024</t>
    </r>
    <r>
      <rPr>
        <sz val="12"/>
        <color indexed="8"/>
        <rFont val="Arial"/>
        <family val="2"/>
      </rPr>
      <t xml:space="preserve"> </t>
    </r>
    <r>
      <rPr>
        <i/>
        <sz val="12"/>
        <color rgb="FF000000"/>
        <rFont val="Arial"/>
        <family val="2"/>
      </rPr>
      <t>per: https://wiki.creativecommons.org/images/6/6d/6licenses-flat.pdf</t>
    </r>
    <r>
      <rPr>
        <sz val="12"/>
        <color indexed="8"/>
        <rFont val="Arial"/>
        <family val="2"/>
      </rPr>
      <t xml:space="preserve">
</t>
    </r>
    <r>
      <rPr>
        <sz val="12"/>
        <color rgb="FF000000"/>
        <rFont val="Arial"/>
        <family val="2"/>
      </rPr>
      <t xml:space="preserve">by Andy Thomson, OAA with mentorship by volunteer advisors including Dr.Ted Kesik, P.Eng and the guidance and peer review of Evelyne Bouchard, OAQ, CPHD. 
Many thanks to INVISIJ Architects, Tandem Architecture, Pamela DeMelo, P.Eng., Stephen Pope, OAA, FRAIC and many others for peer review and ideas.
</t>
    </r>
  </si>
  <si>
    <t>Energy Sources</t>
  </si>
  <si>
    <t>My Name</t>
  </si>
  <si>
    <t>My Architecture or Engineering License</t>
  </si>
  <si>
    <t>Energy Supplied or Subtracted?</t>
  </si>
  <si>
    <t>Water and/or Hot Water Use and Equipment</t>
  </si>
  <si>
    <t>of Utility Bill Data</t>
  </si>
  <si>
    <t>Targeted Use</t>
  </si>
  <si>
    <t>Average</t>
  </si>
  <si>
    <t>T.3.5 Total Wood Use</t>
  </si>
  <si>
    <t>T.3.6 Total Net Energy</t>
  </si>
  <si>
    <t>T.3.7 Annual Percapita Energy</t>
  </si>
  <si>
    <t>R.3 Wind</t>
  </si>
  <si>
    <t>R.2 Photovoltaics</t>
  </si>
  <si>
    <t>R.4 Remove EV Charging from TEUI</t>
  </si>
  <si>
    <t>R.6 WWS Electricity</t>
  </si>
  <si>
    <t>R.7 Green Natural Gas</t>
  </si>
  <si>
    <t>R.8 Reserved (other removals)</t>
  </si>
  <si>
    <t xml:space="preserve">W.3.1 DHW or SHW Energy Source </t>
  </si>
  <si>
    <t>W.5.1 Drain Water Heat Recovery Efficiency</t>
  </si>
  <si>
    <t>W.5.3 kWh/yr W.2.W SHW Wasted</t>
  </si>
  <si>
    <r>
      <t xml:space="preserve">L.2.4 Ground Facing </t>
    </r>
    <r>
      <rPr>
        <b/>
        <sz val="16"/>
        <color rgb="FF000000"/>
        <rFont val="Arial"/>
        <family val="2"/>
      </rPr>
      <t>GF</t>
    </r>
    <r>
      <rPr>
        <sz val="16"/>
        <color indexed="8"/>
        <rFont val="Arial"/>
        <family val="2"/>
      </rPr>
      <t xml:space="preserve"> </t>
    </r>
    <r>
      <rPr>
        <sz val="16"/>
        <color rgb="FF000000"/>
        <rFont val="Arial"/>
        <family val="2"/>
      </rPr>
      <t>HDD</t>
    </r>
  </si>
  <si>
    <r>
      <t xml:space="preserve">L.2.5 </t>
    </r>
    <r>
      <rPr>
        <b/>
        <sz val="16"/>
        <color rgb="FF000000"/>
        <rFont val="Arial"/>
        <family val="2"/>
      </rPr>
      <t>GF</t>
    </r>
    <r>
      <rPr>
        <sz val="16"/>
        <color rgb="FF000000"/>
        <rFont val="Arial"/>
        <family val="2"/>
      </rPr>
      <t xml:space="preserve"> CDD</t>
    </r>
  </si>
  <si>
    <t>L.3.1 Coldest Days (Location Specific)</t>
  </si>
  <si>
    <t>L.3.2  Hottest Days (Location Specific)</t>
  </si>
  <si>
    <t>Watts/pp (Sensible + Latent)</t>
  </si>
  <si>
    <t>P.1 Plug Loads</t>
  </si>
  <si>
    <t>P.2 Lighting Loads</t>
  </si>
  <si>
    <t>P.3.1 Equipment Loads</t>
  </si>
  <si>
    <t xml:space="preserve">   P.3.3 Eqpt. Energy Spec</t>
  </si>
  <si>
    <t>G.1 Subtotal Solar Gains</t>
  </si>
  <si>
    <t>G.2 Gains Utilization Factor (n-Factor)</t>
  </si>
  <si>
    <t>G.3 Net Usable Gains by Method Selected</t>
  </si>
  <si>
    <t>G.4 Net Usable Heating Season Gains</t>
  </si>
  <si>
    <r>
      <t xml:space="preserve">G.5 Net </t>
    </r>
    <r>
      <rPr>
        <b/>
        <sz val="16"/>
        <color theme="1"/>
        <rFont val="Arial"/>
        <family val="2"/>
      </rPr>
      <t>UN-usable</t>
    </r>
    <r>
      <rPr>
        <sz val="16"/>
        <color theme="1"/>
        <rFont val="Arial"/>
        <family val="2"/>
      </rPr>
      <t xml:space="preserve"> Htg. Gains</t>
    </r>
  </si>
  <si>
    <t>G.3 Net Usable Gains by PHPP Method (Reference)</t>
  </si>
  <si>
    <t>B.12 Thermal Bridge Penalty (min. 5-70%)</t>
  </si>
  <si>
    <t>B.13 Total Conditioned Volume</t>
  </si>
  <si>
    <t>B.15 Window:Wall Ratio (WWR)</t>
  </si>
  <si>
    <r>
      <t>B.17 Total Area Exposed to Ground (</t>
    </r>
    <r>
      <rPr>
        <b/>
        <sz val="16"/>
        <color rgb="FF000000"/>
        <rFont val="Arial"/>
        <family val="2"/>
      </rPr>
      <t>Ag</t>
    </r>
    <r>
      <rPr>
        <sz val="16"/>
        <color indexed="8"/>
        <rFont val="Arial"/>
        <family val="2"/>
      </rPr>
      <t>)</t>
    </r>
  </si>
  <si>
    <t>B.18.3 Heating Natural Air Leakage Heatloss</t>
  </si>
  <si>
    <t>B.18.5.1 n-Factor</t>
  </si>
  <si>
    <t>M.2.1 Heating System Demand</t>
  </si>
  <si>
    <t>V.1.1 HRV/ERV/MVHR Efficiency (SRE)</t>
  </si>
  <si>
    <t>V.1.2 Ventilation Method</t>
  </si>
  <si>
    <t>V.1.3 ACH (Only if Volume-Based)</t>
  </si>
  <si>
    <t>V.2.3 Net Heating Season Ventilation Losses</t>
  </si>
  <si>
    <r>
      <t xml:space="preserve">V.4.1 Ventilation </t>
    </r>
    <r>
      <rPr>
        <b/>
        <sz val="16"/>
        <color rgb="FF000000"/>
        <rFont val="Arial"/>
        <family val="2"/>
      </rPr>
      <t>Free Cooling</t>
    </r>
    <r>
      <rPr>
        <sz val="16"/>
        <color indexed="8"/>
        <rFont val="Arial"/>
        <family val="2"/>
      </rPr>
      <t>/Vent Capacity</t>
    </r>
  </si>
  <si>
    <t>T.6.7 Cost of Energy by Source</t>
  </si>
  <si>
    <r>
      <t>T.6.6 Mx. Cool Intsty in W/m</t>
    </r>
    <r>
      <rPr>
        <vertAlign val="superscript"/>
        <sz val="16"/>
        <color rgb="FF000000"/>
        <rFont val="Arial"/>
        <family val="2"/>
      </rPr>
      <t>2</t>
    </r>
    <r>
      <rPr>
        <sz val="16"/>
        <color indexed="8"/>
        <rFont val="Arial"/>
        <family val="2"/>
      </rPr>
      <t xml:space="preserve"> (Enclosure Only)</t>
    </r>
  </si>
  <si>
    <t>G.1.1 Occupants per Building (declared)</t>
  </si>
  <si>
    <t>G.1.2 Average Daily Activity Level</t>
  </si>
  <si>
    <t>G.1.3 Avg. Daily Occupied Hrs</t>
  </si>
  <si>
    <t>G.2 Plug/Light/Equipment Subtotal</t>
  </si>
  <si>
    <t>G.1.2 Occupant Activity</t>
  </si>
  <si>
    <t>M.2.1.S Energy Sink</t>
  </si>
  <si>
    <t>M.2.1.D Heat System Demand</t>
  </si>
  <si>
    <t>G.5 Unusable Gains</t>
  </si>
  <si>
    <t>B.18.3 Air Leakage</t>
  </si>
  <si>
    <t>V.2.3 Unrecovered Ventilation</t>
  </si>
  <si>
    <r>
      <t xml:space="preserve">B.16 HELI </t>
    </r>
    <r>
      <rPr>
        <i/>
        <sz val="16"/>
        <color theme="1"/>
        <rFont val="Arial"/>
        <family val="2"/>
      </rPr>
      <t>Ae</t>
    </r>
    <r>
      <rPr>
        <sz val="16"/>
        <color theme="1"/>
        <rFont val="Arial"/>
        <family val="2"/>
      </rPr>
      <t xml:space="preserve"> </t>
    </r>
  </si>
  <si>
    <r>
      <t xml:space="preserve">B.17 HELI </t>
    </r>
    <r>
      <rPr>
        <i/>
        <sz val="16"/>
        <color theme="1"/>
        <rFont val="Arial"/>
        <family val="2"/>
      </rPr>
      <t>Ag</t>
    </r>
    <r>
      <rPr>
        <sz val="16"/>
        <color theme="1"/>
        <rFont val="Arial"/>
        <family val="2"/>
      </rPr>
      <t xml:space="preserve"> </t>
    </r>
  </si>
  <si>
    <t>V.2.3 Net Vent Losses</t>
  </si>
  <si>
    <t>G.3 Net Usable Gains (NRC)</t>
  </si>
  <si>
    <t>V.3.3 Ventilation Exhaust</t>
  </si>
  <si>
    <t>T.5.4 CEGI</t>
  </si>
  <si>
    <r>
      <t xml:space="preserve">Heating Costs
</t>
    </r>
    <r>
      <rPr>
        <sz val="14"/>
        <color rgb="FF000000"/>
        <rFont val="Arial"/>
        <family val="2"/>
      </rPr>
      <t>Net $/yr</t>
    </r>
  </si>
  <si>
    <t>kWh/pp</t>
  </si>
  <si>
    <t>kWh Net Electrical Demand</t>
  </si>
  <si>
    <t>V.1.4 Per Person Ventilation Rate</t>
  </si>
  <si>
    <t>V.1.6 Volumetric Ventilation Rate</t>
  </si>
  <si>
    <r>
      <t xml:space="preserve">U-Value
</t>
    </r>
    <r>
      <rPr>
        <sz val="14"/>
        <color rgb="FF000000"/>
        <rFont val="Arial"/>
        <family val="2"/>
      </rPr>
      <t>W/m</t>
    </r>
    <r>
      <rPr>
        <vertAlign val="superscript"/>
        <sz val="14"/>
        <color rgb="FF000000"/>
        <rFont val="Arial"/>
        <family val="2"/>
      </rPr>
      <t>2</t>
    </r>
    <r>
      <rPr>
        <sz val="14"/>
        <color rgb="FF000000"/>
        <rFont val="Arial"/>
        <family val="2"/>
      </rPr>
      <t>•K</t>
    </r>
  </si>
  <si>
    <r>
      <rPr>
        <b/>
        <i/>
        <sz val="12"/>
        <color rgb="FF000000"/>
        <rFont val="Arial"/>
        <family val="2"/>
      </rPr>
      <t>Ae</t>
    </r>
    <r>
      <rPr>
        <i/>
        <sz val="12"/>
        <color indexed="8"/>
        <rFont val="Arial"/>
        <family val="2"/>
      </rPr>
      <t xml:space="preserve"> = all surfaces exposed to exterior air, walls </t>
    </r>
    <r>
      <rPr>
        <b/>
        <i/>
        <sz val="12"/>
        <color rgb="FF000000"/>
        <rFont val="Arial"/>
        <family val="2"/>
      </rPr>
      <t>and</t>
    </r>
    <r>
      <rPr>
        <i/>
        <sz val="12"/>
        <color indexed="8"/>
        <rFont val="Arial"/>
        <family val="2"/>
      </rPr>
      <t xml:space="preserve"> roofs - Passive House guidance for Ontario 0.15</t>
    </r>
  </si>
  <si>
    <r>
      <rPr>
        <b/>
        <i/>
        <sz val="12"/>
        <color rgb="FF000000"/>
        <rFont val="Arial"/>
        <family val="2"/>
      </rPr>
      <t>Ag</t>
    </r>
    <r>
      <rPr>
        <i/>
        <sz val="12"/>
        <color indexed="8"/>
        <rFont val="Arial"/>
        <family val="2"/>
      </rPr>
      <t xml:space="preserve"> = all below grade surfaces, walls </t>
    </r>
    <r>
      <rPr>
        <b/>
        <i/>
        <sz val="12"/>
        <color rgb="FF000000"/>
        <rFont val="Arial"/>
        <family val="2"/>
      </rPr>
      <t>and</t>
    </r>
    <r>
      <rPr>
        <i/>
        <sz val="12"/>
        <color indexed="8"/>
        <rFont val="Arial"/>
        <family val="2"/>
      </rPr>
      <t xml:space="preserve"> floors - Passive House guidance for Ontario 0.15</t>
    </r>
  </si>
  <si>
    <r>
      <rPr>
        <b/>
        <sz val="12"/>
        <color indexed="10"/>
        <rFont val="Helvetica Neue"/>
        <family val="2"/>
      </rPr>
      <t xml:space="preserve">B.3 Conditioned Area: </t>
    </r>
    <r>
      <rPr>
        <b/>
        <sz val="12"/>
        <color theme="1"/>
        <rFont val="Helvetica Neue"/>
        <family val="2"/>
      </rPr>
      <t>Blog on this topic:</t>
    </r>
    <r>
      <rPr>
        <b/>
        <sz val="12"/>
        <color indexed="10"/>
        <rFont val="Helvetica Neue"/>
        <family val="2"/>
      </rPr>
      <t xml:space="preserve"> </t>
    </r>
    <r>
      <rPr>
        <sz val="12"/>
        <color indexed="8"/>
        <rFont val="Helvetica Neue"/>
        <family val="2"/>
      </rPr>
      <t xml:space="preserve"> https://openbuilding.ca/2024/06/23/teui-b-3-conditioned-area/ - measured from interior face of exterior enclosure</t>
    </r>
  </si>
  <si>
    <r>
      <t>NOTE: The values shown here approximate distribution in Column 'A' from a typical hourly analysis scenario. This version of OBJECTIVE is using a static value for 18ºC HDD and CDD values and does not have any other way of distributing these into monthly bins apart from using the percentages shown from an external hourly analysis program. Eventually, we plan to connect OBJECTIVE to a more advanced set of monthly and hourly weather data (NASA LaRC Power Project Dataset), at which point we can substitute actual monthly HDD values into column C to better test our fit to the R</t>
    </r>
    <r>
      <rPr>
        <i/>
        <vertAlign val="superscript"/>
        <sz val="11"/>
        <color rgb="FF000000"/>
        <rFont val="Arial"/>
        <family val="2"/>
      </rPr>
      <t>2</t>
    </r>
    <r>
      <rPr>
        <i/>
        <sz val="11"/>
        <color indexed="8"/>
        <rFont val="Arial"/>
        <family val="2"/>
      </rPr>
      <t xml:space="preserve"> of the TED line. The issue is one of data size, since holding hourly data for every city in Canada becomes cumbersome, at well over 10GB in filesize.</t>
    </r>
  </si>
  <si>
    <r>
      <t xml:space="preserve">Reference Energy Costs
</t>
    </r>
    <r>
      <rPr>
        <sz val="14"/>
        <color rgb="FFC00000"/>
        <rFont val="Arial"/>
        <family val="2"/>
      </rPr>
      <t>$/yr</t>
    </r>
  </si>
  <si>
    <t>Savings over Service Life</t>
  </si>
  <si>
    <t>$/yr Savings of Proposed</t>
  </si>
  <si>
    <t>S.2 Reference Model Always Uses Targeted</t>
  </si>
  <si>
    <t>T.5.2 CED less Free Cool - VX</t>
  </si>
  <si>
    <t>Future Additions: Humidity/Enthalpy System Removals, Night-time Radiation Removals</t>
  </si>
  <si>
    <t>OBC SB10 5.5-6 Z5 (2010)</t>
  </si>
  <si>
    <t>Utility Bills</t>
  </si>
  <si>
    <t>G.8.5 Skylights</t>
  </si>
  <si>
    <t>B.8.5 Skylights</t>
  </si>
  <si>
    <t>Skylight</t>
  </si>
  <si>
    <t>Target Building</t>
  </si>
  <si>
    <t>Reference Building</t>
  </si>
  <si>
    <t>Service Life (Yrs)</t>
  </si>
  <si>
    <t>Lifetime B6 emissions = Annual B6 * Service Life</t>
  </si>
  <si>
    <t>Lifetime A1-3 emissions = Total Construction Emissions</t>
  </si>
  <si>
    <r>
      <t xml:space="preserve">GHGI B6 </t>
    </r>
    <r>
      <rPr>
        <sz val="16"/>
        <color rgb="FF000000"/>
        <rFont val="Arial"/>
        <family val="2"/>
      </rPr>
      <t>(kgCO2e/m2)</t>
    </r>
  </si>
  <si>
    <r>
      <t xml:space="preserve">GHGI A1-A3 </t>
    </r>
    <r>
      <rPr>
        <sz val="16"/>
        <color rgb="FF000000"/>
        <rFont val="Arial"/>
        <family val="2"/>
      </rPr>
      <t>(kgCO2e/m2)</t>
    </r>
  </si>
  <si>
    <t>GHGI Emissions are Annualized</t>
  </si>
  <si>
    <t>Target Building/yr</t>
  </si>
  <si>
    <t>Reference Building/yr</t>
  </si>
  <si>
    <r>
      <t xml:space="preserve">Operational B6 </t>
    </r>
    <r>
      <rPr>
        <sz val="16"/>
        <color rgb="FF000000"/>
        <rFont val="Arial"/>
        <family val="2"/>
      </rPr>
      <t>(MTCO2e)</t>
    </r>
  </si>
  <si>
    <r>
      <t xml:space="preserve">Embodied A1-A3 </t>
    </r>
    <r>
      <rPr>
        <sz val="16"/>
        <color rgb="FF000000"/>
        <rFont val="Arial"/>
        <family val="2"/>
      </rPr>
      <t>(MTCO2e)</t>
    </r>
  </si>
  <si>
    <t>Proportion of Emissions (Target Building)</t>
  </si>
  <si>
    <r>
      <rPr>
        <b/>
        <sz val="16"/>
        <color theme="1"/>
        <rFont val="Arial"/>
        <family val="2"/>
      </rPr>
      <t>OBJECTIVE</t>
    </r>
    <r>
      <rPr>
        <sz val="16"/>
        <color theme="1"/>
        <rFont val="Arial"/>
        <family val="2"/>
      </rPr>
      <t xml:space="preserve"> Carbon Graphs </t>
    </r>
    <r>
      <rPr>
        <b/>
        <sz val="16"/>
        <color theme="1"/>
        <rFont val="Arial"/>
        <family val="2"/>
      </rPr>
      <t xml:space="preserve">BETA </t>
    </r>
    <r>
      <rPr>
        <sz val="16"/>
        <color theme="1"/>
        <rFont val="Arial"/>
        <family val="2"/>
      </rPr>
      <t>v3.032 | 2025.02.20</t>
    </r>
  </si>
  <si>
    <t>GT CO2e</t>
  </si>
  <si>
    <t>Global Population (2023)</t>
  </si>
  <si>
    <t>Canada Population</t>
  </si>
  <si>
    <t>Denmark Population</t>
  </si>
  <si>
    <t>As %</t>
  </si>
  <si>
    <t>Canada Built Area PerCapita (m2)</t>
  </si>
  <si>
    <t>National Carbon Budget (MT)</t>
  </si>
  <si>
    <t>National Carbon Budget (kg)</t>
  </si>
  <si>
    <t>National Carbon Budget (GT)</t>
  </si>
  <si>
    <t>PerCapita Forever Budget Allowance per sm of Built Area (kgCO2e/m2)</t>
  </si>
  <si>
    <t>Drawdown Period (ie 50yrs)</t>
  </si>
  <si>
    <t>Impact Ratio Factors</t>
  </si>
  <si>
    <t>Canada</t>
  </si>
  <si>
    <t>USA</t>
  </si>
  <si>
    <t>Global PerCapita Energy Burden (GJ/pp)</t>
  </si>
  <si>
    <t xml:space="preserve">Japan </t>
  </si>
  <si>
    <t>EU</t>
  </si>
  <si>
    <t>China</t>
  </si>
  <si>
    <t>India</t>
  </si>
  <si>
    <t>Nigeria</t>
  </si>
  <si>
    <t>Ethiopia</t>
  </si>
  <si>
    <t>Vietnam</t>
  </si>
  <si>
    <t>Impact Factor</t>
  </si>
  <si>
    <t>Global Available Carbon Budget*</t>
  </si>
  <si>
    <t>*Per IPCC AR6 2023: 83% confidence available carbon budget</t>
  </si>
  <si>
    <t>GHGI Allowable (kgCO2e/m2)</t>
  </si>
  <si>
    <t>Equity-Adjusted kgCO2e/m2 Allowable</t>
  </si>
  <si>
    <t>GHGI LEGISLATED in kgCO2e/m2/50yrs</t>
  </si>
  <si>
    <t>Equitable Target Value Baseline (1)</t>
  </si>
  <si>
    <t>Canada Residential Built Area (m2)</t>
  </si>
  <si>
    <t>Canada Combined Built Area (m2)</t>
  </si>
  <si>
    <t>PerCapita Built Area (m2)</t>
  </si>
  <si>
    <t>Canada Commercial Built Area (m2)</t>
  </si>
  <si>
    <t>S.3 Carbon Benchmarking Standards (2023)</t>
  </si>
  <si>
    <t>Notes:</t>
  </si>
  <si>
    <r>
      <t xml:space="preserve">No </t>
    </r>
    <r>
      <rPr>
        <b/>
        <i/>
        <sz val="16"/>
        <color rgb="FFFF0000"/>
        <rFont val="Arial"/>
        <family val="2"/>
      </rPr>
      <t>objective</t>
    </r>
    <r>
      <rPr>
        <i/>
        <sz val="16"/>
        <color rgb="FFFF0000"/>
        <rFont val="Arial"/>
        <family val="2"/>
      </rPr>
      <t xml:space="preserve"> (ie. Ceiling) federal or 3rd party embodied carbon limit, connected to Paris Agreement limits has been established in Canada, or even proposed</t>
    </r>
  </si>
  <si>
    <r>
      <t xml:space="preserve">Reference Energy Costs
</t>
    </r>
    <r>
      <rPr>
        <sz val="14"/>
        <color rgb="FF000000"/>
        <rFont val="Arial"/>
        <family val="2"/>
      </rPr>
      <t>$/yr</t>
    </r>
  </si>
  <si>
    <t>Electric</t>
  </si>
  <si>
    <t>Regular</t>
  </si>
  <si>
    <t>2025.02.28</t>
  </si>
  <si>
    <t>Added: IPCC AR6 Embodied Lifetime Carbon Methodology (Equal PerCaputa and Equity_Adjusted), Corrected Cooling Energy Balance Diagram, Added Embodied Carbon Worksheet and Diagram, general reference model bugfixes</t>
  </si>
  <si>
    <t>What you'll need to complete…(pending easy takeoff section)</t>
  </si>
  <si>
    <t>Source</t>
  </si>
  <si>
    <t>DHW l/pp/day</t>
  </si>
  <si>
    <t>Total Water Use/pp/day</t>
  </si>
  <si>
    <t>Persons/Household</t>
  </si>
  <si>
    <t>DHW/Household</t>
  </si>
  <si>
    <t>PHI/PHPP</t>
  </si>
  <si>
    <t>Environment Canada</t>
  </si>
  <si>
    <t>OBC 8.2.1.3.A</t>
  </si>
  <si>
    <t>USA, Mayer et al.</t>
  </si>
  <si>
    <t>Ecotope, Seattle (MURBs)</t>
  </si>
  <si>
    <t>NBC 9.36</t>
  </si>
  <si>
    <t>Abdeen et al.</t>
  </si>
  <si>
    <t>Hot2000 (NRCan)</t>
  </si>
  <si>
    <t>kWh/Household</t>
  </si>
  <si>
    <t>per Canada Census, 2001</t>
  </si>
  <si>
    <t>OBJECTIVE Methodology</t>
  </si>
  <si>
    <t>v.3.030</t>
  </si>
  <si>
    <t>v.3.033</t>
  </si>
  <si>
    <t>Self Reported</t>
  </si>
  <si>
    <t>Present</t>
  </si>
  <si>
    <t>Volume Constant</t>
  </si>
  <si>
    <t>Residential Water Use by Literature Review and Code Adherence Methodology (3.033)</t>
  </si>
  <si>
    <t>W.3.2 ekWh/yr Net Themal</t>
  </si>
  <si>
    <t>W.1.2 DHW Use (40% of W.1.0)</t>
  </si>
  <si>
    <t>P.3.3 Eqpt. Energy Spec</t>
  </si>
  <si>
    <t>W.1.3 DHW System Losses</t>
  </si>
  <si>
    <t>2025.03.03</t>
  </si>
  <si>
    <t xml:space="preserve">Added: Refined DHW pprofiles from literature review: https://openbuilding.ca/2025/03/01/domestic-and-service-hot-water-use-dhw-shw/, refined PHPP methods to account 25% of DHW losses to Internal Gains, Adjusted PHPP Plug Loads, CODE VALUES, adjusted Energy Balance and REFERENCE to accommodate all new methods. This preserves alignment with NBC, OBC, NECB values while making special case allowances for PHPP projects to maintain TEDI and TEUI targeting, triggered by selection of 'PHPP Method' in DHW settings. </t>
  </si>
  <si>
    <t>litresyr</t>
  </si>
  <si>
    <t>W.X kWh/yr Exhaust (only if Gas)</t>
  </si>
  <si>
    <t>Heatpump</t>
  </si>
  <si>
    <t>ON</t>
  </si>
  <si>
    <t>Pt.3 Mass Timber</t>
  </si>
  <si>
    <t>NRC 40%</t>
  </si>
  <si>
    <t>Volume by Schedule</t>
  </si>
  <si>
    <t>2025.03.04</t>
  </si>
  <si>
    <t>Added: Support for LibreOffice by removing XREF and replcaing with Vlookup formulas for All Province/City and other location Data like Tmax, Tmin, Elevation in Cooling, etc. Further work needed if Apple Numbers, Google Sheets support is desired. Corrected DHW system losses to Gains when Heatpump or over 100% efficiency selected</t>
  </si>
  <si>
    <t>tier1</t>
  </si>
  <si>
    <t>D.1 Reporting Period</t>
  </si>
  <si>
    <t>D.2 Service Life (yrs)</t>
  </si>
  <si>
    <r>
      <t>B.3 Conditioned Area (Net m</t>
    </r>
    <r>
      <rPr>
        <vertAlign val="superscript"/>
        <sz val="16"/>
        <color rgb="FF000000"/>
        <rFont val="Arial"/>
        <family val="2"/>
      </rPr>
      <t>2</t>
    </r>
    <r>
      <rPr>
        <sz val="16"/>
        <color indexed="8"/>
        <rFont val="Arial"/>
        <family val="2"/>
      </rPr>
      <t>)</t>
    </r>
  </si>
  <si>
    <t>G.4.2 Capacitance Factor</t>
  </si>
  <si>
    <t>L.3.3  Length of Cooling Season</t>
  </si>
  <si>
    <t>G.2 Plug/Light/Eqpt. Subtotals</t>
  </si>
  <si>
    <t>Internal Gains Totals</t>
  </si>
  <si>
    <t>L.2.3. Current or Future Values</t>
  </si>
  <si>
    <t>TOOLTIPS and REFERENCES</t>
  </si>
  <si>
    <t xml:space="preserve">T.3.8 Primary Energy </t>
  </si>
  <si>
    <r>
      <t>m</t>
    </r>
    <r>
      <rPr>
        <vertAlign val="superscript"/>
        <sz val="16"/>
        <color indexed="8"/>
        <rFont val="Arial"/>
        <family val="2"/>
      </rPr>
      <t>2</t>
    </r>
    <r>
      <rPr>
        <sz val="16"/>
        <color indexed="8"/>
        <rFont val="Arial"/>
        <family val="2"/>
      </rPr>
      <t xml:space="preserve"> - </t>
    </r>
    <r>
      <rPr>
        <i/>
        <sz val="16"/>
        <color rgb="FF000000"/>
        <rFont val="Arial"/>
        <family val="2"/>
      </rPr>
      <t>Only used in E.3.2</t>
    </r>
  </si>
  <si>
    <t>B.14 Total Floor Area (Cond. + Uncond.)</t>
  </si>
  <si>
    <t>AL-1B</t>
  </si>
  <si>
    <r>
      <t xml:space="preserve">B.18.4 </t>
    </r>
    <r>
      <rPr>
        <b/>
        <sz val="16"/>
        <color rgb="FF000000"/>
        <rFont val="Arial"/>
        <family val="2"/>
      </rPr>
      <t>Ae</t>
    </r>
    <r>
      <rPr>
        <b/>
        <vertAlign val="subscript"/>
        <sz val="16"/>
        <color rgb="FF000000"/>
        <rFont val="Arial"/>
        <family val="2"/>
      </rPr>
      <t>10</t>
    </r>
    <r>
      <rPr>
        <sz val="16"/>
        <color indexed="8"/>
        <rFont val="Arial"/>
        <family val="2"/>
      </rPr>
      <t xml:space="preserve"> or </t>
    </r>
    <r>
      <rPr>
        <b/>
        <sz val="16"/>
        <color rgb="FF000000"/>
        <rFont val="Arial"/>
        <family val="2"/>
      </rPr>
      <t>ELA</t>
    </r>
    <r>
      <rPr>
        <b/>
        <vertAlign val="subscript"/>
        <sz val="16"/>
        <color rgb="FF000000"/>
        <rFont val="Arial"/>
        <family val="2"/>
      </rPr>
      <t>10</t>
    </r>
    <r>
      <rPr>
        <sz val="16"/>
        <color indexed="8"/>
        <rFont val="Arial"/>
        <family val="2"/>
      </rPr>
      <t xml:space="preserve"> (m</t>
    </r>
    <r>
      <rPr>
        <vertAlign val="superscript"/>
        <sz val="16"/>
        <color rgb="FF000000"/>
        <rFont val="Arial"/>
        <family val="2"/>
      </rPr>
      <t>2</t>
    </r>
    <r>
      <rPr>
        <sz val="16"/>
        <color indexed="8"/>
        <rFont val="Arial"/>
        <family val="2"/>
      </rPr>
      <t>)</t>
    </r>
  </si>
  <si>
    <t>ON/QC</t>
  </si>
  <si>
    <t>South SK, MB</t>
  </si>
  <si>
    <t>South BC</t>
  </si>
  <si>
    <t>B.18.2 Measured</t>
  </si>
  <si>
    <r>
      <t>ACH</t>
    </r>
    <r>
      <rPr>
        <vertAlign val="subscript"/>
        <sz val="16"/>
        <color rgb="FF000000"/>
        <rFont val="Arial"/>
        <family val="2"/>
      </rPr>
      <t>50</t>
    </r>
  </si>
  <si>
    <r>
      <t>B.18.2 ACH</t>
    </r>
    <r>
      <rPr>
        <vertAlign val="subscript"/>
        <sz val="16"/>
        <color theme="1"/>
        <rFont val="Arial"/>
        <family val="2"/>
      </rPr>
      <t>50</t>
    </r>
    <r>
      <rPr>
        <sz val="16"/>
        <color theme="1"/>
        <rFont val="Arial"/>
        <family val="2"/>
      </rPr>
      <t xml:space="preserve"> Target (Converts B.18.1)</t>
    </r>
  </si>
  <si>
    <t>B.18.3 Shielding</t>
  </si>
  <si>
    <t>B.18.3 Zone</t>
  </si>
  <si>
    <t>B.18.1 Target</t>
  </si>
  <si>
    <r>
      <t>B.18.1 NRL</t>
    </r>
    <r>
      <rPr>
        <vertAlign val="subscript"/>
        <sz val="16"/>
        <color theme="1"/>
        <rFont val="Arial"/>
        <family val="2"/>
      </rPr>
      <t>50</t>
    </r>
    <r>
      <rPr>
        <sz val="16"/>
        <color theme="1"/>
        <rFont val="Arial"/>
        <family val="2"/>
      </rPr>
      <t xml:space="preserve"> Target Method NBC2025 (Part 9)</t>
    </r>
  </si>
  <si>
    <t>2025.03.23</t>
  </si>
  <si>
    <t>Housekeeping Update designed to better organize for machine-reading to convert to web-application, vertical alignment of description and value texts, clear naming of cell inputs for clarity on CSV export, redeuced verbosity, less visual clutter</t>
  </si>
  <si>
    <t>T.4 Building U-Value Combined Total &amp; Transmission Losses &amp; Gains</t>
  </si>
  <si>
    <t>Volume/Area</t>
  </si>
  <si>
    <t>Area/Volume</t>
  </si>
  <si>
    <t>R.5 Offsite Renewable (REC)</t>
  </si>
  <si>
    <t>P.5 Exterior/Site/Other Loads</t>
  </si>
  <si>
    <t>Gas</t>
  </si>
  <si>
    <r>
      <t>P.3.2 Elevator Loads  (W/m</t>
    </r>
    <r>
      <rPr>
        <vertAlign val="superscript"/>
        <sz val="16"/>
        <color theme="1"/>
        <rFont val="Arial"/>
        <family val="2"/>
      </rPr>
      <t>2</t>
    </r>
    <r>
      <rPr>
        <sz val="16"/>
        <color theme="1"/>
        <rFont val="Arial"/>
        <family val="2"/>
      </rPr>
      <t xml:space="preserve"> → Eqpt Gains)</t>
    </r>
  </si>
  <si>
    <t>W.1.3 System Losses (% → W.1.3 Eqpt Gains)</t>
  </si>
  <si>
    <t>W/pp (Sensible + Latent)</t>
  </si>
  <si>
    <t>B.1.2 Tset Heating</t>
  </si>
  <si>
    <t>B.1.3 Tset Cooling</t>
  </si>
  <si>
    <t>/kWh</t>
  </si>
  <si>
    <t>Electricity</t>
  </si>
  <si>
    <t>Propane</t>
  </si>
  <si>
    <t>Wood</t>
  </si>
  <si>
    <t>Oil</t>
  </si>
  <si>
    <t>l/pp/day IF User Defined</t>
  </si>
  <si>
    <t>kWh/yr IF By Engineer</t>
  </si>
  <si>
    <t>W.2.D.N Net Demand - Recovered Energy</t>
  </si>
  <si>
    <r>
      <rPr>
        <b/>
        <sz val="16"/>
        <color rgb="FF0432FF"/>
        <rFont val="Arial"/>
        <family val="2"/>
      </rPr>
      <t xml:space="preserve">Blue = Required User Input Cells
</t>
    </r>
    <r>
      <rPr>
        <b/>
        <sz val="16"/>
        <color rgb="FF7030A0"/>
        <rFont val="Arial"/>
        <family val="2"/>
      </rPr>
      <t>Plum = Defaults but Editable</t>
    </r>
    <r>
      <rPr>
        <b/>
        <sz val="16"/>
        <color indexed="8"/>
        <rFont val="Arial"/>
        <family val="2"/>
      </rPr>
      <t xml:space="preserve">
Black = Locked - Calculated
</t>
    </r>
    <r>
      <rPr>
        <b/>
        <sz val="16"/>
        <color rgb="FFC00000"/>
        <rFont val="Arial"/>
        <family val="2"/>
      </rPr>
      <t>Red = Reference Values</t>
    </r>
    <r>
      <rPr>
        <b/>
        <sz val="16"/>
        <color indexed="8"/>
        <rFont val="Arial"/>
        <family val="2"/>
      </rPr>
      <t xml:space="preserve">
</t>
    </r>
  </si>
  <si>
    <t>E.3.3 Total Embedded Carbon Emitted (A1-3)</t>
  </si>
  <si>
    <t>E.3.1 Typology-Based Carbon Intensity (A1-3)</t>
  </si>
  <si>
    <t>MT CO2e/Service Life</t>
  </si>
  <si>
    <r>
      <t>kgCO2e/m</t>
    </r>
    <r>
      <rPr>
        <vertAlign val="superscript"/>
        <sz val="16"/>
        <color theme="1"/>
        <rFont val="Arial Black"/>
        <family val="2"/>
      </rPr>
      <t>2</t>
    </r>
  </si>
  <si>
    <t>(B6 Annual Emissions * Service Life)</t>
  </si>
  <si>
    <t xml:space="preserve">E.1.2 GHGI Operational (B6) Emissions/yr </t>
  </si>
  <si>
    <t>E.1.1 Operational GHG &amp; Energy Subtotals</t>
  </si>
  <si>
    <t xml:space="preserve">E.1.3 Lifetime Avoided (B6) Emissions </t>
  </si>
  <si>
    <t>E.3.4 Modelled Value (A1-3)</t>
  </si>
  <si>
    <r>
      <t>kgCO2e/m</t>
    </r>
    <r>
      <rPr>
        <vertAlign val="superscript"/>
        <sz val="16"/>
        <color theme="0"/>
        <rFont val="Arial Black"/>
        <family val="2"/>
      </rPr>
      <t>2</t>
    </r>
  </si>
  <si>
    <t>Fix. Avg. Ref Below</t>
  </si>
  <si>
    <t>Not Reported</t>
  </si>
  <si>
    <t>C.1 Carbon Tax (Repealed 2025)</t>
  </si>
  <si>
    <r>
      <t xml:space="preserve">Annual </t>
    </r>
    <r>
      <rPr>
        <sz val="14"/>
        <color rgb="FF000000"/>
        <rFont val="Arial"/>
        <family val="2"/>
      </rPr>
      <t>kWh/yr</t>
    </r>
  </si>
  <si>
    <r>
      <t xml:space="preserve">Annual </t>
    </r>
    <r>
      <rPr>
        <sz val="14"/>
        <color theme="0"/>
        <rFont val="Arial"/>
        <family val="2"/>
      </rPr>
      <t>kWh/yr</t>
    </r>
  </si>
  <si>
    <r>
      <t xml:space="preserve">The Targeting EUI Calculator </t>
    </r>
    <r>
      <rPr>
        <b/>
        <sz val="16"/>
        <color rgb="FF000000"/>
        <rFont val="Arial"/>
        <family val="2"/>
      </rPr>
      <t>BETA</t>
    </r>
    <r>
      <rPr>
        <sz val="16"/>
        <color indexed="8"/>
        <rFont val="Arial"/>
        <family val="2"/>
      </rPr>
      <t xml:space="preserve"> v3.035</t>
    </r>
  </si>
  <si>
    <t>ENERGY BALANCE DIAGRAMS for TARGET BUILDING</t>
  </si>
  <si>
    <t>SECTION 2. Building Information</t>
  </si>
  <si>
    <t>SECTION 1. Key Values</t>
  </si>
  <si>
    <t>SECTION 3. Climate Calculations</t>
  </si>
  <si>
    <t>SECTION 4. Actual vs. Target Energy &amp; Carbon</t>
  </si>
  <si>
    <r>
      <t xml:space="preserve">SECTION 5. CO2e Emissions </t>
    </r>
    <r>
      <rPr>
        <sz val="16"/>
        <color theme="1"/>
        <rFont val="Arial"/>
        <family val="2"/>
      </rPr>
      <t>(E.1 = Scope 1&amp;2, E.3 = Scope 3)</t>
    </r>
  </si>
  <si>
    <t>SECTION 7. Water Use (B7)</t>
  </si>
  <si>
    <t>SECTION 8. Indoor Air Quality</t>
  </si>
  <si>
    <t>SECTION 9. Occupant + Internal Gains</t>
  </si>
  <si>
    <t>SECTION 11. Transmission Losses</t>
  </si>
  <si>
    <t>SECTION 10. Radiant Gains</t>
  </si>
  <si>
    <t>SECTION 12. Volume and Surface Metrics</t>
  </si>
  <si>
    <t>SECTION 13. Mechanical Loads</t>
  </si>
  <si>
    <r>
      <t xml:space="preserve">SECTION 14. TEDI &amp; TELI </t>
    </r>
    <r>
      <rPr>
        <b/>
        <i/>
        <sz val="16"/>
        <color theme="1"/>
        <rFont val="Arial Black"/>
        <family val="2"/>
      </rPr>
      <t>Targeted</t>
    </r>
  </si>
  <si>
    <r>
      <t xml:space="preserve">SECTION 15. TEUI </t>
    </r>
    <r>
      <rPr>
        <i/>
        <sz val="16"/>
        <color theme="1"/>
        <rFont val="Arial Black"/>
        <family val="2"/>
      </rPr>
      <t xml:space="preserve">Targeted  </t>
    </r>
  </si>
  <si>
    <t>R.1 Onsite Energy Subtotals</t>
  </si>
  <si>
    <t>SECTION 6. Renewable Energy</t>
  </si>
  <si>
    <r>
      <t>m</t>
    </r>
    <r>
      <rPr>
        <vertAlign val="superscript"/>
        <sz val="16"/>
        <color rgb="FF000000"/>
        <rFont val="Arial"/>
        <family val="2"/>
      </rPr>
      <t>3</t>
    </r>
  </si>
  <si>
    <r>
      <t xml:space="preserve">SECTION 14. TEDI &amp; TELI </t>
    </r>
    <r>
      <rPr>
        <b/>
        <i/>
        <sz val="16"/>
        <color theme="0"/>
        <rFont val="Arial Black"/>
        <family val="2"/>
      </rPr>
      <t>Targeted</t>
    </r>
  </si>
  <si>
    <r>
      <t xml:space="preserve">SECTION 15. TEUI </t>
    </r>
    <r>
      <rPr>
        <i/>
        <sz val="16"/>
        <color theme="0"/>
        <rFont val="Arial Black"/>
        <family val="2"/>
      </rPr>
      <t xml:space="preserve">Targeted  </t>
    </r>
  </si>
  <si>
    <r>
      <t xml:space="preserve">SECTION 5. CO2e Emissions </t>
    </r>
    <r>
      <rPr>
        <sz val="16"/>
        <color theme="0"/>
        <rFont val="Arial"/>
        <family val="2"/>
      </rPr>
      <t>(E.1 = Scope 1&amp;2, E.3 = Scope 3)</t>
    </r>
  </si>
  <si>
    <r>
      <t>kWh/m</t>
    </r>
    <r>
      <rPr>
        <vertAlign val="superscript"/>
        <sz val="16"/>
        <color theme="0"/>
        <rFont val="Arial Black"/>
        <family val="2"/>
      </rPr>
      <t>2</t>
    </r>
    <r>
      <rPr>
        <sz val="16"/>
        <color theme="0"/>
        <rFont val="Arial Black"/>
        <family val="2"/>
      </rPr>
      <t>/yr</t>
    </r>
  </si>
  <si>
    <r>
      <t>kWh/m</t>
    </r>
    <r>
      <rPr>
        <vertAlign val="superscript"/>
        <sz val="16"/>
        <color theme="1"/>
        <rFont val="Arial Black"/>
        <family val="2"/>
      </rPr>
      <t>2</t>
    </r>
    <r>
      <rPr>
        <sz val="16"/>
        <color theme="1"/>
        <rFont val="Arial Black"/>
        <family val="2"/>
      </rPr>
      <t xml:space="preserve"> /yr</t>
    </r>
  </si>
  <si>
    <t>kWh//yr</t>
  </si>
  <si>
    <t>T.5.2 less Free Cool. &amp; Vent. Exhaust</t>
  </si>
  <si>
    <r>
      <t xml:space="preserve">T.6.0 TEU </t>
    </r>
    <r>
      <rPr>
        <i/>
        <sz val="16"/>
        <color rgb="FF000000"/>
        <rFont val="Arial"/>
        <family val="2"/>
      </rPr>
      <t>Targeted Electricity</t>
    </r>
  </si>
  <si>
    <t>T.6.1 TEUI</t>
  </si>
  <si>
    <t>T.4.0 TED Targeted</t>
  </si>
  <si>
    <t>T.4.1 TEDI</t>
  </si>
  <si>
    <t>T.4.2 TED Envelope Only (No Ventilation)</t>
  </si>
  <si>
    <t>T.4.3 TEDI no vent.</t>
  </si>
  <si>
    <t>T.4.4 CED Cooling Load</t>
  </si>
  <si>
    <t>T.4.5 CEDI Unmitigated</t>
  </si>
  <si>
    <t>T.4.6 CEDI Cooling Load</t>
  </si>
  <si>
    <t>T.4.7 CEDI Mitigated</t>
  </si>
  <si>
    <t>T.5.1 TEL Total Envelope Heatloss</t>
  </si>
  <si>
    <t>T.5.2 TELI</t>
  </si>
  <si>
    <t>T.5.3 CEG Cooling Envelope Heatgain</t>
  </si>
  <si>
    <t>T.6.2 TEU if Electric/Heatpump/Gas</t>
  </si>
  <si>
    <t>T.6.3 TEUI</t>
  </si>
  <si>
    <r>
      <t xml:space="preserve">T.6.4 Peak </t>
    </r>
    <r>
      <rPr>
        <b/>
        <sz val="16"/>
        <color rgb="FF000000"/>
        <rFont val="Arial"/>
        <family val="2"/>
      </rPr>
      <t>Heating</t>
    </r>
    <r>
      <rPr>
        <sz val="16"/>
        <color indexed="8"/>
        <rFont val="Arial"/>
        <family val="2"/>
      </rPr>
      <t xml:space="preserve"> Load</t>
    </r>
    <r>
      <rPr>
        <sz val="16"/>
        <color rgb="FF00B050"/>
        <rFont val="Arial"/>
        <family val="2"/>
      </rPr>
      <t xml:space="preserve"> </t>
    </r>
    <r>
      <rPr>
        <sz val="16"/>
        <color indexed="8"/>
        <rFont val="Arial"/>
        <family val="2"/>
      </rPr>
      <t>(Enclosure Only)</t>
    </r>
  </si>
  <si>
    <t>T.6.4 TEUI-imp</t>
  </si>
  <si>
    <r>
      <t xml:space="preserve">T.6.5 Peak </t>
    </r>
    <r>
      <rPr>
        <b/>
        <sz val="16"/>
        <color rgb="FF000000"/>
        <rFont val="Arial"/>
        <family val="2"/>
      </rPr>
      <t>Cooling</t>
    </r>
    <r>
      <rPr>
        <sz val="16"/>
        <color indexed="8"/>
        <rFont val="Arial"/>
        <family val="2"/>
      </rPr>
      <t xml:space="preserve"> Load (Enclosure Only)</t>
    </r>
  </si>
  <si>
    <t>T.6.6-imp</t>
  </si>
  <si>
    <r>
      <t xml:space="preserve">T.6.7 Peak </t>
    </r>
    <r>
      <rPr>
        <b/>
        <sz val="16"/>
        <color rgb="FF000000"/>
        <rFont val="Arial"/>
        <family val="2"/>
      </rPr>
      <t>Cooling</t>
    </r>
    <r>
      <rPr>
        <sz val="16"/>
        <color indexed="8"/>
        <rFont val="Arial"/>
        <family val="2"/>
      </rPr>
      <t xml:space="preserve"> Load (Enclosure + Gains)</t>
    </r>
  </si>
  <si>
    <t>T.6.7-imp</t>
  </si>
  <si>
    <t>T.6.8 Max. Heating Load Intensity</t>
  </si>
  <si>
    <t>T.6.8-imp</t>
  </si>
  <si>
    <t xml:space="preserve">T.7.1 Annual Cost of Electricity </t>
  </si>
  <si>
    <t>T.7.2 pre and</t>
  </si>
  <si>
    <t>T.7.3 Sum of Other Energy</t>
  </si>
  <si>
    <t>T.7.4 Cost Premium of HP Equipment</t>
  </si>
  <si>
    <t>T.7.5</t>
  </si>
  <si>
    <t xml:space="preserve">Reference </t>
  </si>
  <si>
    <t>T.8.3 Actual</t>
  </si>
  <si>
    <t>T.3.2 Target</t>
  </si>
  <si>
    <t xml:space="preserve">T.3.1 TEUI Reference (Performance Gap) </t>
  </si>
  <si>
    <t>T.3.3 Actual</t>
  </si>
  <si>
    <r>
      <t xml:space="preserve">T.8.1 TEUI Energy </t>
    </r>
    <r>
      <rPr>
        <i/>
        <sz val="16"/>
        <color rgb="FF000000"/>
        <rFont val="Arial"/>
        <family val="2"/>
      </rPr>
      <t>Reduction from Reference</t>
    </r>
  </si>
  <si>
    <r>
      <t xml:space="preserve">T.9.1 GHGe </t>
    </r>
    <r>
      <rPr>
        <i/>
        <sz val="16"/>
        <color rgb="FF000000"/>
        <rFont val="Arial"/>
        <family val="2"/>
      </rPr>
      <t>Reduction from Reference</t>
    </r>
  </si>
  <si>
    <t>T.8.2 Target</t>
  </si>
  <si>
    <r>
      <t xml:space="preserve">T.4.4 CED Cooling Load </t>
    </r>
    <r>
      <rPr>
        <i/>
        <sz val="16"/>
        <color theme="1"/>
        <rFont val="Arial"/>
        <family val="2"/>
      </rPr>
      <t>Unmintigated</t>
    </r>
  </si>
  <si>
    <r>
      <t xml:space="preserve">T.4.5 CEDI </t>
    </r>
    <r>
      <rPr>
        <i/>
        <sz val="16"/>
        <color theme="1"/>
        <rFont val="Arial"/>
        <family val="2"/>
      </rPr>
      <t>Unmitigated</t>
    </r>
  </si>
  <si>
    <r>
      <t>W/m</t>
    </r>
    <r>
      <rPr>
        <vertAlign val="superscript"/>
        <sz val="16"/>
        <color theme="1"/>
        <rFont val="Arial"/>
        <family val="2"/>
      </rPr>
      <t>2</t>
    </r>
    <r>
      <rPr>
        <i/>
        <sz val="16"/>
        <color theme="1"/>
        <rFont val="Arial"/>
        <family val="2"/>
      </rPr>
      <t>Unmitigated</t>
    </r>
  </si>
  <si>
    <r>
      <t xml:space="preserve">T.4.7 CEDI </t>
    </r>
    <r>
      <rPr>
        <i/>
        <sz val="16"/>
        <color theme="1"/>
        <rFont val="Arial"/>
        <family val="2"/>
      </rPr>
      <t>Mitigated</t>
    </r>
  </si>
  <si>
    <r>
      <t>W/m</t>
    </r>
    <r>
      <rPr>
        <vertAlign val="superscript"/>
        <sz val="16"/>
        <color theme="1"/>
        <rFont val="Arial"/>
        <family val="2"/>
      </rPr>
      <t>2</t>
    </r>
    <r>
      <rPr>
        <sz val="16"/>
        <color theme="1"/>
        <rFont val="Arial"/>
        <family val="2"/>
      </rPr>
      <t xml:space="preserve"> </t>
    </r>
    <r>
      <rPr>
        <i/>
        <sz val="16"/>
        <color theme="1"/>
        <rFont val="Arial"/>
        <family val="2"/>
      </rPr>
      <t>Mitigated</t>
    </r>
  </si>
  <si>
    <t>T.7.5 ROI</t>
  </si>
  <si>
    <t>V.4.2 Free Cooling Limit</t>
  </si>
  <si>
    <t>V.1.5 Summer Boost Rate</t>
  </si>
  <si>
    <t xml:space="preserve">M.1.0 Primary Heating System </t>
  </si>
  <si>
    <t>M.1.1 HSPF</t>
  </si>
  <si>
    <t>M.1.2 COPheat</t>
  </si>
  <si>
    <t>M.1.3 COPcool</t>
  </si>
  <si>
    <t>M.2.2 Heating System Gas Impact (ekWh/yr)</t>
  </si>
  <si>
    <t>M.1.4 Sink</t>
  </si>
  <si>
    <t>M.3.4  Sink</t>
  </si>
  <si>
    <t>M.1.5. CEER</t>
  </si>
  <si>
    <t>M.1.6  Sink</t>
  </si>
  <si>
    <t>M.2.3 Gas m3/yr</t>
  </si>
  <si>
    <t>100% (Baseline)</t>
  </si>
  <si>
    <t>V.2.2 Heating Season Ventil. Energy Recovered</t>
  </si>
  <si>
    <t>V.2.3 Net Heating Season Ventilation Lost</t>
  </si>
  <si>
    <t>M.2.4 AFUE</t>
  </si>
  <si>
    <t>M.2.5 Gas Exhaust</t>
  </si>
  <si>
    <t>M.3.0 Heatpump or Dedicated Cooling System</t>
  </si>
  <si>
    <t>M.3.3 COPcool ONLY when Dedicated Cooling</t>
  </si>
  <si>
    <t>M.3.5 Heatpump Cool Elect. Load</t>
  </si>
  <si>
    <t>M.3.6 CEER</t>
  </si>
  <si>
    <t>W.1.0 Total Water Use (Method)</t>
  </si>
  <si>
    <t>mixed</t>
  </si>
  <si>
    <t>E.3.2 Typology-Based Cap (TGS4)</t>
  </si>
  <si>
    <t>Thermal Energy Demand kWh/yr</t>
  </si>
  <si>
    <t>HDD18</t>
  </si>
  <si>
    <t>HDD15</t>
  </si>
  <si>
    <t>CDD24</t>
  </si>
  <si>
    <t>Future</t>
  </si>
  <si>
    <r>
      <t xml:space="preserve">2021-2050 Days
Over 30°C
GREEN = USER MUST DEFINE </t>
    </r>
    <r>
      <rPr>
        <b/>
        <sz val="12"/>
        <color rgb="FF0096FF"/>
        <rFont val="Arial"/>
        <family val="2"/>
      </rPr>
      <t>BLUE=REF VALID</t>
    </r>
  </si>
  <si>
    <r>
      <t xml:space="preserve">1991-2020 Extreme Max  °C
GREEN = USER MUST DEFINE </t>
    </r>
    <r>
      <rPr>
        <b/>
        <sz val="12"/>
        <color rgb="FF0096FF"/>
        <rFont val="Arial"/>
        <family val="2"/>
      </rPr>
      <t>BLUE=REF VALID</t>
    </r>
  </si>
  <si>
    <r>
      <rPr>
        <b/>
        <sz val="12"/>
        <color theme="1"/>
        <rFont val="Arial"/>
        <family val="2"/>
      </rPr>
      <t>PRESENT CDD 2021 Degree-Days Above 24°C</t>
    </r>
    <r>
      <rPr>
        <b/>
        <sz val="12"/>
        <color rgb="FF00B050"/>
        <rFont val="Arial"/>
        <family val="2"/>
      </rPr>
      <t xml:space="preserve">
</t>
    </r>
    <r>
      <rPr>
        <b/>
        <sz val="12"/>
        <color rgb="FF0432FF"/>
        <rFont val="Arial"/>
        <family val="2"/>
      </rPr>
      <t>DK. BLUE = USER MUST DEFINE</t>
    </r>
    <r>
      <rPr>
        <b/>
        <sz val="12"/>
        <color rgb="FF00B050"/>
        <rFont val="Arial"/>
        <family val="2"/>
      </rPr>
      <t xml:space="preserve"> </t>
    </r>
    <r>
      <rPr>
        <b/>
        <sz val="12"/>
        <color rgb="FF0096FF"/>
        <rFont val="Arial"/>
        <family val="2"/>
      </rPr>
      <t>BLUE=REF VALID</t>
    </r>
  </si>
  <si>
    <r>
      <rPr>
        <b/>
        <sz val="12"/>
        <color theme="1"/>
        <rFont val="Arial"/>
        <family val="2"/>
      </rPr>
      <t>FUTURE CDD 2021-2050 EnsMean Degree-Days Above 24°C</t>
    </r>
    <r>
      <rPr>
        <b/>
        <sz val="12"/>
        <color rgb="FF00B050"/>
        <rFont val="Arial"/>
        <family val="2"/>
      </rPr>
      <t xml:space="preserve">
</t>
    </r>
    <r>
      <rPr>
        <b/>
        <sz val="12"/>
        <color rgb="FF0432FF"/>
        <rFont val="Arial"/>
        <family val="2"/>
      </rPr>
      <t>DK. BLUE = USER MUST DEFINE</t>
    </r>
    <r>
      <rPr>
        <b/>
        <sz val="12"/>
        <color rgb="FF00B050"/>
        <rFont val="Arial"/>
        <family val="2"/>
      </rPr>
      <t xml:space="preserve"> </t>
    </r>
    <r>
      <rPr>
        <b/>
        <sz val="12"/>
        <color rgb="FF0096FF"/>
        <rFont val="Arial"/>
        <family val="2"/>
      </rPr>
      <t>BLUE=REF VALID</t>
    </r>
  </si>
  <si>
    <t>NASA Power Model</t>
  </si>
  <si>
    <t>NASA Monthly HDD</t>
  </si>
  <si>
    <t>Toronto (Downtown) Reference</t>
  </si>
  <si>
    <t>W.6.1 System Losses (% → W.1.3 Eqpt Gains)</t>
  </si>
  <si>
    <t>W.5.2 (W2DN) Net Demand (- Recovered Energy)</t>
  </si>
  <si>
    <r>
      <rPr>
        <sz val="16"/>
        <color rgb="FF0432FF"/>
        <rFont val="Arial Black"/>
        <family val="2"/>
      </rPr>
      <t>PROJECT NOTES:</t>
    </r>
    <r>
      <rPr>
        <sz val="16"/>
        <color rgb="FF0432FF"/>
        <rFont val="Arial"/>
        <family val="2"/>
      </rPr>
      <t xml:space="preserve"> 3.035 Bug w. PH Low Energy IndexMatch (only that option, the rest work) - possibly because last in row, or because of something else - changes in REPORT sheet changes REFERENCE sheet - where these two should be independent. 15 Sections, 85 Inputs, 48 Dropdowns, 488 Formulae, &gt;10,000 dependencies</t>
    </r>
  </si>
  <si>
    <t>Future: Connect to Occupancy</t>
  </si>
  <si>
    <t>Your Company Name, Inc.</t>
  </si>
  <si>
    <t>XXXX</t>
  </si>
  <si>
    <t>Your Project Name</t>
  </si>
  <si>
    <t>JavaScript Notation</t>
  </si>
  <si>
    <t>Elevation_ASL</t>
  </si>
  <si>
    <t>January_1</t>
  </si>
  <si>
    <t>HDD18_2021_2050</t>
  </si>
  <si>
    <t>CDD24_2021_2050</t>
  </si>
  <si>
    <t>Over_30Tdb_2021_2050</t>
  </si>
  <si>
    <t>Extreme_Hot_Tdb_1991_2020</t>
  </si>
  <si>
    <t>Rain_15_min_mm</t>
  </si>
  <si>
    <t>Rain_15_min_mm_New</t>
  </si>
  <si>
    <t>Rain_1_day_1/50mm</t>
  </si>
  <si>
    <t>Rain_1_day_1/50mm_New</t>
  </si>
  <si>
    <t>Rain_Annual_mm</t>
  </si>
  <si>
    <t>Rain_Annual_mm_New</t>
  </si>
  <si>
    <t>Moisture_Index_New</t>
  </si>
  <si>
    <t>Precip_Annual_mm</t>
  </si>
  <si>
    <t>Precip_Annual_mm_New</t>
  </si>
  <si>
    <t>Driving_Rain_Wind_Pa_1/5</t>
  </si>
  <si>
    <t>Driving_Rain_Wind_Pa_1/5_New</t>
  </si>
  <si>
    <t>Snow_kPa_1/50_Ss</t>
  </si>
  <si>
    <t>Snow_kPa_1/50_Sr</t>
  </si>
  <si>
    <t>Snow_kPa_1/1000_Ss</t>
  </si>
  <si>
    <t>Snow_kPa_1/1000_Sr</t>
  </si>
  <si>
    <t>Wind_Hourly_kPa_1/10</t>
  </si>
  <si>
    <t>Wind_Hourly_kPa_1/10_New</t>
  </si>
  <si>
    <t>Wind_Hourly_kPa_1/50</t>
  </si>
  <si>
    <t>Wind_Hourly_kPa_1/50_New</t>
  </si>
  <si>
    <t>Wind_Hourly_kPa_1/500_New</t>
  </si>
  <si>
    <t>Winter_Tdb_Avg</t>
  </si>
  <si>
    <t>Winter_Windspeed_Avg</t>
  </si>
  <si>
    <t>Summer_Tdb_Avg</t>
  </si>
  <si>
    <t>Summer_Twb_Avg</t>
  </si>
  <si>
    <t>Summer_RH_1500_LST</t>
  </si>
  <si>
    <t>User is Responsible to enter value based on occupancy type and ventilation required</t>
  </si>
  <si>
    <t>2025.04.02</t>
  </si>
  <si>
    <t>Future_July_2_5_Tdb</t>
  </si>
  <si>
    <t>Future_July_2_5_Twb</t>
  </si>
  <si>
    <t>July_2_5_Twb</t>
  </si>
  <si>
    <t>July_2_5_Tdb</t>
  </si>
  <si>
    <t>January_2_5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</si>
</sst>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_(&quot;$&quot;* \(#,##0.00\);_(&quot;$&quot;* &quot;-&quot;??_);_(@_)"/>
    <numFmt numFmtId="43" formatCode="_(* #,##0.00_);_(* \(#,##0.00\);_(* &quot;-&quot;??_);_(@_)"/>
    <numFmt numFmtId="164" formatCode="&quot;$&quot;#,##0.00;&quot;$&quot;#,##0.00"/>
    <numFmt numFmtId="165" formatCode="#,##0%"/>
    <numFmt numFmtId="166" formatCode="_(* #,##0_);_(* \(#,##0\);_(* &quot;-&quot;??_);_(@_)"/>
    <numFmt numFmtId="167" formatCode="0.000"/>
    <numFmt numFmtId="168" formatCode="0.0%"/>
    <numFmt numFmtId="169" formatCode="0.0"/>
    <numFmt numFmtId="170" formatCode="&quot;$&quot;#,##0.00"/>
    <numFmt numFmtId="171" formatCode="0.0000"/>
    <numFmt numFmtId="172" formatCode="0.000000000"/>
    <numFmt numFmtId="173" formatCode="#,##0.0"/>
    <numFmt numFmtId="174" formatCode="#,##0.0000"/>
    <numFmt numFmtId="175" formatCode="#,##0.00000"/>
    <numFmt numFmtId="176" formatCode="_-* #,##0_-;\-* #,##0_-;_-* &quot;-&quot;??_-;_-@_-"/>
    <numFmt numFmtId="177" formatCode="_(* #,##0.0_);_(* \(#,##0.0\);_(* &quot;-&quot;??_);_(@_)"/>
    <numFmt numFmtId="178" formatCode="#,##0.000"/>
    <numFmt numFmtId="179" formatCode="0.00000"/>
    <numFmt numFmtId="180" formatCode="&quot;/ &quot;0"/>
    <numFmt numFmtId="181" formatCode="&quot;$&quot;#,##0.0000"/>
    <numFmt numFmtId="182" formatCode="&quot;$&quot;#,##0.000"/>
  </numFmts>
  <fonts count="246">
    <font>
      <sz val="8"/>
      <color indexed="8"/>
      <name val="Helvetica Neue Light"/>
    </font>
    <font>
      <sz val="12"/>
      <color theme="1"/>
      <name val="Helvetica"/>
      <family val="2"/>
      <scheme val="minor"/>
    </font>
    <font>
      <sz val="12"/>
      <color theme="1"/>
      <name val="Helvetica"/>
      <family val="2"/>
      <scheme val="minor"/>
    </font>
    <font>
      <sz val="12"/>
      <color theme="1"/>
      <name val="Helvetica"/>
      <family val="2"/>
      <scheme val="minor"/>
    </font>
    <font>
      <sz val="30"/>
      <color indexed="8"/>
      <name val="Arial Black"/>
      <family val="2"/>
    </font>
    <font>
      <sz val="43"/>
      <color indexed="8"/>
      <name val="Arial Black"/>
      <family val="2"/>
    </font>
    <font>
      <sz val="16"/>
      <color indexed="8"/>
      <name val="Arial"/>
      <family val="2"/>
    </font>
    <font>
      <sz val="25"/>
      <color indexed="8"/>
      <name val="Arial Black"/>
      <family val="2"/>
    </font>
    <font>
      <b/>
      <sz val="16"/>
      <color indexed="9"/>
      <name val="Arial"/>
      <family val="2"/>
    </font>
    <font>
      <sz val="20"/>
      <color indexed="8"/>
      <name val="Arial Black"/>
      <family val="2"/>
    </font>
    <font>
      <sz val="12"/>
      <color indexed="8"/>
      <name val="Arial"/>
      <family val="2"/>
    </font>
    <font>
      <sz val="12"/>
      <color indexed="8"/>
      <name val="Arial Black"/>
      <family val="2"/>
    </font>
    <font>
      <sz val="40"/>
      <color indexed="8"/>
      <name val="Arial Black"/>
      <family val="2"/>
    </font>
    <font>
      <sz val="50"/>
      <color indexed="8"/>
      <name val="Arial Black"/>
      <family val="2"/>
    </font>
    <font>
      <sz val="16"/>
      <color indexed="8"/>
      <name val="Arial Black"/>
      <family val="2"/>
    </font>
    <font>
      <b/>
      <sz val="16"/>
      <color indexed="8"/>
      <name val="Arial"/>
      <family val="2"/>
    </font>
    <font>
      <vertAlign val="superscript"/>
      <sz val="16"/>
      <color indexed="8"/>
      <name val="Arial"/>
      <family val="2"/>
    </font>
    <font>
      <sz val="14"/>
      <color indexed="8"/>
      <name val="Arial Black"/>
      <family val="2"/>
    </font>
    <font>
      <sz val="13"/>
      <color indexed="8"/>
      <name val="Arial"/>
      <family val="2"/>
    </font>
    <font>
      <sz val="20"/>
      <color indexed="8"/>
      <name val="Helvetica Neue Light"/>
    </font>
    <font>
      <sz val="12"/>
      <color indexed="8"/>
      <name val="Arial"/>
      <family val="2"/>
    </font>
    <font>
      <sz val="16"/>
      <color indexed="8"/>
      <name val="Arial"/>
      <family val="2"/>
    </font>
    <font>
      <sz val="16"/>
      <color theme="1"/>
      <name val="Arial"/>
      <family val="2"/>
    </font>
    <font>
      <b/>
      <sz val="16"/>
      <color indexed="8"/>
      <name val="Arial"/>
      <family val="2"/>
    </font>
    <font>
      <sz val="20"/>
      <color indexed="8"/>
      <name val="Arial Black"/>
      <family val="2"/>
    </font>
    <font>
      <sz val="12"/>
      <color indexed="8"/>
      <name val="Helvetica Neue Light"/>
    </font>
    <font>
      <b/>
      <sz val="12"/>
      <color indexed="9"/>
      <name val="Arial"/>
      <family val="2"/>
    </font>
    <font>
      <b/>
      <sz val="18"/>
      <color rgb="FF000000"/>
      <name val="Tahoma"/>
      <family val="2"/>
    </font>
    <font>
      <sz val="18"/>
      <color rgb="FF000000"/>
      <name val="Tahoma"/>
      <family val="2"/>
    </font>
    <font>
      <sz val="12"/>
      <color indexed="8"/>
      <name val="Helvetica Neue"/>
      <family val="2"/>
    </font>
    <font>
      <b/>
      <sz val="12"/>
      <color indexed="10"/>
      <name val="Helvetica Neue"/>
      <family val="2"/>
    </font>
    <font>
      <b/>
      <sz val="12"/>
      <color indexed="11"/>
      <name val="Helvetica Neue"/>
      <family val="2"/>
    </font>
    <font>
      <i/>
      <sz val="12"/>
      <color rgb="FF000000"/>
      <name val="Helvetica Neue"/>
      <family val="2"/>
    </font>
    <font>
      <b/>
      <sz val="12"/>
      <color rgb="FFFF0000"/>
      <name val="Helvetica Neue"/>
      <family val="2"/>
    </font>
    <font>
      <b/>
      <sz val="12"/>
      <color indexed="8"/>
      <name val="Helvetica Neue"/>
      <family val="2"/>
    </font>
    <font>
      <sz val="8"/>
      <color indexed="8"/>
      <name val="Helvetica Neue Light"/>
    </font>
    <font>
      <b/>
      <sz val="16"/>
      <color theme="1"/>
      <name val="Arial"/>
      <family val="2"/>
    </font>
    <font>
      <u/>
      <sz val="8"/>
      <color theme="10"/>
      <name val="Helvetica Neue Light"/>
    </font>
    <font>
      <i/>
      <sz val="16"/>
      <color theme="1"/>
      <name val="Arial"/>
      <family val="2"/>
    </font>
    <font>
      <i/>
      <sz val="16"/>
      <color indexed="8"/>
      <name val="Arial"/>
      <family val="2"/>
    </font>
    <font>
      <b/>
      <sz val="12"/>
      <color rgb="FFFF0000"/>
      <name val="Arial"/>
      <family val="2"/>
    </font>
    <font>
      <b/>
      <sz val="16"/>
      <color rgb="FF0432FF"/>
      <name val="Arial"/>
      <family val="2"/>
    </font>
    <font>
      <sz val="16"/>
      <name val="Arial"/>
      <family val="2"/>
    </font>
    <font>
      <b/>
      <sz val="16"/>
      <color rgb="FFFF0000"/>
      <name val="Arial"/>
      <family val="2"/>
    </font>
    <font>
      <sz val="8"/>
      <color indexed="8"/>
      <name val="Arial"/>
      <family val="2"/>
    </font>
    <font>
      <sz val="16"/>
      <color rgb="FF00B050"/>
      <name val="Arial"/>
      <family val="2"/>
    </font>
    <font>
      <b/>
      <sz val="16"/>
      <color indexed="10"/>
      <name val="Arial"/>
      <family val="2"/>
    </font>
    <font>
      <b/>
      <sz val="16"/>
      <color rgb="FF000000"/>
      <name val="Arial"/>
      <family val="2"/>
    </font>
    <font>
      <vertAlign val="superscript"/>
      <sz val="16"/>
      <color rgb="FF000000"/>
      <name val="Arial"/>
      <family val="2"/>
    </font>
    <font>
      <vertAlign val="superscript"/>
      <sz val="12"/>
      <color rgb="FF000000"/>
      <name val="Arial Black"/>
      <family val="2"/>
    </font>
    <font>
      <sz val="16"/>
      <color rgb="FF0432FF"/>
      <name val="Arial Black"/>
      <family val="2"/>
    </font>
    <font>
      <vertAlign val="subscript"/>
      <sz val="16"/>
      <color theme="1"/>
      <name val="Arial"/>
      <family val="2"/>
    </font>
    <font>
      <b/>
      <sz val="18"/>
      <color theme="1"/>
      <name val="Helvetica"/>
      <family val="2"/>
      <scheme val="minor"/>
    </font>
    <font>
      <sz val="12"/>
      <color rgb="FF00B050"/>
      <name val="Helvetica"/>
      <family val="2"/>
      <scheme val="minor"/>
    </font>
    <font>
      <sz val="12"/>
      <color rgb="FF7030A0"/>
      <name val="Helvetica"/>
      <family val="2"/>
      <scheme val="minor"/>
    </font>
    <font>
      <sz val="12"/>
      <color rgb="FF0070C0"/>
      <name val="Helvetica"/>
      <family val="2"/>
      <scheme val="minor"/>
    </font>
    <font>
      <sz val="12"/>
      <color theme="5" tint="-0.249977111117893"/>
      <name val="Helvetica"/>
      <family val="2"/>
      <scheme val="minor"/>
    </font>
    <font>
      <sz val="12"/>
      <color theme="1"/>
      <name val="Helvetica"/>
      <family val="2"/>
    </font>
    <font>
      <sz val="12"/>
      <color rgb="FF00B050"/>
      <name val="Helvetica"/>
      <family val="2"/>
    </font>
    <font>
      <sz val="16"/>
      <color rgb="FFC00000"/>
      <name val="Arial"/>
      <family val="2"/>
    </font>
    <font>
      <i/>
      <sz val="12"/>
      <color indexed="8"/>
      <name val="Arial"/>
      <family val="2"/>
    </font>
    <font>
      <sz val="16"/>
      <color rgb="FF0096FF"/>
      <name val="Arial"/>
      <family val="2"/>
    </font>
    <font>
      <sz val="16"/>
      <color rgb="FF945200"/>
      <name val="Arial"/>
      <family val="2"/>
    </font>
    <font>
      <b/>
      <sz val="16"/>
      <color rgb="FFC00000"/>
      <name val="Arial"/>
      <family val="2"/>
    </font>
    <font>
      <sz val="8"/>
      <color rgb="FF92D050"/>
      <name val="Helvetica Neue Light"/>
    </font>
    <font>
      <sz val="8"/>
      <color theme="1"/>
      <name val="Helvetica Neue Light"/>
    </font>
    <font>
      <sz val="16"/>
      <color rgb="FF000000"/>
      <name val="Arial"/>
      <family val="2"/>
    </font>
    <font>
      <i/>
      <sz val="16"/>
      <color rgb="FF000000"/>
      <name val="Arial"/>
      <family val="2"/>
    </font>
    <font>
      <b/>
      <vertAlign val="subscript"/>
      <sz val="16"/>
      <color rgb="FF000000"/>
      <name val="Arial"/>
      <family val="2"/>
    </font>
    <font>
      <b/>
      <sz val="14"/>
      <color indexed="8"/>
      <name val="Arial Black"/>
      <family val="2"/>
    </font>
    <font>
      <i/>
      <sz val="12"/>
      <color theme="1"/>
      <name val="Arial"/>
      <family val="2"/>
    </font>
    <font>
      <sz val="14"/>
      <color rgb="FF000000"/>
      <name val="Arial"/>
      <family val="2"/>
    </font>
    <font>
      <vertAlign val="superscript"/>
      <sz val="14"/>
      <color rgb="FF000000"/>
      <name val="Arial"/>
      <family val="2"/>
    </font>
    <font>
      <i/>
      <sz val="12"/>
      <color rgb="FFFF0000"/>
      <name val="Arial"/>
      <family val="2"/>
    </font>
    <font>
      <vertAlign val="superscript"/>
      <sz val="16"/>
      <color theme="1"/>
      <name val="Arial"/>
      <family val="2"/>
    </font>
    <font>
      <b/>
      <sz val="40"/>
      <color indexed="8"/>
      <name val="Arial Black"/>
      <family val="2"/>
    </font>
    <font>
      <b/>
      <i/>
      <sz val="12"/>
      <color rgb="FF000000"/>
      <name val="Arial"/>
      <family val="2"/>
    </font>
    <font>
      <b/>
      <sz val="8"/>
      <color indexed="8"/>
      <name val="Helvetica Neue Light"/>
    </font>
    <font>
      <b/>
      <i/>
      <sz val="16"/>
      <color rgb="FF000000"/>
      <name val="Arial"/>
      <family val="2"/>
    </font>
    <font>
      <sz val="14"/>
      <color rgb="FF0096FF"/>
      <name val="Arial Black"/>
      <family val="2"/>
    </font>
    <font>
      <sz val="14"/>
      <color theme="1"/>
      <name val="Arial Black"/>
      <family val="2"/>
    </font>
    <font>
      <sz val="14"/>
      <color rgb="FF945200"/>
      <name val="Arial Black"/>
      <family val="2"/>
    </font>
    <font>
      <b/>
      <sz val="8"/>
      <color rgb="FF0432FF"/>
      <name val="Helvetica Neue Light"/>
    </font>
    <font>
      <b/>
      <sz val="12"/>
      <color theme="1"/>
      <name val="Arial"/>
      <family val="2"/>
    </font>
    <font>
      <b/>
      <sz val="16"/>
      <color rgb="FF00B050"/>
      <name val="Arial"/>
      <family val="2"/>
    </font>
    <font>
      <u/>
      <sz val="8"/>
      <color theme="10"/>
      <name val="Arial"/>
      <family val="2"/>
    </font>
    <font>
      <b/>
      <sz val="8"/>
      <color rgb="FF000000"/>
      <name val="Arial"/>
      <family val="2"/>
    </font>
    <font>
      <b/>
      <i/>
      <sz val="8"/>
      <color rgb="FF000000"/>
      <name val="Arial"/>
      <family val="2"/>
    </font>
    <font>
      <sz val="8"/>
      <color rgb="FF000000"/>
      <name val="Arial"/>
      <family val="2"/>
    </font>
    <font>
      <sz val="16"/>
      <color theme="0"/>
      <name val="Arial"/>
      <family val="2"/>
    </font>
    <font>
      <sz val="12"/>
      <color theme="1"/>
      <name val="Arial"/>
      <family val="2"/>
    </font>
    <font>
      <b/>
      <sz val="12"/>
      <color theme="1"/>
      <name val="Helvetica Neue"/>
      <family val="2"/>
    </font>
    <font>
      <sz val="8"/>
      <color rgb="FFFF0000"/>
      <name val="Helvetica Neue Light"/>
    </font>
    <font>
      <sz val="14"/>
      <color indexed="8"/>
      <name val="Helvetica Neue Light"/>
    </font>
    <font>
      <sz val="14"/>
      <color rgb="FF000000"/>
      <name val="Helvetica Neue Light"/>
    </font>
    <font>
      <sz val="16"/>
      <color rgb="FF0432FF"/>
      <name val="Arial"/>
      <family val="2"/>
    </font>
    <font>
      <b/>
      <sz val="10"/>
      <color rgb="FF000000"/>
      <name val="Arial"/>
      <family val="2"/>
    </font>
    <font>
      <sz val="12"/>
      <name val="Arial"/>
      <family val="2"/>
    </font>
    <font>
      <i/>
      <sz val="12"/>
      <color rgb="FF333333"/>
      <name val="Times New Roman"/>
      <family val="1"/>
    </font>
    <font>
      <sz val="12"/>
      <color rgb="FF333333"/>
      <name val="Arial"/>
      <family val="2"/>
    </font>
    <font>
      <i/>
      <sz val="12"/>
      <color rgb="FF333333"/>
      <name val="Arial"/>
      <family val="2"/>
    </font>
    <font>
      <b/>
      <sz val="12"/>
      <color indexed="8"/>
      <name val="Arial"/>
      <family val="2"/>
    </font>
    <font>
      <sz val="22"/>
      <color indexed="8"/>
      <name val="Arial Black"/>
      <family val="2"/>
    </font>
    <font>
      <sz val="8"/>
      <color rgb="FF000000"/>
      <name val="Helvetica Neue Light"/>
    </font>
    <font>
      <sz val="16"/>
      <color theme="0"/>
      <name val="Arial Black"/>
      <family val="2"/>
    </font>
    <font>
      <sz val="8"/>
      <color theme="0"/>
      <name val="Helvetica Neue Light"/>
    </font>
    <font>
      <b/>
      <sz val="16"/>
      <color theme="0"/>
      <name val="Arial Black"/>
      <family val="2"/>
    </font>
    <font>
      <b/>
      <i/>
      <sz val="16"/>
      <color theme="0"/>
      <name val="Arial Black"/>
      <family val="2"/>
    </font>
    <font>
      <b/>
      <sz val="16"/>
      <color theme="0"/>
      <name val="Arial"/>
      <family val="2"/>
    </font>
    <font>
      <i/>
      <sz val="16"/>
      <color theme="0"/>
      <name val="Arial Black"/>
      <family val="2"/>
    </font>
    <font>
      <b/>
      <sz val="16"/>
      <color rgb="FF032FF1"/>
      <name val="Arial"/>
      <family val="2"/>
    </font>
    <font>
      <b/>
      <sz val="14"/>
      <color rgb="FF0096FF"/>
      <name val="Arial"/>
      <family val="2"/>
    </font>
    <font>
      <sz val="14"/>
      <color indexed="8"/>
      <name val="Arial"/>
      <family val="2"/>
    </font>
    <font>
      <i/>
      <sz val="14"/>
      <color rgb="FF000000"/>
      <name val="Arial"/>
      <family val="2"/>
    </font>
    <font>
      <b/>
      <sz val="14"/>
      <color rgb="FFFF0000"/>
      <name val="Arial"/>
      <family val="2"/>
    </font>
    <font>
      <b/>
      <sz val="14"/>
      <color rgb="FF000000"/>
      <name val="Arial"/>
      <family val="2"/>
    </font>
    <font>
      <b/>
      <sz val="14"/>
      <color theme="9" tint="-0.249977111117893"/>
      <name val="Arial"/>
      <family val="2"/>
    </font>
    <font>
      <b/>
      <u/>
      <sz val="14"/>
      <color indexed="8"/>
      <name val="Arial"/>
      <family val="2"/>
    </font>
    <font>
      <b/>
      <sz val="14"/>
      <color indexed="8"/>
      <name val="Arial"/>
      <family val="2"/>
    </font>
    <font>
      <b/>
      <sz val="14"/>
      <color rgb="FF00B050"/>
      <name val="Arial"/>
      <family val="2"/>
    </font>
    <font>
      <b/>
      <sz val="14"/>
      <color rgb="FF0432FF"/>
      <name val="Arial"/>
      <family val="2"/>
    </font>
    <font>
      <sz val="14"/>
      <color rgb="FFFF0000"/>
      <name val="Arial"/>
      <family val="2"/>
    </font>
    <font>
      <i/>
      <sz val="14"/>
      <color indexed="8"/>
      <name val="Arial"/>
      <family val="2"/>
    </font>
    <font>
      <b/>
      <sz val="14"/>
      <color theme="1"/>
      <name val="Arial"/>
      <family val="2"/>
    </font>
    <font>
      <b/>
      <sz val="12"/>
      <color theme="1"/>
      <name val="Helvetica"/>
      <family val="2"/>
      <scheme val="minor"/>
    </font>
    <font>
      <i/>
      <sz val="12"/>
      <color rgb="FF000000"/>
      <name val="Arial"/>
      <family val="2"/>
    </font>
    <font>
      <b/>
      <sz val="8"/>
      <color rgb="FF000000"/>
      <name val="Helvetica Neue Light"/>
    </font>
    <font>
      <b/>
      <sz val="8"/>
      <color indexed="8"/>
      <name val="Arial"/>
      <family val="2"/>
    </font>
    <font>
      <b/>
      <sz val="13.5"/>
      <color rgb="FF000000"/>
      <name val="Helvetica Neue Light"/>
    </font>
    <font>
      <sz val="12"/>
      <color rgb="FF0432FF"/>
      <name val="Helvetica"/>
      <family val="2"/>
      <scheme val="minor"/>
    </font>
    <font>
      <b/>
      <sz val="10"/>
      <color rgb="FF000000"/>
      <name val="Helvetica Neue Light"/>
    </font>
    <font>
      <b/>
      <sz val="10"/>
      <color indexed="8"/>
      <name val="Helvetica Neue Light"/>
    </font>
    <font>
      <b/>
      <sz val="14"/>
      <color theme="0"/>
      <name val="Arial Black"/>
      <family val="2"/>
    </font>
    <font>
      <sz val="14"/>
      <color theme="0"/>
      <name val="Arial"/>
      <family val="2"/>
    </font>
    <font>
      <sz val="16"/>
      <color theme="1"/>
      <name val="Arial Black"/>
      <family val="2"/>
    </font>
    <font>
      <sz val="14"/>
      <color theme="0"/>
      <name val="Arial Black"/>
      <family val="2"/>
    </font>
    <font>
      <b/>
      <sz val="12"/>
      <color theme="0"/>
      <name val="Arial"/>
      <family val="2"/>
    </font>
    <font>
      <sz val="12"/>
      <color theme="0"/>
      <name val="Arial"/>
      <family val="2"/>
    </font>
    <font>
      <b/>
      <sz val="11"/>
      <color rgb="FF000000"/>
      <name val="Helvetica Neue Light"/>
    </font>
    <font>
      <sz val="11"/>
      <color indexed="8"/>
      <name val="Helvetica Neue Light"/>
    </font>
    <font>
      <b/>
      <sz val="11"/>
      <color indexed="8"/>
      <name val="Helvetica Neue Light"/>
    </font>
    <font>
      <b/>
      <sz val="11"/>
      <color theme="1"/>
      <name val="Helvetica Neue Light"/>
    </font>
    <font>
      <sz val="22"/>
      <color theme="10"/>
      <name val="Arial"/>
      <family val="2"/>
    </font>
    <font>
      <sz val="9"/>
      <color indexed="8"/>
      <name val="Arial"/>
      <family val="2"/>
    </font>
    <font>
      <i/>
      <sz val="16"/>
      <color rgb="FFC00000"/>
      <name val="Arial"/>
      <family val="2"/>
    </font>
    <font>
      <sz val="18"/>
      <color rgb="FF000000"/>
      <name val="Arial Black"/>
      <family val="2"/>
    </font>
    <font>
      <b/>
      <u/>
      <sz val="20"/>
      <color indexed="8"/>
      <name val="Arial"/>
      <family val="2"/>
    </font>
    <font>
      <b/>
      <sz val="12"/>
      <color rgb="FF000000"/>
      <name val="Arial"/>
      <family val="2"/>
    </font>
    <font>
      <sz val="12"/>
      <color rgb="FF000000"/>
      <name val="Arial"/>
      <family val="2"/>
    </font>
    <font>
      <b/>
      <sz val="20"/>
      <color indexed="8"/>
      <name val="Arial Black"/>
      <family val="2"/>
    </font>
    <font>
      <sz val="10"/>
      <color indexed="8"/>
      <name val="Helvetica Neue"/>
      <family val="2"/>
    </font>
    <font>
      <b/>
      <sz val="12"/>
      <color rgb="FF00B050"/>
      <name val="Arial"/>
      <family val="2"/>
    </font>
    <font>
      <sz val="12"/>
      <color rgb="FF00B050"/>
      <name val="Arial"/>
      <family val="2"/>
    </font>
    <font>
      <b/>
      <sz val="14"/>
      <color theme="0"/>
      <name val="Arial"/>
      <family val="2"/>
    </font>
    <font>
      <sz val="12"/>
      <color rgb="FF0096FF"/>
      <name val="Arial"/>
      <family val="2"/>
    </font>
    <font>
      <b/>
      <sz val="12"/>
      <color rgb="FF0096FF"/>
      <name val="Arial"/>
      <family val="2"/>
    </font>
    <font>
      <b/>
      <sz val="12"/>
      <color rgb="FF0432FF"/>
      <name val="Arial"/>
      <family val="2"/>
    </font>
    <font>
      <sz val="12"/>
      <color rgb="FF0432FF"/>
      <name val="Arial"/>
      <family val="2"/>
    </font>
    <font>
      <sz val="14"/>
      <color theme="1"/>
      <name val="Arial"/>
      <family val="2"/>
    </font>
    <font>
      <i/>
      <sz val="14"/>
      <color rgb="FFFF0000"/>
      <name val="Arial"/>
      <family val="2"/>
    </font>
    <font>
      <b/>
      <sz val="20"/>
      <color rgb="FF000000"/>
      <name val="Arial"/>
      <family val="2"/>
    </font>
    <font>
      <sz val="20"/>
      <color rgb="FF000000"/>
      <name val="Arial"/>
      <family val="2"/>
    </font>
    <font>
      <sz val="16"/>
      <color indexed="8"/>
      <name val="Helvetica Neue Light"/>
    </font>
    <font>
      <b/>
      <sz val="16"/>
      <color rgb="FF0096FF"/>
      <name val="Arial"/>
      <family val="2"/>
    </font>
    <font>
      <sz val="28"/>
      <color indexed="8"/>
      <name val="Arial Black"/>
      <family val="2"/>
    </font>
    <font>
      <i/>
      <sz val="28"/>
      <color rgb="FF000000"/>
      <name val="Arial Black"/>
      <family val="2"/>
    </font>
    <font>
      <sz val="28"/>
      <color indexed="8"/>
      <name val="Helvetica Neue Light"/>
    </font>
    <font>
      <sz val="14"/>
      <color rgb="FF212121"/>
      <name val="Arial"/>
      <family val="2"/>
    </font>
    <font>
      <b/>
      <sz val="14"/>
      <color rgb="FF212121"/>
      <name val="Arial"/>
      <family val="2"/>
    </font>
    <font>
      <strike/>
      <sz val="8"/>
      <color indexed="8"/>
      <name val="Helvetica Neue Light"/>
    </font>
    <font>
      <strike/>
      <sz val="20"/>
      <color rgb="FF000000"/>
      <name val="Helvetica Neue Light"/>
    </font>
    <font>
      <strike/>
      <sz val="18"/>
      <color rgb="FF000000"/>
      <name val="Arial"/>
      <family val="2"/>
    </font>
    <font>
      <b/>
      <strike/>
      <sz val="20"/>
      <color rgb="FF000000"/>
      <name val="Arial"/>
      <family val="2"/>
    </font>
    <font>
      <sz val="36"/>
      <color indexed="8"/>
      <name val="Arial Black"/>
      <family val="2"/>
    </font>
    <font>
      <sz val="28"/>
      <color indexed="8"/>
      <name val="Arial"/>
      <family val="2"/>
    </font>
    <font>
      <sz val="34"/>
      <color indexed="8"/>
      <name val="Arial Black"/>
      <family val="2"/>
    </font>
    <font>
      <sz val="38"/>
      <color indexed="8"/>
      <name val="Arial Black"/>
      <family val="2"/>
    </font>
    <font>
      <b/>
      <sz val="38"/>
      <color indexed="8"/>
      <name val="Arial Black"/>
      <family val="2"/>
    </font>
    <font>
      <sz val="8"/>
      <color rgb="FFFF0000"/>
      <name val="Arial"/>
      <family val="2"/>
    </font>
    <font>
      <sz val="8"/>
      <color indexed="8"/>
      <name val="Helvetica"/>
      <family val="2"/>
    </font>
    <font>
      <b/>
      <sz val="8"/>
      <color rgb="FF141413"/>
      <name val="Arial"/>
      <family val="2"/>
    </font>
    <font>
      <b/>
      <sz val="38"/>
      <color theme="0" tint="-0.14999847407452621"/>
      <name val="Arial Black"/>
      <family val="2"/>
    </font>
    <font>
      <sz val="12"/>
      <color theme="5" tint="-0.249977111117893"/>
      <name val="Arial Black"/>
      <family val="2"/>
    </font>
    <font>
      <sz val="38"/>
      <color theme="5" tint="-0.249977111117893"/>
      <name val="Arial Black"/>
      <family val="2"/>
    </font>
    <font>
      <b/>
      <sz val="38"/>
      <color theme="5" tint="-0.249977111117893"/>
      <name val="Arial Black"/>
      <family val="2"/>
    </font>
    <font>
      <b/>
      <sz val="30"/>
      <color rgb="FF0432FF"/>
      <name val="Arial Black"/>
      <family val="2"/>
    </font>
    <font>
      <b/>
      <sz val="12"/>
      <color rgb="FF0432FF"/>
      <name val="Arial Black"/>
      <family val="2"/>
    </font>
    <font>
      <b/>
      <sz val="40"/>
      <color rgb="FF0432FF"/>
      <name val="Arial Black"/>
      <family val="2"/>
    </font>
    <font>
      <b/>
      <sz val="8"/>
      <color rgb="FF0432FF"/>
      <name val="Arial"/>
      <family val="2"/>
    </font>
    <font>
      <b/>
      <sz val="20"/>
      <color rgb="FF0432FF"/>
      <name val="Arial Black"/>
      <family val="2"/>
    </font>
    <font>
      <b/>
      <sz val="16"/>
      <color rgb="FF0432FF"/>
      <name val="Arial Black"/>
      <family val="2"/>
    </font>
    <font>
      <sz val="12"/>
      <color rgb="FF000000"/>
      <name val="Helvetica Neue"/>
      <family val="2"/>
    </font>
    <font>
      <b/>
      <sz val="16"/>
      <color theme="0" tint="-0.14999847407452621"/>
      <name val="Arial"/>
      <family val="2"/>
    </font>
    <font>
      <sz val="16"/>
      <color rgb="FFFF0000"/>
      <name val="Arial"/>
      <family val="2"/>
    </font>
    <font>
      <b/>
      <vertAlign val="subscript"/>
      <sz val="16"/>
      <color rgb="FFC00000"/>
      <name val="Arial"/>
      <family val="2"/>
    </font>
    <font>
      <i/>
      <sz val="16"/>
      <color rgb="FFFF0000"/>
      <name val="Arial"/>
      <family val="2"/>
    </font>
    <font>
      <sz val="40"/>
      <color theme="1"/>
      <name val="Arial Black"/>
      <family val="2"/>
    </font>
    <font>
      <sz val="22"/>
      <color theme="1"/>
      <name val="Arial Black"/>
      <family val="2"/>
    </font>
    <font>
      <b/>
      <sz val="40"/>
      <color theme="1"/>
      <name val="Arial Black"/>
      <family val="2"/>
    </font>
    <font>
      <b/>
      <sz val="38"/>
      <color theme="1"/>
      <name val="Arial Black"/>
      <family val="2"/>
    </font>
    <font>
      <sz val="36"/>
      <color theme="1"/>
      <name val="Arial Black"/>
      <family val="2"/>
    </font>
    <font>
      <b/>
      <sz val="14"/>
      <color theme="1"/>
      <name val="Arial Black"/>
      <family val="2"/>
    </font>
    <font>
      <b/>
      <sz val="16"/>
      <color theme="1"/>
      <name val="Arial Black"/>
      <family val="2"/>
    </font>
    <font>
      <b/>
      <i/>
      <sz val="16"/>
      <color theme="1"/>
      <name val="Arial Black"/>
      <family val="2"/>
    </font>
    <font>
      <i/>
      <sz val="16"/>
      <color theme="1"/>
      <name val="Arial Black"/>
      <family val="2"/>
    </font>
    <font>
      <b/>
      <sz val="14"/>
      <color rgb="FF000000"/>
      <name val="Arial Black"/>
      <family val="2"/>
    </font>
    <font>
      <sz val="8"/>
      <color rgb="FFC00000"/>
      <name val="Helvetica Neue Light"/>
    </font>
    <font>
      <b/>
      <sz val="16"/>
      <color rgb="FF945200"/>
      <name val="Arial"/>
      <family val="2"/>
    </font>
    <font>
      <sz val="8"/>
      <color theme="1"/>
      <name val="Arial"/>
      <family val="2"/>
    </font>
    <font>
      <b/>
      <sz val="18"/>
      <color rgb="FFC00000"/>
      <name val="Helvetica Neue Light"/>
    </font>
    <font>
      <b/>
      <sz val="14"/>
      <color rgb="FFC00000"/>
      <name val="Arial Black"/>
      <family val="2"/>
    </font>
    <font>
      <sz val="40"/>
      <color theme="0"/>
      <name val="Arial Black"/>
      <family val="2"/>
    </font>
    <font>
      <sz val="22"/>
      <color theme="0"/>
      <name val="Arial Black"/>
      <family val="2"/>
    </font>
    <font>
      <b/>
      <sz val="40"/>
      <color theme="0"/>
      <name val="Arial Black"/>
      <family val="2"/>
    </font>
    <font>
      <b/>
      <sz val="38"/>
      <color theme="0"/>
      <name val="Arial Black"/>
      <family val="2"/>
    </font>
    <font>
      <sz val="36"/>
      <color theme="0"/>
      <name val="Arial Black"/>
      <family val="2"/>
    </font>
    <font>
      <sz val="38"/>
      <color theme="0"/>
      <name val="Arial Black"/>
      <family val="2"/>
    </font>
    <font>
      <sz val="8"/>
      <color theme="0"/>
      <name val="Arial"/>
      <family val="2"/>
    </font>
    <font>
      <vertAlign val="superscript"/>
      <sz val="14"/>
      <color theme="0"/>
      <name val="Arial"/>
      <family val="2"/>
    </font>
    <font>
      <sz val="12"/>
      <color theme="0" tint="-0.249977111117893"/>
      <name val="Arial Black"/>
      <family val="2"/>
    </font>
    <font>
      <sz val="12"/>
      <color theme="5" tint="0.39997558519241921"/>
      <name val="Arial Black"/>
      <family val="2"/>
    </font>
    <font>
      <i/>
      <sz val="11"/>
      <color indexed="8"/>
      <name val="Arial"/>
      <family val="2"/>
    </font>
    <font>
      <i/>
      <vertAlign val="superscript"/>
      <sz val="11"/>
      <color rgb="FF000000"/>
      <name val="Arial"/>
      <family val="2"/>
    </font>
    <font>
      <sz val="14"/>
      <color rgb="FFC00000"/>
      <name val="Arial"/>
      <family val="2"/>
    </font>
    <font>
      <b/>
      <sz val="20"/>
      <color rgb="FF0432FF"/>
      <name val="Arial"/>
      <family val="2"/>
    </font>
    <font>
      <b/>
      <sz val="20"/>
      <color indexed="8"/>
      <name val="Arial"/>
      <family val="2"/>
    </font>
    <font>
      <b/>
      <i/>
      <sz val="16"/>
      <color rgb="FFFF0000"/>
      <name val="Arial"/>
      <family val="2"/>
    </font>
    <font>
      <sz val="6"/>
      <color indexed="8"/>
      <name val="Arial"/>
      <family val="2"/>
    </font>
    <font>
      <b/>
      <sz val="8"/>
      <color theme="3"/>
      <name val="Arial"/>
      <family val="2"/>
    </font>
    <font>
      <b/>
      <sz val="12"/>
      <color indexed="8"/>
      <name val="Helvetica Neue Light"/>
    </font>
    <font>
      <vertAlign val="subscript"/>
      <sz val="16"/>
      <color rgb="FF000000"/>
      <name val="Arial"/>
      <family val="2"/>
    </font>
    <font>
      <sz val="10"/>
      <color rgb="FFC00000"/>
      <name val="Arial"/>
      <family val="2"/>
    </font>
    <font>
      <b/>
      <sz val="16"/>
      <color theme="0" tint="-0.499984740745262"/>
      <name val="Arial"/>
      <family val="2"/>
    </font>
    <font>
      <b/>
      <sz val="16"/>
      <color rgb="FF7030A0"/>
      <name val="Arial"/>
      <family val="2"/>
    </font>
    <font>
      <sz val="8"/>
      <color rgb="FF7030A0"/>
      <name val="Helvetica Neue Light"/>
    </font>
    <font>
      <vertAlign val="superscript"/>
      <sz val="16"/>
      <color theme="1"/>
      <name val="Arial Black"/>
      <family val="2"/>
    </font>
    <font>
      <sz val="8"/>
      <color indexed="8"/>
      <name val="Arial Black"/>
      <family val="2"/>
    </font>
    <font>
      <i/>
      <sz val="12"/>
      <color theme="1"/>
      <name val="Arial Black"/>
      <family val="2"/>
    </font>
    <font>
      <sz val="8"/>
      <color rgb="FFFFFFFF"/>
      <name val="Helvetica Neue Light"/>
    </font>
    <font>
      <vertAlign val="superscript"/>
      <sz val="16"/>
      <color theme="0"/>
      <name val="Arial Black"/>
      <family val="2"/>
    </font>
    <font>
      <sz val="12"/>
      <color rgb="FFC00000"/>
      <name val="Arial Black"/>
      <family val="2"/>
    </font>
    <font>
      <sz val="16"/>
      <color rgb="FFC00000"/>
      <name val="Arial Black"/>
      <family val="2"/>
    </font>
    <font>
      <sz val="16"/>
      <color rgb="FF000000"/>
      <name val="Arial Black"/>
      <family val="2"/>
    </font>
    <font>
      <b/>
      <sz val="16"/>
      <color theme="0" tint="-0.249977111117893"/>
      <name val="Arial"/>
      <family val="2"/>
    </font>
    <font>
      <i/>
      <u/>
      <sz val="16"/>
      <color rgb="FFC00000"/>
      <name val="Arial"/>
      <family val="2"/>
    </font>
    <font>
      <b/>
      <sz val="12"/>
      <color rgb="FFC00000"/>
      <name val="Arial"/>
      <family val="2"/>
    </font>
  </fonts>
  <fills count="18">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theme="1"/>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FF"/>
        <bgColor rgb="FF000000"/>
      </patternFill>
    </fill>
    <fill>
      <patternFill patternType="solid">
        <fgColor theme="5" tint="0.39997558519241921"/>
        <bgColor auto="1"/>
      </patternFill>
    </fill>
    <fill>
      <patternFill patternType="solid">
        <fgColor theme="5" tint="0.39997558519241921"/>
        <bgColor rgb="FF000000"/>
      </patternFill>
    </fill>
    <fill>
      <patternFill patternType="solid">
        <fgColor theme="5" tint="0.39997558519241921"/>
        <bgColor indexed="64"/>
      </patternFill>
    </fill>
    <fill>
      <patternFill patternType="solid">
        <fgColor theme="0" tint="-0.14999847407452621"/>
        <bgColor indexed="64"/>
      </patternFill>
    </fill>
    <fill>
      <patternFill patternType="solid">
        <fgColor theme="0" tint="-0.14999847407452621"/>
        <bgColor auto="1"/>
      </patternFill>
    </fill>
    <fill>
      <patternFill patternType="solid">
        <fgColor theme="0" tint="-0.14999847407452621"/>
        <bgColor rgb="FF000000"/>
      </patternFill>
    </fill>
    <fill>
      <patternFill patternType="solid">
        <fgColor theme="6" tint="0.79998168889431442"/>
        <bgColor indexed="64"/>
      </patternFill>
    </fill>
    <fill>
      <patternFill patternType="solid">
        <fgColor theme="6"/>
        <bgColor indexed="64"/>
      </patternFill>
    </fill>
    <fill>
      <patternFill patternType="solid">
        <fgColor rgb="FFD9D9D9"/>
        <bgColor rgb="FF000000"/>
      </patternFill>
    </fill>
    <fill>
      <patternFill patternType="solid">
        <fgColor theme="0" tint="-4.9989318521683403E-2"/>
        <bgColor indexed="64"/>
      </patternFill>
    </fill>
  </fills>
  <borders count="176">
    <border>
      <left/>
      <right/>
      <top/>
      <bottom/>
      <diagonal/>
    </border>
    <border>
      <left/>
      <right/>
      <top/>
      <bottom/>
      <diagonal/>
    </border>
    <border>
      <left/>
      <right/>
      <top/>
      <bottom/>
      <diagonal/>
    </border>
    <border>
      <left/>
      <right/>
      <top/>
      <bottom/>
      <diagonal/>
    </border>
    <border>
      <left/>
      <right/>
      <top style="thin">
        <color indexed="8"/>
      </top>
      <bottom style="thin">
        <color indexed="8"/>
      </bottom>
      <diagonal/>
    </border>
    <border>
      <left/>
      <right/>
      <top style="thin">
        <color indexed="8"/>
      </top>
      <bottom style="thin">
        <color indexed="8"/>
      </bottom>
      <diagonal/>
    </border>
    <border>
      <left/>
      <right/>
      <top style="thin">
        <color indexed="8"/>
      </top>
      <bottom style="thin">
        <color indexed="8"/>
      </bottom>
      <diagonal/>
    </border>
    <border>
      <left/>
      <right/>
      <top style="thin">
        <color indexed="8"/>
      </top>
      <bottom/>
      <diagonal/>
    </border>
    <border>
      <left/>
      <right/>
      <top style="thin">
        <color indexed="8"/>
      </top>
      <bottom/>
      <diagonal/>
    </border>
    <border>
      <left/>
      <right/>
      <top style="thin">
        <color indexed="8"/>
      </top>
      <bottom/>
      <diagonal/>
    </border>
    <border>
      <left/>
      <right/>
      <top/>
      <bottom/>
      <diagonal/>
    </border>
    <border>
      <left/>
      <right/>
      <top/>
      <bottom/>
      <diagonal/>
    </border>
    <border>
      <left/>
      <right/>
      <top/>
      <bottom style="thick">
        <color indexed="8"/>
      </bottom>
      <diagonal/>
    </border>
    <border>
      <left/>
      <right/>
      <top/>
      <bottom style="thick">
        <color indexed="8"/>
      </bottom>
      <diagonal/>
    </border>
    <border>
      <left/>
      <right/>
      <top/>
      <bottom style="thick">
        <color indexed="8"/>
      </bottom>
      <diagonal/>
    </border>
    <border>
      <left/>
      <right/>
      <top/>
      <bottom style="thin">
        <color indexed="8"/>
      </bottom>
      <diagonal/>
    </border>
    <border>
      <left/>
      <right/>
      <top/>
      <bottom style="thin">
        <color indexed="8"/>
      </bottom>
      <diagonal/>
    </border>
    <border>
      <left/>
      <right/>
      <top/>
      <bottom style="thin">
        <color indexed="8"/>
      </bottom>
      <diagonal/>
    </border>
    <border>
      <left/>
      <right/>
      <top/>
      <bottom/>
      <diagonal/>
    </border>
    <border>
      <left/>
      <right/>
      <top/>
      <bottom style="thin">
        <color indexed="13"/>
      </bottom>
      <diagonal/>
    </border>
    <border>
      <left/>
      <right/>
      <top style="thin">
        <color indexed="13"/>
      </top>
      <bottom style="thin">
        <color indexed="13"/>
      </bottom>
      <diagonal/>
    </border>
    <border>
      <left/>
      <right/>
      <top style="thin">
        <color indexed="13"/>
      </top>
      <bottom style="thin">
        <color indexed="13"/>
      </bottom>
      <diagonal/>
    </border>
    <border>
      <left/>
      <right/>
      <top style="thin">
        <color indexed="13"/>
      </top>
      <bottom style="thin">
        <color indexed="1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8"/>
      </top>
      <bottom style="thin">
        <color indexed="64"/>
      </bottom>
      <diagonal/>
    </border>
    <border>
      <left/>
      <right/>
      <top style="thin">
        <color indexed="64"/>
      </top>
      <bottom style="thin">
        <color indexed="64"/>
      </bottom>
      <diagonal/>
    </border>
    <border>
      <left/>
      <right/>
      <top/>
      <bottom style="thin">
        <color auto="1"/>
      </bottom>
      <diagonal/>
    </border>
    <border>
      <left/>
      <right/>
      <top style="thin">
        <color auto="1"/>
      </top>
      <bottom/>
      <diagonal/>
    </border>
    <border>
      <left/>
      <right/>
      <top/>
      <bottom style="thin">
        <color theme="1"/>
      </bottom>
      <diagonal/>
    </border>
    <border>
      <left/>
      <right/>
      <top style="thin">
        <color theme="1"/>
      </top>
      <bottom style="thin">
        <color theme="1"/>
      </bottom>
      <diagonal/>
    </border>
    <border>
      <left/>
      <right/>
      <top style="thin">
        <color rgb="FF000000"/>
      </top>
      <bottom/>
      <diagonal/>
    </border>
    <border>
      <left/>
      <right/>
      <top style="thin">
        <color auto="1"/>
      </top>
      <bottom style="thin">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thin">
        <color rgb="FF515151"/>
      </top>
      <bottom style="thin">
        <color rgb="FF515151"/>
      </bottom>
      <diagonal/>
    </border>
    <border>
      <left/>
      <right/>
      <top/>
      <bottom style="double">
        <color auto="1"/>
      </bottom>
      <diagonal/>
    </border>
    <border>
      <left/>
      <right/>
      <top/>
      <bottom style="thin">
        <color rgb="FF515151"/>
      </bottom>
      <diagonal/>
    </border>
    <border>
      <left/>
      <right/>
      <top style="thin">
        <color indexed="13"/>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right/>
      <top/>
      <bottom style="medium">
        <color indexed="64"/>
      </bottom>
      <diagonal/>
    </border>
    <border>
      <left/>
      <right/>
      <top style="thin">
        <color indexed="13"/>
      </top>
      <bottom style="thin">
        <color auto="1"/>
      </bottom>
      <diagonal/>
    </border>
    <border>
      <left/>
      <right/>
      <top style="thin">
        <color indexed="13"/>
      </top>
      <bottom style="thin">
        <color indexed="13"/>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indexed="8"/>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n">
        <color indexed="64"/>
      </left>
      <right style="thin">
        <color indexed="64"/>
      </right>
      <top style="thin">
        <color indexed="64"/>
      </top>
      <bottom/>
      <diagonal/>
    </border>
    <border>
      <left/>
      <right/>
      <top style="thick">
        <color theme="0"/>
      </top>
      <bottom style="thick">
        <color theme="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n">
        <color auto="1"/>
      </bottom>
      <diagonal/>
    </border>
    <border>
      <left/>
      <right/>
      <top style="thin">
        <color indexed="8"/>
      </top>
      <bottom style="thin">
        <color indexed="8"/>
      </bottom>
      <diagonal/>
    </border>
    <border>
      <left/>
      <right/>
      <top style="thin">
        <color auto="1"/>
      </top>
      <bottom style="thin">
        <color auto="1"/>
      </bottom>
      <diagonal/>
    </border>
    <border>
      <left/>
      <right/>
      <top style="medium">
        <color indexed="64"/>
      </top>
      <bottom style="thin">
        <color indexed="64"/>
      </bottom>
      <diagonal/>
    </border>
    <border>
      <left/>
      <right/>
      <top style="thin">
        <color auto="1"/>
      </top>
      <bottom style="thin">
        <color indexed="64"/>
      </bottom>
      <diagonal/>
    </border>
    <border>
      <left/>
      <right/>
      <top/>
      <bottom style="thin">
        <color indexed="64"/>
      </bottom>
      <diagonal/>
    </border>
    <border>
      <left/>
      <right/>
      <top/>
      <bottom style="thin">
        <color indexed="64"/>
      </bottom>
      <diagonal/>
    </border>
    <border>
      <left/>
      <right/>
      <top/>
      <bottom style="thin">
        <color indexed="13"/>
      </bottom>
      <diagonal/>
    </border>
    <border>
      <left/>
      <right/>
      <top/>
      <bottom style="thin">
        <color auto="1"/>
      </bottom>
      <diagonal/>
    </border>
    <border>
      <left/>
      <right/>
      <top style="thin">
        <color indexed="13"/>
      </top>
      <bottom style="thin">
        <color indexed="64"/>
      </bottom>
      <diagonal/>
    </border>
    <border>
      <left/>
      <right/>
      <top/>
      <bottom style="thin">
        <color indexed="8"/>
      </bottom>
      <diagonal/>
    </border>
    <border>
      <left/>
      <right/>
      <top/>
      <bottom style="thick">
        <color auto="1"/>
      </bottom>
      <diagonal/>
    </border>
    <border>
      <left style="thin">
        <color indexed="64"/>
      </left>
      <right style="thin">
        <color indexed="64"/>
      </right>
      <top style="thin">
        <color indexed="64"/>
      </top>
      <bottom/>
      <diagonal/>
    </border>
    <border>
      <left/>
      <right/>
      <top style="thin">
        <color indexed="13"/>
      </top>
      <bottom style="thin">
        <color indexed="13"/>
      </bottom>
      <diagonal/>
    </border>
    <border>
      <left/>
      <right/>
      <top style="thin">
        <color indexed="8"/>
      </top>
      <bottom style="thin">
        <color indexed="64"/>
      </bottom>
      <diagonal/>
    </border>
    <border>
      <left/>
      <right/>
      <top style="thin">
        <color indexed="13"/>
      </top>
      <bottom/>
      <diagonal/>
    </border>
    <border>
      <left/>
      <right/>
      <top style="thin">
        <color indexed="13"/>
      </top>
      <bottom style="thick">
        <color auto="1"/>
      </bottom>
      <diagonal/>
    </border>
    <border>
      <left/>
      <right/>
      <top style="thin">
        <color indexed="8"/>
      </top>
      <bottom/>
      <diagonal/>
    </border>
    <border>
      <left/>
      <right/>
      <top style="thin">
        <color theme="1"/>
      </top>
      <bottom/>
      <diagonal/>
    </border>
    <border>
      <left/>
      <right/>
      <top style="thin">
        <color theme="1"/>
      </top>
      <bottom style="thick">
        <color auto="1"/>
      </bottom>
      <diagonal/>
    </border>
    <border>
      <left/>
      <right/>
      <top style="thin">
        <color auto="1"/>
      </top>
      <bottom style="thin">
        <color auto="1"/>
      </bottom>
      <diagonal/>
    </border>
    <border>
      <left/>
      <right/>
      <top style="thin">
        <color indexed="13"/>
      </top>
      <bottom style="thin">
        <color indexed="13"/>
      </bottom>
      <diagonal/>
    </border>
    <border>
      <left/>
      <right/>
      <top style="thin">
        <color indexed="13"/>
      </top>
      <bottom/>
      <diagonal/>
    </border>
    <border>
      <left/>
      <right/>
      <top/>
      <bottom style="thin">
        <color indexed="64"/>
      </bottom>
      <diagonal/>
    </border>
    <border>
      <left/>
      <right/>
      <top style="thin">
        <color indexed="8"/>
      </top>
      <bottom style="thin">
        <color indexed="8"/>
      </bottom>
      <diagonal/>
    </border>
    <border>
      <left/>
      <right/>
      <top style="thin">
        <color indexed="64"/>
      </top>
      <bottom style="thin">
        <color indexed="64"/>
      </bottom>
      <diagonal/>
    </border>
    <border>
      <left/>
      <right/>
      <top style="thin">
        <color indexed="64"/>
      </top>
      <bottom/>
      <diagonal/>
    </border>
    <border>
      <left/>
      <right/>
      <top/>
      <bottom style="thick">
        <color indexed="64"/>
      </bottom>
      <diagonal/>
    </border>
    <border>
      <left/>
      <right/>
      <top style="thin">
        <color indexed="64"/>
      </top>
      <bottom style="double">
        <color auto="1"/>
      </bottom>
      <diagonal/>
    </border>
    <border>
      <left/>
      <right/>
      <top style="thin">
        <color indexed="8"/>
      </top>
      <bottom/>
      <diagonal/>
    </border>
    <border>
      <left/>
      <right/>
      <top style="thin">
        <color indexed="64"/>
      </top>
      <bottom style="thick">
        <color indexed="64"/>
      </bottom>
      <diagonal/>
    </border>
    <border>
      <left/>
      <right/>
      <top style="thin">
        <color indexed="64"/>
      </top>
      <bottom style="thick">
        <color indexed="8"/>
      </bottom>
      <diagonal/>
    </border>
    <border>
      <left/>
      <right/>
      <top/>
      <bottom style="thick">
        <color indexed="64"/>
      </bottom>
      <diagonal/>
    </border>
    <border>
      <left style="thin">
        <color indexed="8"/>
      </left>
      <right style="thin">
        <color indexed="8"/>
      </right>
      <top/>
      <bottom style="thin">
        <color indexed="8"/>
      </bottom>
      <diagonal/>
    </border>
    <border>
      <left/>
      <right/>
      <top style="thin">
        <color indexed="64"/>
      </top>
      <bottom style="thick">
        <color auto="1"/>
      </bottom>
      <diagonal/>
    </border>
    <border>
      <left style="thin">
        <color indexed="8"/>
      </left>
      <right style="thin">
        <color indexed="8"/>
      </right>
      <top style="thin">
        <color indexed="64"/>
      </top>
      <bottom style="thin">
        <color indexed="8"/>
      </bottom>
      <diagonal/>
    </border>
    <border>
      <left style="thin">
        <color indexed="64"/>
      </left>
      <right style="thin">
        <color indexed="64"/>
      </right>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right/>
      <top style="medium">
        <color auto="1"/>
      </top>
      <bottom/>
      <diagonal/>
    </border>
    <border>
      <left/>
      <right/>
      <top style="double">
        <color indexed="8"/>
      </top>
      <bottom style="thin">
        <color indexed="8"/>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auto="1"/>
      </top>
      <bottom style="thin">
        <color indexed="13"/>
      </bottom>
      <diagonal/>
    </border>
    <border>
      <left style="thin">
        <color indexed="64"/>
      </left>
      <right style="thin">
        <color indexed="64"/>
      </right>
      <top style="thin">
        <color indexed="13"/>
      </top>
      <bottom style="thin">
        <color indexed="13"/>
      </bottom>
      <diagonal/>
    </border>
    <border>
      <left style="thin">
        <color indexed="64"/>
      </left>
      <right style="thin">
        <color indexed="64"/>
      </right>
      <top style="thin">
        <color indexed="13"/>
      </top>
      <bottom style="thin">
        <color auto="1"/>
      </bottom>
      <diagonal/>
    </border>
    <border>
      <left/>
      <right/>
      <top style="thin">
        <color indexed="13"/>
      </top>
      <bottom style="thin">
        <color indexed="64"/>
      </bottom>
      <diagonal/>
    </border>
    <border>
      <left/>
      <right/>
      <top style="thin">
        <color indexed="13"/>
      </top>
      <bottom style="thin">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indexed="64"/>
      </left>
      <right style="thin">
        <color indexed="64"/>
      </right>
      <top style="thick">
        <color indexed="64"/>
      </top>
      <bottom style="thin">
        <color indexed="64"/>
      </bottom>
      <diagonal/>
    </border>
    <border>
      <left style="thin">
        <color auto="1"/>
      </left>
      <right style="thin">
        <color auto="1"/>
      </right>
      <top style="thin">
        <color auto="1"/>
      </top>
      <bottom style="thin">
        <color indexed="64"/>
      </bottom>
      <diagonal/>
    </border>
    <border>
      <left style="thin">
        <color indexed="64"/>
      </left>
      <right/>
      <top style="thin">
        <color indexed="64"/>
      </top>
      <bottom style="thin">
        <color indexed="64"/>
      </bottom>
      <diagonal/>
    </border>
    <border>
      <left/>
      <right/>
      <top/>
      <bottom style="thin">
        <color indexed="13"/>
      </bottom>
      <diagonal/>
    </border>
    <border>
      <left/>
      <right/>
      <top/>
      <bottom style="thin">
        <color auto="1"/>
      </bottom>
      <diagonal/>
    </border>
    <border>
      <left/>
      <right/>
      <top/>
      <bottom style="thin">
        <color indexed="8"/>
      </bottom>
      <diagonal/>
    </border>
    <border>
      <left/>
      <right/>
      <top style="thick">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ck">
        <color indexed="64"/>
      </top>
      <bottom/>
      <diagonal/>
    </border>
    <border>
      <left/>
      <right/>
      <top style="thin">
        <color indexed="64"/>
      </top>
      <bottom style="thin">
        <color indexed="13"/>
      </bottom>
      <diagonal/>
    </border>
    <border>
      <left style="thin">
        <color auto="1"/>
      </left>
      <right style="thin">
        <color auto="1"/>
      </right>
      <top style="thin">
        <color auto="1"/>
      </top>
      <bottom/>
      <diagonal/>
    </border>
    <border>
      <left/>
      <right/>
      <top style="thin">
        <color indexed="13"/>
      </top>
      <bottom style="thin">
        <color indexed="64"/>
      </bottom>
      <diagonal/>
    </border>
    <border>
      <left style="thin">
        <color indexed="64"/>
      </left>
      <right/>
      <top style="thin">
        <color indexed="64"/>
      </top>
      <bottom style="thick">
        <color auto="1"/>
      </bottom>
      <diagonal/>
    </border>
    <border>
      <left/>
      <right/>
      <top style="thin">
        <color theme="1"/>
      </top>
      <bottom style="thin">
        <color indexed="64"/>
      </bottom>
      <diagonal/>
    </border>
    <border>
      <left/>
      <right/>
      <top style="double">
        <color auto="1"/>
      </top>
      <bottom style="thin">
        <color indexed="64"/>
      </bottom>
      <diagonal/>
    </border>
    <border>
      <left/>
      <right/>
      <top style="thin">
        <color auto="1"/>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thin">
        <color indexed="13"/>
      </top>
      <bottom style="thin">
        <color indexed="64"/>
      </bottom>
      <diagonal/>
    </border>
    <border>
      <left style="thin">
        <color indexed="64"/>
      </left>
      <right style="thin">
        <color indexed="64"/>
      </right>
      <top style="thin">
        <color indexed="64"/>
      </top>
      <bottom style="thin">
        <color indexed="64"/>
      </bottom>
      <diagonal/>
    </border>
    <border>
      <left/>
      <right/>
      <top style="thin">
        <color indexed="8"/>
      </top>
      <bottom style="thin">
        <color indexed="8"/>
      </bottom>
      <diagonal/>
    </border>
    <border>
      <left/>
      <right/>
      <top style="thin">
        <color indexed="8"/>
      </top>
      <bottom/>
      <diagonal/>
    </border>
    <border>
      <left/>
      <right/>
      <top style="thin">
        <color auto="1"/>
      </top>
      <bottom style="thin">
        <color auto="1"/>
      </bottom>
      <diagonal/>
    </border>
    <border>
      <left/>
      <right/>
      <top style="thin">
        <color indexed="8"/>
      </top>
      <bottom style="thin">
        <color indexed="64"/>
      </bottom>
      <diagonal/>
    </border>
    <border>
      <left/>
      <right/>
      <top style="thin">
        <color auto="1"/>
      </top>
      <bottom style="thin">
        <color auto="1"/>
      </bottom>
      <diagonal/>
    </border>
    <border>
      <left/>
      <right/>
      <top style="thin">
        <color indexed="13"/>
      </top>
      <bottom style="thin">
        <color indexed="64"/>
      </bottom>
      <diagonal/>
    </border>
    <border>
      <left style="thin">
        <color indexed="64"/>
      </left>
      <right/>
      <top/>
      <bottom style="thick">
        <color indexed="64"/>
      </bottom>
      <diagonal/>
    </border>
    <border>
      <left style="thin">
        <color indexed="64"/>
      </left>
      <right/>
      <top style="thin">
        <color indexed="64"/>
      </top>
      <bottom/>
      <diagonal/>
    </border>
    <border>
      <left/>
      <right/>
      <top style="thin">
        <color indexed="13"/>
      </top>
      <bottom style="thin">
        <color indexed="64"/>
      </bottom>
      <diagonal/>
    </border>
    <border>
      <left/>
      <right/>
      <top style="thin">
        <color indexed="13"/>
      </top>
      <bottom style="thin">
        <color theme="1"/>
      </bottom>
      <diagonal/>
    </border>
    <border>
      <left/>
      <right/>
      <top style="thin">
        <color rgb="FF515151"/>
      </top>
      <bottom style="thin">
        <color rgb="FF000000"/>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thin">
        <color indexed="64"/>
      </bottom>
      <diagonal/>
    </border>
    <border>
      <left/>
      <right style="medium">
        <color theme="1"/>
      </right>
      <top/>
      <bottom style="thin">
        <color indexed="64"/>
      </bottom>
      <diagonal/>
    </border>
    <border>
      <left style="medium">
        <color theme="1"/>
      </left>
      <right/>
      <top style="thin">
        <color indexed="64"/>
      </top>
      <bottom style="thin">
        <color indexed="64"/>
      </bottom>
      <diagonal/>
    </border>
    <border>
      <left style="medium">
        <color theme="1"/>
      </left>
      <right/>
      <top/>
      <bottom style="medium">
        <color theme="1"/>
      </bottom>
      <diagonal/>
    </border>
    <border>
      <left/>
      <right style="medium">
        <color theme="1"/>
      </right>
      <top/>
      <bottom style="medium">
        <color theme="1"/>
      </bottom>
      <diagonal/>
    </border>
    <border>
      <left/>
      <right/>
      <top style="medium">
        <color theme="1"/>
      </top>
      <bottom/>
      <diagonal/>
    </border>
    <border>
      <left/>
      <right/>
      <top/>
      <bottom style="medium">
        <color theme="1"/>
      </bottom>
      <diagonal/>
    </border>
  </borders>
  <cellStyleXfs count="9">
    <xf numFmtId="0" fontId="0" fillId="0" borderId="0" applyNumberFormat="0" applyFill="0" applyBorder="0" applyProtection="0">
      <alignment horizontal="left" wrapText="1"/>
    </xf>
    <xf numFmtId="9" fontId="35" fillId="0" borderId="0" applyFont="0" applyFill="0" applyBorder="0" applyAlignment="0" applyProtection="0"/>
    <xf numFmtId="43" fontId="35" fillId="0" borderId="0" applyFont="0" applyFill="0" applyBorder="0" applyAlignment="0" applyProtection="0"/>
    <xf numFmtId="0" fontId="37" fillId="0" borderId="0" applyNumberFormat="0" applyFill="0" applyBorder="0" applyAlignment="0" applyProtection="0">
      <alignment horizontal="left" wrapText="1"/>
    </xf>
    <xf numFmtId="44" fontId="35" fillId="0" borderId="0" applyFont="0" applyFill="0" applyBorder="0" applyAlignment="0" applyProtection="0"/>
    <xf numFmtId="0" fontId="150" fillId="0" borderId="18" applyNumberFormat="0" applyFill="0" applyBorder="0" applyProtection="0">
      <alignment vertical="top" wrapText="1"/>
    </xf>
    <xf numFmtId="0" fontId="6" fillId="0" borderId="28">
      <alignment vertical="top" wrapText="1"/>
    </xf>
    <xf numFmtId="0" fontId="35" fillId="0" borderId="18" applyNumberFormat="0" applyFill="0" applyBorder="0" applyProtection="0">
      <alignment horizontal="left" wrapText="1"/>
    </xf>
    <xf numFmtId="9" fontId="35" fillId="0" borderId="18" applyFont="0" applyFill="0" applyBorder="0" applyAlignment="0" applyProtection="0"/>
  </cellStyleXfs>
  <cellXfs count="2400">
    <xf numFmtId="0" fontId="0" fillId="0" borderId="0" xfId="0">
      <alignment horizontal="left" wrapText="1"/>
    </xf>
    <xf numFmtId="0" fontId="0" fillId="0" borderId="0" xfId="0" applyNumberFormat="1">
      <alignment horizontal="left" wrapText="1"/>
    </xf>
    <xf numFmtId="0" fontId="6" fillId="0" borderId="18" xfId="0" applyNumberFormat="1" applyFont="1" applyBorder="1" applyAlignment="1">
      <alignment horizontal="left" vertical="center" wrapText="1" readingOrder="1"/>
    </xf>
    <xf numFmtId="0" fontId="6" fillId="0" borderId="18" xfId="0" applyFont="1" applyBorder="1" applyAlignment="1">
      <alignment horizontal="left" vertical="center" wrapText="1"/>
    </xf>
    <xf numFmtId="0" fontId="22" fillId="0" borderId="18" xfId="0" applyNumberFormat="1" applyFont="1" applyBorder="1" applyAlignment="1">
      <alignment horizontal="right" wrapText="1"/>
    </xf>
    <xf numFmtId="0" fontId="0" fillId="0" borderId="0" xfId="0" applyAlignment="1"/>
    <xf numFmtId="0" fontId="0" fillId="0" borderId="0" xfId="0" applyAlignment="1">
      <alignment horizontal="center"/>
    </xf>
    <xf numFmtId="0" fontId="0" fillId="0" borderId="24" xfId="0" applyBorder="1" applyAlignment="1">
      <alignment vertical="center"/>
    </xf>
    <xf numFmtId="0" fontId="0" fillId="0" borderId="24" xfId="0" applyBorder="1" applyAlignment="1">
      <alignment horizontal="center" vertical="center"/>
    </xf>
    <xf numFmtId="0" fontId="52" fillId="0" borderId="0" xfId="0" applyFont="1" applyAlignment="1"/>
    <xf numFmtId="0" fontId="3" fillId="0" borderId="0" xfId="0" applyFont="1" applyAlignment="1"/>
    <xf numFmtId="0" fontId="53" fillId="0" borderId="0" xfId="0" applyFont="1" applyAlignment="1">
      <alignment horizontal="right"/>
    </xf>
    <xf numFmtId="0" fontId="54" fillId="0" borderId="0" xfId="0" applyFont="1" applyAlignment="1"/>
    <xf numFmtId="0" fontId="53" fillId="0" borderId="0" xfId="0" applyFont="1" applyAlignment="1"/>
    <xf numFmtId="0" fontId="55" fillId="0" borderId="0" xfId="0" applyFont="1" applyAlignment="1">
      <alignment horizontal="right"/>
    </xf>
    <xf numFmtId="0" fontId="56" fillId="0" borderId="0" xfId="0" applyFont="1" applyAlignment="1"/>
    <xf numFmtId="2" fontId="56" fillId="0" borderId="0" xfId="0" applyNumberFormat="1" applyFont="1" applyAlignment="1"/>
    <xf numFmtId="2" fontId="55" fillId="0" borderId="0" xfId="0" applyNumberFormat="1" applyFont="1" applyAlignment="1"/>
    <xf numFmtId="2" fontId="3" fillId="0" borderId="0" xfId="0" applyNumberFormat="1" applyFont="1" applyAlignment="1"/>
    <xf numFmtId="2" fontId="55" fillId="0" borderId="0" xfId="0" applyNumberFormat="1" applyFont="1" applyAlignment="1">
      <alignment horizontal="right"/>
    </xf>
    <xf numFmtId="0" fontId="57" fillId="0" borderId="0" xfId="0" applyFont="1" applyAlignment="1"/>
    <xf numFmtId="2" fontId="0" fillId="0" borderId="0" xfId="0" applyNumberFormat="1" applyAlignment="1"/>
    <xf numFmtId="0" fontId="58" fillId="0" borderId="18" xfId="0" applyFont="1" applyBorder="1" applyAlignment="1"/>
    <xf numFmtId="0" fontId="65" fillId="0" borderId="18" xfId="0" applyFont="1" applyBorder="1">
      <alignment horizontal="left" wrapText="1"/>
    </xf>
    <xf numFmtId="0" fontId="0" fillId="0" borderId="0" xfId="0" applyNumberFormat="1" applyProtection="1">
      <alignment horizontal="left" wrapText="1"/>
    </xf>
    <xf numFmtId="0" fontId="0" fillId="0" borderId="2" xfId="0" applyBorder="1" applyProtection="1">
      <alignment horizontal="left" wrapText="1"/>
    </xf>
    <xf numFmtId="0" fontId="0" fillId="0" borderId="18" xfId="0" applyBorder="1" applyProtection="1">
      <alignment horizontal="left" wrapText="1"/>
    </xf>
    <xf numFmtId="4" fontId="8" fillId="0" borderId="5" xfId="0" applyNumberFormat="1" applyFont="1" applyBorder="1" applyAlignment="1" applyProtection="1">
      <alignment horizontal="right" vertical="center" wrapText="1"/>
      <protection locked="0"/>
    </xf>
    <xf numFmtId="4" fontId="41" fillId="0" borderId="5" xfId="0" applyNumberFormat="1" applyFont="1" applyBorder="1" applyAlignment="1" applyProtection="1">
      <alignment horizontal="right" vertical="center" wrapText="1"/>
      <protection locked="0"/>
    </xf>
    <xf numFmtId="2" fontId="41" fillId="0" borderId="19" xfId="0" applyNumberFormat="1" applyFont="1" applyBorder="1" applyAlignment="1" applyProtection="1">
      <alignment vertical="center" wrapText="1" readingOrder="1"/>
      <protection locked="0"/>
    </xf>
    <xf numFmtId="0" fontId="44" fillId="0" borderId="0" xfId="0" applyNumberFormat="1" applyFont="1" applyProtection="1">
      <alignment horizontal="left" wrapText="1"/>
    </xf>
    <xf numFmtId="0" fontId="0" fillId="0" borderId="3" xfId="0" applyBorder="1" applyAlignment="1" applyProtection="1">
      <alignment horizontal="left" vertical="center" wrapText="1"/>
    </xf>
    <xf numFmtId="0" fontId="5" fillId="0" borderId="18" xfId="0" applyFont="1" applyBorder="1" applyAlignment="1" applyProtection="1">
      <alignment horizontal="left" vertical="center" wrapText="1"/>
    </xf>
    <xf numFmtId="49" fontId="6" fillId="0" borderId="6" xfId="0" applyNumberFormat="1" applyFont="1" applyBorder="1" applyAlignment="1" applyProtection="1">
      <alignment horizontal="left" vertical="center"/>
    </xf>
    <xf numFmtId="0" fontId="0" fillId="0" borderId="0" xfId="0" applyNumberFormat="1" applyAlignment="1" applyProtection="1">
      <alignment horizontal="left" vertical="center" wrapText="1"/>
    </xf>
    <xf numFmtId="49" fontId="7" fillId="0" borderId="18" xfId="0" applyNumberFormat="1" applyFont="1" applyBorder="1" applyAlignment="1" applyProtection="1">
      <alignment horizontal="left" vertical="center" wrapText="1" readingOrder="1"/>
    </xf>
    <xf numFmtId="0" fontId="6" fillId="0" borderId="18" xfId="0" applyFont="1" applyBorder="1" applyProtection="1">
      <alignment horizontal="left" wrapText="1"/>
    </xf>
    <xf numFmtId="49" fontId="6" fillId="0" borderId="6" xfId="0" applyNumberFormat="1" applyFont="1" applyBorder="1" applyAlignment="1" applyProtection="1">
      <alignment horizontal="left" vertical="center" wrapText="1"/>
    </xf>
    <xf numFmtId="49" fontId="7" fillId="0" borderId="3" xfId="0" applyNumberFormat="1" applyFont="1" applyBorder="1" applyAlignment="1" applyProtection="1">
      <alignment horizontal="left" vertical="center" wrapText="1" readingOrder="1"/>
    </xf>
    <xf numFmtId="0" fontId="6" fillId="0" borderId="26" xfId="0" applyFont="1" applyBorder="1" applyAlignment="1" applyProtection="1">
      <alignment horizontal="left" vertical="center"/>
    </xf>
    <xf numFmtId="49" fontId="23" fillId="0" borderId="18" xfId="0" applyNumberFormat="1" applyFont="1" applyBorder="1" applyAlignment="1" applyProtection="1">
      <alignment horizontal="left" vertical="center" wrapText="1" readingOrder="1"/>
    </xf>
    <xf numFmtId="0" fontId="0" fillId="0" borderId="3" xfId="0" applyBorder="1" applyProtection="1">
      <alignment horizontal="left" wrapText="1"/>
    </xf>
    <xf numFmtId="0" fontId="11" fillId="0" borderId="10" xfId="0" applyFont="1" applyBorder="1" applyProtection="1">
      <alignment horizontal="left" wrapText="1"/>
    </xf>
    <xf numFmtId="49" fontId="11" fillId="0" borderId="2" xfId="0" applyNumberFormat="1" applyFont="1" applyBorder="1" applyAlignment="1" applyProtection="1">
      <alignment horizontal="left"/>
    </xf>
    <xf numFmtId="49" fontId="11" fillId="0" borderId="11" xfId="0" applyNumberFormat="1" applyFont="1" applyBorder="1" applyAlignment="1" applyProtection="1">
      <alignment horizontal="left"/>
    </xf>
    <xf numFmtId="0" fontId="11" fillId="0" borderId="11" xfId="0" applyNumberFormat="1" applyFont="1" applyBorder="1" applyAlignment="1" applyProtection="1">
      <alignment horizontal="left"/>
    </xf>
    <xf numFmtId="0" fontId="0" fillId="0" borderId="11" xfId="0" applyBorder="1" applyProtection="1">
      <alignment horizontal="left" wrapText="1"/>
    </xf>
    <xf numFmtId="168" fontId="14" fillId="0" borderId="13" xfId="1" applyNumberFormat="1" applyFont="1" applyBorder="1" applyAlignment="1" applyProtection="1">
      <alignment horizontal="right" vertical="top" wrapText="1"/>
    </xf>
    <xf numFmtId="0" fontId="44" fillId="0" borderId="3" xfId="0" applyFont="1" applyBorder="1" applyProtection="1">
      <alignment horizontal="left" wrapText="1"/>
    </xf>
    <xf numFmtId="0" fontId="0" fillId="0" borderId="10" xfId="0" applyBorder="1" applyProtection="1">
      <alignment horizontal="left" wrapText="1"/>
    </xf>
    <xf numFmtId="0" fontId="6" fillId="0" borderId="18" xfId="0" applyFont="1" applyBorder="1" applyAlignment="1" applyProtection="1">
      <alignment horizontal="left"/>
    </xf>
    <xf numFmtId="49" fontId="6" fillId="0" borderId="3" xfId="0" applyNumberFormat="1" applyFont="1" applyBorder="1" applyAlignment="1" applyProtection="1">
      <alignment horizontal="left" wrapText="1" readingOrder="1"/>
    </xf>
    <xf numFmtId="0" fontId="6" fillId="0" borderId="18" xfId="0" applyFont="1" applyBorder="1" applyAlignment="1" applyProtection="1">
      <alignment horizontal="left" vertical="center"/>
    </xf>
    <xf numFmtId="49" fontId="6" fillId="0" borderId="4" xfId="0" applyNumberFormat="1" applyFont="1" applyBorder="1" applyAlignment="1" applyProtection="1">
      <alignment horizontal="left" vertical="center"/>
    </xf>
    <xf numFmtId="49" fontId="6" fillId="0" borderId="5" xfId="0" applyNumberFormat="1" applyFont="1" applyBorder="1" applyAlignment="1" applyProtection="1">
      <alignment horizontal="left" vertical="center" wrapText="1"/>
    </xf>
    <xf numFmtId="49" fontId="6" fillId="0" borderId="5" xfId="0" applyNumberFormat="1" applyFont="1" applyBorder="1" applyAlignment="1" applyProtection="1">
      <alignment horizontal="left" vertical="center"/>
    </xf>
    <xf numFmtId="49" fontId="6" fillId="0" borderId="3" xfId="0" applyNumberFormat="1" applyFont="1" applyBorder="1" applyAlignment="1" applyProtection="1">
      <alignment horizontal="left" vertical="center" wrapText="1" readingOrder="1"/>
    </xf>
    <xf numFmtId="0" fontId="14" fillId="0" borderId="18" xfId="0" applyFont="1" applyBorder="1" applyAlignment="1" applyProtection="1">
      <alignment horizontal="left" vertical="center" wrapText="1"/>
    </xf>
    <xf numFmtId="0" fontId="39" fillId="0" borderId="7" xfId="0" applyFont="1" applyBorder="1" applyAlignment="1" applyProtection="1">
      <alignment horizontal="left" vertical="center"/>
    </xf>
    <xf numFmtId="0" fontId="6" fillId="0" borderId="8" xfId="0" applyFont="1" applyBorder="1" applyAlignment="1" applyProtection="1">
      <alignment horizontal="right" vertical="center" wrapText="1"/>
    </xf>
    <xf numFmtId="0" fontId="6" fillId="0" borderId="8" xfId="0" applyFont="1" applyBorder="1" applyAlignment="1" applyProtection="1">
      <alignment horizontal="left" vertical="center" wrapText="1"/>
    </xf>
    <xf numFmtId="0" fontId="6" fillId="0" borderId="9" xfId="0" applyFont="1" applyBorder="1" applyAlignment="1" applyProtection="1">
      <alignment horizontal="left" vertical="center" wrapText="1"/>
    </xf>
    <xf numFmtId="0" fontId="6" fillId="0" borderId="9" xfId="0" applyFont="1" applyBorder="1" applyAlignment="1" applyProtection="1">
      <alignment horizontal="right" vertical="center" wrapText="1"/>
    </xf>
    <xf numFmtId="49" fontId="6" fillId="0" borderId="16" xfId="0" applyNumberFormat="1" applyFont="1" applyBorder="1" applyAlignment="1" applyProtection="1">
      <alignment horizontal="left" vertical="center"/>
    </xf>
    <xf numFmtId="49" fontId="6" fillId="0" borderId="17" xfId="0" applyNumberFormat="1" applyFont="1" applyBorder="1" applyAlignment="1" applyProtection="1">
      <alignment horizontal="left" vertical="center"/>
    </xf>
    <xf numFmtId="9" fontId="14" fillId="0" borderId="17" xfId="0" applyNumberFormat="1" applyFont="1" applyBorder="1" applyAlignment="1" applyProtection="1">
      <alignment horizontal="right" vertical="center" wrapText="1"/>
    </xf>
    <xf numFmtId="0" fontId="6" fillId="0" borderId="18" xfId="0" applyFont="1" applyBorder="1" applyAlignment="1" applyProtection="1">
      <alignment horizontal="left" vertical="center" wrapText="1"/>
    </xf>
    <xf numFmtId="49" fontId="6" fillId="0" borderId="5" xfId="0" applyNumberFormat="1" applyFont="1" applyBorder="1" applyAlignment="1" applyProtection="1">
      <alignment horizontal="left" vertical="top"/>
    </xf>
    <xf numFmtId="9" fontId="14" fillId="0" borderId="6" xfId="0" applyNumberFormat="1" applyFont="1" applyBorder="1" applyAlignment="1" applyProtection="1">
      <alignment horizontal="right" vertical="center" wrapText="1"/>
    </xf>
    <xf numFmtId="49" fontId="6" fillId="0" borderId="17" xfId="0" applyNumberFormat="1" applyFont="1" applyBorder="1" applyAlignment="1" applyProtection="1">
      <alignment horizontal="left" vertical="center" wrapText="1"/>
    </xf>
    <xf numFmtId="49" fontId="60" fillId="0" borderId="19" xfId="0" applyNumberFormat="1" applyFont="1" applyBorder="1" applyAlignment="1" applyProtection="1">
      <alignment horizontal="right" vertical="center" readingOrder="1"/>
    </xf>
    <xf numFmtId="49" fontId="6" fillId="0" borderId="18" xfId="0" applyNumberFormat="1" applyFont="1" applyBorder="1" applyAlignment="1" applyProtection="1">
      <alignment horizontal="left" vertical="center" wrapText="1"/>
    </xf>
    <xf numFmtId="0" fontId="14" fillId="0" borderId="18" xfId="0" applyFont="1" applyBorder="1" applyProtection="1">
      <alignment horizontal="left" wrapText="1"/>
    </xf>
    <xf numFmtId="49" fontId="70" fillId="0" borderId="22" xfId="0" applyNumberFormat="1" applyFont="1" applyBorder="1" applyAlignment="1" applyProtection="1">
      <alignment horizontal="right" vertical="center" readingOrder="1"/>
    </xf>
    <xf numFmtId="165" fontId="14" fillId="0" borderId="6" xfId="0" applyNumberFormat="1" applyFont="1" applyBorder="1" applyAlignment="1" applyProtection="1">
      <alignment horizontal="right" vertical="center" wrapText="1"/>
    </xf>
    <xf numFmtId="0" fontId="0" fillId="0" borderId="2" xfId="0" applyBorder="1" applyAlignment="1" applyProtection="1">
      <alignment horizontal="left" vertical="center" wrapText="1"/>
    </xf>
    <xf numFmtId="0" fontId="0" fillId="0" borderId="18" xfId="0" applyBorder="1" applyAlignment="1" applyProtection="1">
      <alignment horizontal="left" vertical="center" wrapText="1"/>
    </xf>
    <xf numFmtId="0" fontId="17" fillId="0" borderId="18" xfId="0" applyFont="1" applyBorder="1" applyProtection="1">
      <alignment horizontal="left" wrapText="1"/>
    </xf>
    <xf numFmtId="0" fontId="17" fillId="0" borderId="7" xfId="0" applyFont="1" applyBorder="1" applyProtection="1">
      <alignment horizontal="left" wrapText="1"/>
    </xf>
    <xf numFmtId="0" fontId="10" fillId="0" borderId="18" xfId="0" applyFont="1" applyBorder="1" applyAlignment="1" applyProtection="1">
      <alignment horizontal="right" wrapText="1"/>
    </xf>
    <xf numFmtId="0" fontId="10" fillId="0" borderId="8" xfId="0" applyFont="1" applyBorder="1" applyProtection="1">
      <alignment horizontal="left" wrapText="1"/>
    </xf>
    <xf numFmtId="0" fontId="10" fillId="0" borderId="9" xfId="0" applyFont="1" applyBorder="1" applyProtection="1">
      <alignment horizontal="left" wrapText="1"/>
    </xf>
    <xf numFmtId="0" fontId="17" fillId="0" borderId="9" xfId="0" applyFont="1" applyBorder="1" applyAlignment="1" applyProtection="1">
      <alignment horizontal="right" wrapText="1"/>
    </xf>
    <xf numFmtId="0" fontId="6" fillId="0" borderId="18" xfId="0" applyFont="1" applyBorder="1" applyAlignment="1" applyProtection="1">
      <alignment horizontal="left" vertical="center" wrapText="1" readingOrder="1"/>
    </xf>
    <xf numFmtId="49" fontId="22" fillId="0" borderId="22" xfId="3" applyNumberFormat="1" applyFont="1" applyBorder="1" applyAlignment="1" applyProtection="1">
      <alignment horizontal="left" vertical="center" readingOrder="1"/>
    </xf>
    <xf numFmtId="2" fontId="6" fillId="0" borderId="22" xfId="0" applyNumberFormat="1" applyFont="1" applyBorder="1" applyAlignment="1" applyProtection="1">
      <alignment horizontal="left" vertical="center" readingOrder="1"/>
    </xf>
    <xf numFmtId="0" fontId="10" fillId="0" borderId="2" xfId="0" applyFont="1" applyBorder="1" applyAlignment="1" applyProtection="1">
      <alignment horizontal="right"/>
    </xf>
    <xf numFmtId="0" fontId="10" fillId="0" borderId="18" xfId="0" applyFont="1" applyBorder="1" applyAlignment="1" applyProtection="1">
      <alignment horizontal="right"/>
    </xf>
    <xf numFmtId="49" fontId="22" fillId="0" borderId="20" xfId="0" applyNumberFormat="1" applyFont="1" applyBorder="1" applyAlignment="1" applyProtection="1">
      <alignment horizontal="left" vertical="center" wrapText="1" readingOrder="1"/>
    </xf>
    <xf numFmtId="49" fontId="6" fillId="0" borderId="22" xfId="0" applyNumberFormat="1" applyFont="1" applyBorder="1" applyAlignment="1" applyProtection="1">
      <alignment horizontal="left" vertical="center" wrapText="1" readingOrder="1"/>
    </xf>
    <xf numFmtId="49" fontId="6" fillId="0" borderId="18" xfId="0" applyNumberFormat="1" applyFont="1" applyBorder="1" applyAlignment="1" applyProtection="1">
      <alignment horizontal="left" vertical="center" wrapText="1" readingOrder="1"/>
    </xf>
    <xf numFmtId="49" fontId="29" fillId="0" borderId="18" xfId="0" applyNumberFormat="1" applyFont="1" applyBorder="1" applyAlignment="1" applyProtection="1">
      <alignment horizontal="left" vertical="center" wrapText="1" readingOrder="1"/>
    </xf>
    <xf numFmtId="49" fontId="22" fillId="0" borderId="18" xfId="3" applyNumberFormat="1" applyFont="1" applyBorder="1" applyAlignment="1" applyProtection="1">
      <alignment horizontal="left" vertical="center" readingOrder="1"/>
    </xf>
    <xf numFmtId="49" fontId="6" fillId="0" borderId="22" xfId="0" applyNumberFormat="1" applyFont="1" applyBorder="1" applyAlignment="1" applyProtection="1">
      <alignment horizontal="left" vertical="center" readingOrder="1"/>
    </xf>
    <xf numFmtId="49" fontId="40" fillId="0" borderId="18" xfId="0" applyNumberFormat="1" applyFont="1" applyBorder="1" applyAlignment="1" applyProtection="1">
      <alignment horizontal="left" vertical="center" readingOrder="1"/>
    </xf>
    <xf numFmtId="49" fontId="69" fillId="0" borderId="19" xfId="0" applyNumberFormat="1" applyFont="1" applyBorder="1" applyAlignment="1" applyProtection="1">
      <alignment horizontal="center" wrapText="1" readingOrder="1"/>
    </xf>
    <xf numFmtId="2" fontId="22" fillId="0" borderId="22" xfId="0" applyNumberFormat="1" applyFont="1" applyBorder="1" applyAlignment="1" applyProtection="1">
      <alignment horizontal="center" vertical="center" wrapText="1" readingOrder="1"/>
    </xf>
    <xf numFmtId="167" fontId="6" fillId="0" borderId="21" xfId="0" applyNumberFormat="1" applyFont="1" applyBorder="1" applyAlignment="1" applyProtection="1">
      <alignment horizontal="center" vertical="center" wrapText="1" readingOrder="1"/>
    </xf>
    <xf numFmtId="10" fontId="61" fillId="0" borderId="22" xfId="0" applyNumberFormat="1" applyFont="1" applyBorder="1" applyAlignment="1" applyProtection="1">
      <alignment horizontal="center" vertical="center" wrapText="1" readingOrder="1"/>
    </xf>
    <xf numFmtId="2" fontId="6" fillId="0" borderId="22" xfId="0" applyNumberFormat="1" applyFont="1" applyBorder="1" applyAlignment="1" applyProtection="1">
      <alignment horizontal="right" vertical="center" readingOrder="1"/>
    </xf>
    <xf numFmtId="10" fontId="6" fillId="0" borderId="22" xfId="1" applyNumberFormat="1" applyFont="1" applyBorder="1" applyAlignment="1" applyProtection="1">
      <alignment horizontal="left" vertical="center" readingOrder="1"/>
    </xf>
    <xf numFmtId="9" fontId="6" fillId="0" borderId="22" xfId="0" applyNumberFormat="1" applyFont="1" applyBorder="1" applyAlignment="1" applyProtection="1">
      <alignment vertical="center" wrapText="1" readingOrder="1"/>
    </xf>
    <xf numFmtId="44" fontId="6" fillId="0" borderId="0" xfId="4" applyFont="1" applyAlignment="1" applyProtection="1">
      <alignment horizontal="right"/>
    </xf>
    <xf numFmtId="49" fontId="6" fillId="0" borderId="20" xfId="0" applyNumberFormat="1" applyFont="1" applyBorder="1" applyAlignment="1" applyProtection="1">
      <alignment horizontal="left" vertical="center" readingOrder="1"/>
    </xf>
    <xf numFmtId="10" fontId="62" fillId="0" borderId="22" xfId="0" applyNumberFormat="1" applyFont="1" applyBorder="1" applyAlignment="1" applyProtection="1">
      <alignment horizontal="center" vertical="center" wrapText="1" readingOrder="1"/>
    </xf>
    <xf numFmtId="0" fontId="0" fillId="0" borderId="18" xfId="0" applyNumberFormat="1" applyBorder="1" applyProtection="1">
      <alignment horizontal="left" wrapText="1"/>
    </xf>
    <xf numFmtId="2" fontId="15" fillId="0" borderId="18" xfId="0" applyNumberFormat="1" applyFont="1" applyBorder="1" applyAlignment="1" applyProtection="1">
      <alignment horizontal="right" vertical="top" wrapText="1"/>
    </xf>
    <xf numFmtId="2" fontId="15" fillId="0" borderId="18" xfId="0" applyNumberFormat="1" applyFont="1" applyBorder="1" applyAlignment="1" applyProtection="1">
      <alignment horizontal="center" vertical="top" wrapText="1"/>
    </xf>
    <xf numFmtId="0" fontId="0" fillId="0" borderId="18" xfId="0" applyNumberFormat="1" applyBorder="1" applyAlignment="1" applyProtection="1">
      <alignment horizontal="left" vertical="top" wrapText="1"/>
    </xf>
    <xf numFmtId="9" fontId="15" fillId="0" borderId="18" xfId="0" applyNumberFormat="1" applyFont="1" applyBorder="1" applyAlignment="1" applyProtection="1">
      <alignment horizontal="center" vertical="top" wrapText="1"/>
    </xf>
    <xf numFmtId="4" fontId="15" fillId="0" borderId="18" xfId="2" applyNumberFormat="1" applyFont="1" applyBorder="1" applyAlignment="1" applyProtection="1">
      <alignment horizontal="right" vertical="top" wrapText="1"/>
    </xf>
    <xf numFmtId="9" fontId="15" fillId="0" borderId="18" xfId="0" applyNumberFormat="1" applyFont="1" applyBorder="1" applyAlignment="1" applyProtection="1">
      <alignment horizontal="left" vertical="top" wrapText="1"/>
    </xf>
    <xf numFmtId="44" fontId="15" fillId="0" borderId="29" xfId="4" applyFont="1" applyBorder="1" applyAlignment="1" applyProtection="1">
      <alignment horizontal="left" vertical="top" wrapText="1"/>
    </xf>
    <xf numFmtId="4" fontId="36" fillId="0" borderId="22" xfId="0" applyNumberFormat="1" applyFont="1" applyBorder="1" applyAlignment="1" applyProtection="1">
      <alignment vertical="center" wrapText="1" readingOrder="1"/>
    </xf>
    <xf numFmtId="0" fontId="40" fillId="0" borderId="18" xfId="0" applyNumberFormat="1" applyFont="1" applyBorder="1" applyAlignment="1" applyProtection="1">
      <alignment horizontal="left"/>
    </xf>
    <xf numFmtId="49" fontId="6" fillId="0" borderId="18" xfId="0" applyNumberFormat="1" applyFont="1" applyBorder="1" applyAlignment="1" applyProtection="1">
      <alignment horizontal="left" vertical="center"/>
    </xf>
    <xf numFmtId="4" fontId="22" fillId="0" borderId="22" xfId="2" applyNumberFormat="1" applyFont="1" applyBorder="1" applyAlignment="1" applyProtection="1">
      <alignment vertical="center" wrapText="1" readingOrder="1"/>
    </xf>
    <xf numFmtId="9" fontId="6" fillId="0" borderId="18" xfId="0" applyNumberFormat="1" applyFont="1" applyBorder="1" applyAlignment="1" applyProtection="1">
      <alignment vertical="center" wrapText="1" readingOrder="1"/>
    </xf>
    <xf numFmtId="49" fontId="22" fillId="0" borderId="22" xfId="0" applyNumberFormat="1" applyFont="1" applyBorder="1" applyAlignment="1" applyProtection="1">
      <alignment horizontal="left" vertical="center" wrapText="1" readingOrder="1"/>
    </xf>
    <xf numFmtId="44" fontId="66" fillId="0" borderId="18" xfId="0" applyNumberFormat="1" applyFont="1" applyBorder="1" applyAlignment="1" applyProtection="1">
      <alignment horizontal="right"/>
    </xf>
    <xf numFmtId="169" fontId="19" fillId="0" borderId="18" xfId="0" applyNumberFormat="1" applyFont="1" applyBorder="1" applyProtection="1">
      <alignment horizontal="left" wrapText="1"/>
    </xf>
    <xf numFmtId="2" fontId="36" fillId="0" borderId="22" xfId="2" applyNumberFormat="1" applyFont="1" applyBorder="1" applyAlignment="1" applyProtection="1">
      <alignment vertical="center" wrapText="1" readingOrder="1"/>
    </xf>
    <xf numFmtId="0" fontId="65" fillId="0" borderId="0" xfId="0" applyNumberFormat="1" applyFont="1" applyProtection="1">
      <alignment horizontal="left" wrapText="1"/>
    </xf>
    <xf numFmtId="49" fontId="22" fillId="0" borderId="5" xfId="0" applyNumberFormat="1" applyFont="1" applyBorder="1" applyAlignment="1" applyProtection="1">
      <alignment horizontal="left" vertical="center"/>
    </xf>
    <xf numFmtId="2" fontId="6" fillId="0" borderId="28" xfId="0" applyNumberFormat="1" applyFont="1" applyBorder="1" applyAlignment="1" applyProtection="1">
      <alignment horizontal="right" vertical="center"/>
    </xf>
    <xf numFmtId="4" fontId="22" fillId="0" borderId="21" xfId="2" applyNumberFormat="1" applyFont="1" applyBorder="1" applyAlignment="1" applyProtection="1">
      <alignment vertical="center" wrapText="1" readingOrder="1"/>
    </xf>
    <xf numFmtId="43" fontId="22" fillId="0" borderId="21" xfId="2" applyFont="1" applyBorder="1" applyAlignment="1" applyProtection="1">
      <alignment horizontal="right" vertical="center" wrapText="1" readingOrder="1"/>
    </xf>
    <xf numFmtId="4" fontId="36" fillId="0" borderId="21" xfId="2" applyNumberFormat="1" applyFont="1" applyBorder="1" applyAlignment="1" applyProtection="1">
      <alignment vertical="center" wrapText="1" readingOrder="1"/>
    </xf>
    <xf numFmtId="2" fontId="22" fillId="0" borderId="21" xfId="0" applyNumberFormat="1" applyFont="1" applyBorder="1" applyAlignment="1" applyProtection="1">
      <alignment horizontal="right" vertical="center" wrapText="1" readingOrder="1"/>
    </xf>
    <xf numFmtId="2" fontId="36" fillId="0" borderId="21" xfId="0" applyNumberFormat="1" applyFont="1" applyBorder="1" applyAlignment="1" applyProtection="1">
      <alignment horizontal="right" vertical="center" wrapText="1" readingOrder="1"/>
    </xf>
    <xf numFmtId="2" fontId="36" fillId="0" borderId="22" xfId="0" applyNumberFormat="1" applyFont="1" applyBorder="1" applyAlignment="1" applyProtection="1">
      <alignment vertical="center" wrapText="1" readingOrder="1"/>
    </xf>
    <xf numFmtId="49" fontId="20" fillId="0" borderId="18" xfId="0" applyNumberFormat="1" applyFont="1" applyBorder="1" applyAlignment="1" applyProtection="1">
      <alignment horizontal="left" vertical="center" wrapText="1" readingOrder="1"/>
    </xf>
    <xf numFmtId="49" fontId="10" fillId="0" borderId="18" xfId="0" applyNumberFormat="1" applyFont="1" applyBorder="1" applyAlignment="1" applyProtection="1">
      <alignment horizontal="left" vertical="center" readingOrder="1"/>
    </xf>
    <xf numFmtId="0" fontId="20" fillId="0" borderId="18" xfId="0" applyFont="1" applyBorder="1" applyProtection="1">
      <alignment horizontal="left" wrapText="1"/>
    </xf>
    <xf numFmtId="0" fontId="20" fillId="0" borderId="3" xfId="0" applyFont="1" applyBorder="1" applyAlignment="1" applyProtection="1">
      <alignment horizontal="left" vertical="center" wrapText="1"/>
    </xf>
    <xf numFmtId="0" fontId="0" fillId="0" borderId="18" xfId="0" applyNumberFormat="1" applyBorder="1">
      <alignment horizontal="left" wrapText="1"/>
    </xf>
    <xf numFmtId="0" fontId="6" fillId="0" borderId="18" xfId="0" applyNumberFormat="1" applyFont="1" applyFill="1" applyBorder="1" applyAlignment="1">
      <alignment horizontal="left" vertical="center" wrapText="1" readingOrder="1"/>
    </xf>
    <xf numFmtId="0" fontId="14" fillId="0" borderId="18" xfId="0" applyFont="1" applyBorder="1" applyAlignment="1">
      <alignment horizontal="left" vertical="center" wrapText="1"/>
    </xf>
    <xf numFmtId="0" fontId="11" fillId="0" borderId="11" xfId="0" applyNumberFormat="1" applyFont="1" applyBorder="1" applyAlignment="1" applyProtection="1">
      <alignment horizontal="right"/>
    </xf>
    <xf numFmtId="49" fontId="70" fillId="2" borderId="19" xfId="3" applyNumberFormat="1" applyFont="1" applyFill="1" applyBorder="1" applyAlignment="1" applyProtection="1">
      <alignment horizontal="right"/>
    </xf>
    <xf numFmtId="0" fontId="70" fillId="2" borderId="19" xfId="3" applyFont="1" applyFill="1" applyBorder="1" applyAlignment="1" applyProtection="1">
      <alignment horizontal="right"/>
    </xf>
    <xf numFmtId="0" fontId="0" fillId="0" borderId="31" xfId="0" applyNumberFormat="1" applyBorder="1" applyProtection="1">
      <alignment horizontal="left" wrapText="1"/>
    </xf>
    <xf numFmtId="49" fontId="6" fillId="0" borderId="31" xfId="0" applyNumberFormat="1" applyFont="1" applyBorder="1" applyAlignment="1" applyProtection="1">
      <alignment horizontal="left" vertical="center"/>
    </xf>
    <xf numFmtId="0" fontId="25" fillId="0" borderId="18" xfId="0" applyFont="1" applyBorder="1" applyAlignment="1" applyProtection="1">
      <alignment horizontal="left" vertical="center" wrapText="1"/>
    </xf>
    <xf numFmtId="49" fontId="29" fillId="0" borderId="18" xfId="0" applyNumberFormat="1" applyFont="1" applyBorder="1" applyAlignment="1" applyProtection="1">
      <alignment horizontal="left" wrapText="1" readingOrder="1"/>
    </xf>
    <xf numFmtId="49" fontId="70" fillId="0" borderId="18" xfId="0" applyNumberFormat="1" applyFont="1" applyBorder="1" applyAlignment="1" applyProtection="1">
      <alignment horizontal="left" vertical="center" readingOrder="1"/>
    </xf>
    <xf numFmtId="0" fontId="10" fillId="0" borderId="18" xfId="0" applyNumberFormat="1" applyFont="1" applyBorder="1" applyProtection="1">
      <alignment horizontal="left" wrapText="1"/>
    </xf>
    <xf numFmtId="49" fontId="73" fillId="0" borderId="18" xfId="0" applyNumberFormat="1" applyFont="1" applyBorder="1" applyAlignment="1" applyProtection="1">
      <alignment horizontal="left" readingOrder="1"/>
    </xf>
    <xf numFmtId="0" fontId="0" fillId="0" borderId="33" xfId="0" applyNumberFormat="1" applyBorder="1" applyProtection="1">
      <alignment horizontal="left" wrapText="1"/>
    </xf>
    <xf numFmtId="49" fontId="60" fillId="0" borderId="18" xfId="0" applyNumberFormat="1" applyFont="1" applyBorder="1" applyAlignment="1" applyProtection="1">
      <alignment horizontal="left" vertical="center" readingOrder="1"/>
    </xf>
    <xf numFmtId="9" fontId="60" fillId="0" borderId="18" xfId="0" applyNumberFormat="1" applyFont="1" applyBorder="1" applyAlignment="1" applyProtection="1">
      <alignment horizontal="left" vertical="center" readingOrder="1"/>
    </xf>
    <xf numFmtId="49" fontId="60" fillId="0" borderId="18" xfId="0" applyNumberFormat="1" applyFont="1" applyBorder="1" applyAlignment="1" applyProtection="1">
      <alignment horizontal="left" readingOrder="1"/>
    </xf>
    <xf numFmtId="0" fontId="41" fillId="0" borderId="28" xfId="0" applyNumberFormat="1" applyFont="1" applyBorder="1" applyAlignment="1" applyProtection="1">
      <alignment horizontal="right" vertical="center" wrapText="1"/>
      <protection locked="0"/>
    </xf>
    <xf numFmtId="4" fontId="43" fillId="0" borderId="22" xfId="2" applyNumberFormat="1" applyFont="1" applyBorder="1" applyAlignment="1" applyProtection="1">
      <alignment vertical="center" readingOrder="1"/>
    </xf>
    <xf numFmtId="49" fontId="6" fillId="0" borderId="18" xfId="0" applyNumberFormat="1" applyFont="1" applyBorder="1" applyAlignment="1" applyProtection="1">
      <alignment horizontal="center" vertical="center" wrapText="1" readingOrder="1"/>
    </xf>
    <xf numFmtId="172" fontId="0" fillId="0" borderId="0" xfId="0" applyNumberFormat="1" applyAlignment="1"/>
    <xf numFmtId="0" fontId="0" fillId="0" borderId="0" xfId="0" applyAlignment="1">
      <alignment horizontal="right" wrapText="1"/>
    </xf>
    <xf numFmtId="0" fontId="83" fillId="0" borderId="0" xfId="0" applyFont="1" applyAlignment="1">
      <alignment horizontal="left" vertical="top"/>
    </xf>
    <xf numFmtId="0" fontId="10" fillId="0" borderId="0" xfId="0" applyFont="1">
      <alignment horizontal="left" wrapText="1"/>
    </xf>
    <xf numFmtId="0" fontId="83" fillId="0" borderId="0" xfId="0" applyFont="1" applyAlignment="1"/>
    <xf numFmtId="0" fontId="10" fillId="0" borderId="35" xfId="0" applyFont="1" applyBorder="1" applyAlignment="1"/>
    <xf numFmtId="0" fontId="10" fillId="0" borderId="0" xfId="0" applyFont="1" applyAlignment="1"/>
    <xf numFmtId="1" fontId="10" fillId="0" borderId="36" xfId="0" applyNumberFormat="1" applyFont="1" applyBorder="1" applyAlignment="1">
      <alignment horizontal="center"/>
    </xf>
    <xf numFmtId="1" fontId="10" fillId="0" borderId="36" xfId="0" applyNumberFormat="1" applyFont="1" applyBorder="1" applyAlignment="1"/>
    <xf numFmtId="1" fontId="10" fillId="0" borderId="35" xfId="0" applyNumberFormat="1" applyFont="1" applyBorder="1" applyAlignment="1">
      <alignment horizontal="center"/>
    </xf>
    <xf numFmtId="1" fontId="10" fillId="0" borderId="35" xfId="0" applyNumberFormat="1" applyFont="1" applyBorder="1" applyAlignment="1"/>
    <xf numFmtId="0" fontId="10" fillId="0" borderId="35" xfId="0" applyFont="1" applyBorder="1" applyAlignment="1">
      <alignment horizontal="center" vertical="top" wrapText="1"/>
    </xf>
    <xf numFmtId="176" fontId="10" fillId="0" borderId="35" xfId="0" applyNumberFormat="1" applyFont="1" applyBorder="1" applyAlignment="1">
      <alignment horizontal="center" vertical="top" wrapText="1"/>
    </xf>
    <xf numFmtId="0" fontId="10" fillId="0" borderId="37" xfId="0" applyFont="1" applyBorder="1" applyAlignment="1">
      <alignment vertical="top"/>
    </xf>
    <xf numFmtId="9" fontId="10" fillId="0" borderId="38" xfId="0" applyNumberFormat="1" applyFont="1" applyBorder="1" applyAlignment="1">
      <alignment horizontal="center" vertical="top"/>
    </xf>
    <xf numFmtId="176" fontId="10" fillId="0" borderId="36" xfId="0" applyNumberFormat="1" applyFont="1" applyBorder="1" applyAlignment="1">
      <alignment vertical="top"/>
    </xf>
    <xf numFmtId="9" fontId="10" fillId="0" borderId="38" xfId="0" applyNumberFormat="1" applyFont="1" applyBorder="1" applyAlignment="1">
      <alignment vertical="top"/>
    </xf>
    <xf numFmtId="0" fontId="10" fillId="0" borderId="34" xfId="0" applyFont="1" applyBorder="1" applyAlignment="1">
      <alignment vertical="top"/>
    </xf>
    <xf numFmtId="9" fontId="10" fillId="0" borderId="39" xfId="0" applyNumberFormat="1" applyFont="1" applyBorder="1" applyAlignment="1">
      <alignment horizontal="center" vertical="top"/>
    </xf>
    <xf numFmtId="176" fontId="10" fillId="0" borderId="35" xfId="0" applyNumberFormat="1" applyFont="1" applyBorder="1" applyAlignment="1">
      <alignment vertical="top"/>
    </xf>
    <xf numFmtId="9" fontId="10" fillId="0" borderId="39" xfId="0" applyNumberFormat="1" applyFont="1" applyBorder="1" applyAlignment="1">
      <alignment vertical="top"/>
    </xf>
    <xf numFmtId="0" fontId="70" fillId="0" borderId="34" xfId="0" applyFont="1" applyBorder="1" applyAlignment="1">
      <alignment vertical="top"/>
    </xf>
    <xf numFmtId="9" fontId="70" fillId="0" borderId="39" xfId="0" applyNumberFormat="1" applyFont="1" applyBorder="1" applyAlignment="1">
      <alignment horizontal="center" vertical="top"/>
    </xf>
    <xf numFmtId="176" fontId="70" fillId="0" borderId="35" xfId="0" applyNumberFormat="1" applyFont="1" applyBorder="1" applyAlignment="1">
      <alignment vertical="top"/>
    </xf>
    <xf numFmtId="9" fontId="70" fillId="0" borderId="39" xfId="0" applyNumberFormat="1" applyFont="1" applyBorder="1" applyAlignment="1">
      <alignment vertical="top"/>
    </xf>
    <xf numFmtId="0" fontId="98" fillId="0" borderId="0" xfId="0" applyFont="1" applyAlignment="1">
      <alignment horizontal="left"/>
    </xf>
    <xf numFmtId="0" fontId="99" fillId="0" borderId="0" xfId="0" applyFont="1" applyAlignment="1">
      <alignment horizontal="left"/>
    </xf>
    <xf numFmtId="0" fontId="100" fillId="0" borderId="0" xfId="0" applyFont="1" applyAlignment="1">
      <alignment horizontal="left"/>
    </xf>
    <xf numFmtId="0" fontId="10" fillId="0" borderId="35" xfId="0" applyFont="1" applyBorder="1" applyAlignment="1">
      <alignment horizontal="left"/>
    </xf>
    <xf numFmtId="0" fontId="83" fillId="0" borderId="0" xfId="0" applyFont="1" applyAlignment="1">
      <alignment horizontal="left"/>
    </xf>
    <xf numFmtId="0" fontId="10" fillId="0" borderId="41" xfId="0" applyFont="1" applyBorder="1" applyAlignment="1">
      <alignment horizontal="center" vertical="center"/>
    </xf>
    <xf numFmtId="2" fontId="10" fillId="0" borderId="35" xfId="0" applyNumberFormat="1" applyFont="1" applyBorder="1" applyAlignment="1"/>
    <xf numFmtId="2" fontId="97" fillId="0" borderId="36" xfId="0" applyNumberFormat="1" applyFont="1" applyBorder="1" applyAlignment="1"/>
    <xf numFmtId="2" fontId="97" fillId="0" borderId="35" xfId="0" applyNumberFormat="1" applyFont="1" applyBorder="1" applyAlignment="1"/>
    <xf numFmtId="1" fontId="10" fillId="0" borderId="35" xfId="0" applyNumberFormat="1" applyFont="1" applyBorder="1" applyAlignment="1">
      <alignment horizontal="left"/>
    </xf>
    <xf numFmtId="1" fontId="10" fillId="0" borderId="36" xfId="0" applyNumberFormat="1" applyFont="1" applyBorder="1" applyAlignment="1">
      <alignment horizontal="left"/>
    </xf>
    <xf numFmtId="0" fontId="10" fillId="0" borderId="0" xfId="0" applyFont="1" applyAlignment="1">
      <alignment horizontal="right" wrapText="1"/>
    </xf>
    <xf numFmtId="1" fontId="10" fillId="0" borderId="36" xfId="0" applyNumberFormat="1" applyFont="1" applyBorder="1" applyAlignment="1">
      <alignment horizontal="center" vertical="center"/>
    </xf>
    <xf numFmtId="1" fontId="10" fillId="0" borderId="0" xfId="0" applyNumberFormat="1" applyFont="1">
      <alignment horizontal="left" wrapText="1"/>
    </xf>
    <xf numFmtId="1" fontId="101" fillId="0" borderId="0" xfId="0" applyNumberFormat="1" applyFont="1" applyAlignment="1">
      <alignment horizontal="right" wrapText="1"/>
    </xf>
    <xf numFmtId="1" fontId="101" fillId="0" borderId="35" xfId="0" applyNumberFormat="1" applyFont="1" applyBorder="1" applyAlignment="1"/>
    <xf numFmtId="0" fontId="83" fillId="0" borderId="18" xfId="0" applyFont="1" applyBorder="1" applyAlignment="1">
      <alignment horizontal="left" vertical="top"/>
    </xf>
    <xf numFmtId="0" fontId="20" fillId="0" borderId="18" xfId="0" applyFont="1" applyBorder="1" applyAlignment="1" applyProtection="1">
      <alignment horizontal="left" vertical="center" wrapText="1"/>
    </xf>
    <xf numFmtId="0" fontId="44" fillId="0" borderId="18" xfId="0" applyFont="1" applyBorder="1" applyProtection="1">
      <alignment horizontal="left" wrapText="1"/>
    </xf>
    <xf numFmtId="0" fontId="11" fillId="0" borderId="18" xfId="0" applyNumberFormat="1" applyFont="1" applyBorder="1" applyAlignment="1" applyProtection="1">
      <alignment horizontal="left"/>
    </xf>
    <xf numFmtId="49" fontId="11" fillId="0" borderId="18" xfId="0" applyNumberFormat="1" applyFont="1" applyBorder="1" applyAlignment="1" applyProtection="1">
      <alignment horizontal="left"/>
    </xf>
    <xf numFmtId="49" fontId="60" fillId="0" borderId="18" xfId="0" applyNumberFormat="1" applyFont="1" applyBorder="1" applyAlignment="1" applyProtection="1">
      <alignment horizontal="right" vertical="center" readingOrder="1"/>
    </xf>
    <xf numFmtId="0" fontId="103" fillId="0" borderId="28" xfId="0" applyFont="1" applyBorder="1">
      <alignment horizontal="left" wrapText="1"/>
    </xf>
    <xf numFmtId="0" fontId="0" fillId="0" borderId="0" xfId="0" applyNumberFormat="1" applyAlignment="1" applyProtection="1">
      <alignment horizontal="left" vertical="top" wrapText="1"/>
    </xf>
    <xf numFmtId="49" fontId="60" fillId="0" borderId="18" xfId="0" applyNumberFormat="1" applyFont="1" applyBorder="1" applyAlignment="1" applyProtection="1">
      <alignment horizontal="right" vertical="top" readingOrder="1"/>
    </xf>
    <xf numFmtId="0" fontId="8" fillId="0" borderId="18" xfId="0" applyNumberFormat="1" applyFont="1" applyBorder="1" applyAlignment="1" applyProtection="1">
      <alignment horizontal="left" vertical="top" wrapText="1"/>
      <protection locked="0"/>
    </xf>
    <xf numFmtId="4" fontId="22" fillId="0" borderId="22" xfId="2" applyNumberFormat="1" applyFont="1" applyBorder="1" applyAlignment="1" applyProtection="1">
      <alignment vertical="top" wrapText="1"/>
    </xf>
    <xf numFmtId="43" fontId="22" fillId="0" borderId="6" xfId="2" applyFont="1" applyBorder="1" applyAlignment="1" applyProtection="1">
      <alignment horizontal="left" vertical="top" wrapText="1"/>
    </xf>
    <xf numFmtId="43" fontId="22" fillId="0" borderId="22" xfId="0" applyNumberFormat="1" applyFont="1" applyBorder="1" applyAlignment="1" applyProtection="1">
      <alignment horizontal="left" vertical="top" readingOrder="1"/>
    </xf>
    <xf numFmtId="49" fontId="70" fillId="0" borderId="22" xfId="0" applyNumberFormat="1" applyFont="1" applyBorder="1" applyAlignment="1" applyProtection="1">
      <alignment horizontal="right" vertical="top" readingOrder="1"/>
    </xf>
    <xf numFmtId="49" fontId="69" fillId="0" borderId="19" xfId="0" applyNumberFormat="1" applyFont="1" applyBorder="1" applyAlignment="1" applyProtection="1">
      <alignment horizontal="center" vertical="center" wrapText="1" readingOrder="1"/>
    </xf>
    <xf numFmtId="0" fontId="0" fillId="2" borderId="0" xfId="0" applyNumberFormat="1" applyFill="1" applyProtection="1">
      <alignment horizontal="left" wrapText="1"/>
    </xf>
    <xf numFmtId="0" fontId="0" fillId="2" borderId="18" xfId="0" applyFill="1" applyBorder="1" applyProtection="1">
      <alignment horizontal="left" wrapText="1"/>
    </xf>
    <xf numFmtId="0" fontId="0" fillId="2" borderId="18" xfId="0" applyFill="1" applyBorder="1" applyAlignment="1" applyProtection="1">
      <alignment horizontal="left" vertical="center" wrapText="1"/>
    </xf>
    <xf numFmtId="0" fontId="10" fillId="2" borderId="18" xfId="0" applyFont="1" applyFill="1" applyBorder="1" applyAlignment="1" applyProtection="1">
      <alignment horizontal="right"/>
    </xf>
    <xf numFmtId="44" fontId="6" fillId="2" borderId="0" xfId="4" applyFont="1" applyFill="1" applyAlignment="1" applyProtection="1">
      <alignment horizontal="right"/>
    </xf>
    <xf numFmtId="44" fontId="15" fillId="2" borderId="18" xfId="4" applyFont="1" applyFill="1" applyBorder="1" applyAlignment="1" applyProtection="1">
      <alignment horizontal="left" vertical="top" wrapText="1"/>
    </xf>
    <xf numFmtId="44" fontId="66" fillId="2" borderId="18" xfId="0" applyNumberFormat="1" applyFont="1" applyFill="1" applyBorder="1" applyAlignment="1" applyProtection="1">
      <alignment horizontal="right"/>
    </xf>
    <xf numFmtId="169" fontId="19" fillId="2" borderId="18" xfId="0" applyNumberFormat="1" applyFont="1" applyFill="1" applyBorder="1" applyProtection="1">
      <alignment horizontal="left" wrapText="1"/>
    </xf>
    <xf numFmtId="44" fontId="47" fillId="2" borderId="18" xfId="0" applyNumberFormat="1" applyFont="1" applyFill="1" applyBorder="1" applyAlignment="1" applyProtection="1">
      <alignment horizontal="right"/>
    </xf>
    <xf numFmtId="0" fontId="0" fillId="2" borderId="0" xfId="0" applyNumberFormat="1" applyFill="1" applyAlignment="1" applyProtection="1">
      <alignment horizontal="left" vertical="center" wrapText="1"/>
    </xf>
    <xf numFmtId="0" fontId="92" fillId="0" borderId="18" xfId="0" applyFont="1" applyBorder="1" applyAlignment="1" applyProtection="1">
      <alignment horizontal="center" wrapText="1"/>
    </xf>
    <xf numFmtId="49" fontId="43" fillId="0" borderId="18" xfId="0" applyNumberFormat="1" applyFont="1" applyBorder="1" applyAlignment="1" applyProtection="1">
      <alignment horizontal="center"/>
    </xf>
    <xf numFmtId="170" fontId="43" fillId="0" borderId="18" xfId="2" applyNumberFormat="1" applyFont="1" applyBorder="1" applyAlignment="1" applyProtection="1">
      <alignment horizontal="center" vertical="top" wrapText="1"/>
    </xf>
    <xf numFmtId="0" fontId="6" fillId="0" borderId="0" xfId="0" applyNumberFormat="1" applyFont="1" applyAlignment="1" applyProtection="1">
      <alignment horizontal="left" vertical="center" wrapText="1"/>
    </xf>
    <xf numFmtId="44" fontId="15" fillId="0" borderId="0" xfId="4" applyFont="1" applyAlignment="1" applyProtection="1">
      <alignment horizontal="right"/>
    </xf>
    <xf numFmtId="2" fontId="39" fillId="0" borderId="22" xfId="0" applyNumberFormat="1" applyFont="1" applyBorder="1" applyAlignment="1" applyProtection="1">
      <alignment horizontal="left" vertical="center" readingOrder="1"/>
    </xf>
    <xf numFmtId="170" fontId="36" fillId="0" borderId="22" xfId="0" applyNumberFormat="1" applyFont="1" applyBorder="1" applyAlignment="1" applyProtection="1">
      <alignment vertical="center" wrapText="1" readingOrder="1"/>
    </xf>
    <xf numFmtId="170" fontId="41" fillId="0" borderId="22" xfId="0" applyNumberFormat="1" applyFont="1" applyBorder="1" applyAlignment="1" applyProtection="1">
      <alignment vertical="center" wrapText="1" readingOrder="1"/>
      <protection locked="0"/>
    </xf>
    <xf numFmtId="0" fontId="0" fillId="0" borderId="22" xfId="0" applyNumberFormat="1" applyBorder="1" applyAlignment="1" applyProtection="1">
      <alignment horizontal="left" vertical="center" wrapText="1"/>
    </xf>
    <xf numFmtId="0" fontId="0" fillId="0" borderId="0" xfId="0" applyNumberFormat="1" applyFill="1" applyProtection="1">
      <alignment horizontal="left" wrapText="1"/>
    </xf>
    <xf numFmtId="49" fontId="11" fillId="0" borderId="11" xfId="0" applyNumberFormat="1" applyFont="1" applyFill="1" applyBorder="1" applyAlignment="1" applyProtection="1">
      <alignment horizontal="left"/>
    </xf>
    <xf numFmtId="0" fontId="0" fillId="0" borderId="18" xfId="0" applyFill="1" applyBorder="1" applyProtection="1">
      <alignment horizontal="left" wrapText="1"/>
    </xf>
    <xf numFmtId="49" fontId="6" fillId="0" borderId="51" xfId="0" applyNumberFormat="1" applyFont="1" applyBorder="1" applyAlignment="1" applyProtection="1">
      <alignment horizontal="left" vertical="center" readingOrder="1"/>
    </xf>
    <xf numFmtId="0" fontId="103" fillId="0" borderId="28" xfId="0" applyFont="1" applyBorder="1" applyAlignment="1">
      <alignment horizontal="left" vertical="center" wrapText="1"/>
    </xf>
    <xf numFmtId="0" fontId="0" fillId="0" borderId="28" xfId="0" applyNumberFormat="1" applyBorder="1" applyAlignment="1" applyProtection="1">
      <alignment horizontal="left" vertical="center" wrapText="1"/>
    </xf>
    <xf numFmtId="49" fontId="73" fillId="0" borderId="22" xfId="0" applyNumberFormat="1" applyFont="1" applyBorder="1" applyAlignment="1" applyProtection="1">
      <alignment horizontal="right" vertical="center" readingOrder="1"/>
    </xf>
    <xf numFmtId="2" fontId="43" fillId="0" borderId="21" xfId="0" applyNumberFormat="1" applyFont="1" applyBorder="1" applyAlignment="1" applyProtection="1">
      <alignment horizontal="left" vertical="center" wrapText="1" readingOrder="1"/>
    </xf>
    <xf numFmtId="0" fontId="44" fillId="0" borderId="22" xfId="0" applyNumberFormat="1" applyFont="1" applyBorder="1" applyAlignment="1" applyProtection="1">
      <alignment horizontal="left" vertical="center" wrapText="1"/>
    </xf>
    <xf numFmtId="0" fontId="44" fillId="0" borderId="13" xfId="0" applyFont="1" applyBorder="1" applyAlignment="1" applyProtection="1">
      <alignment horizontal="left" vertical="center" wrapText="1"/>
    </xf>
    <xf numFmtId="2" fontId="13" fillId="0" borderId="14" xfId="0" applyNumberFormat="1" applyFont="1" applyBorder="1" applyAlignment="1" applyProtection="1">
      <alignment horizontal="right" vertical="center" wrapText="1"/>
    </xf>
    <xf numFmtId="0" fontId="12" fillId="0" borderId="18" xfId="0" applyFont="1" applyBorder="1" applyAlignment="1" applyProtection="1">
      <alignment horizontal="left" vertical="center" wrapText="1"/>
    </xf>
    <xf numFmtId="0" fontId="64" fillId="0" borderId="18" xfId="0" applyFont="1" applyBorder="1" applyAlignment="1" applyProtection="1">
      <alignment horizontal="left" vertical="center" wrapText="1"/>
    </xf>
    <xf numFmtId="0" fontId="0" fillId="0" borderId="51" xfId="0" applyNumberFormat="1" applyBorder="1" applyProtection="1">
      <alignment horizontal="left" wrapText="1"/>
    </xf>
    <xf numFmtId="0" fontId="6" fillId="0" borderId="22" xfId="0" applyNumberFormat="1" applyFont="1" applyBorder="1" applyAlignment="1" applyProtection="1">
      <alignment horizontal="left" vertical="center" readingOrder="1"/>
    </xf>
    <xf numFmtId="49" fontId="6" fillId="0" borderId="22" xfId="0" applyNumberFormat="1" applyFont="1" applyBorder="1" applyAlignment="1" applyProtection="1">
      <alignment horizontal="right" vertical="center" readingOrder="1"/>
    </xf>
    <xf numFmtId="0" fontId="15" fillId="0" borderId="0" xfId="0" applyFont="1" applyAlignment="1">
      <alignment horizontal="left" vertical="center"/>
    </xf>
    <xf numFmtId="0" fontId="3" fillId="5" borderId="0" xfId="0" applyFont="1" applyFill="1" applyAlignment="1"/>
    <xf numFmtId="0" fontId="54" fillId="5" borderId="0" xfId="0" applyFont="1" applyFill="1" applyAlignment="1"/>
    <xf numFmtId="2" fontId="55" fillId="5" borderId="0" xfId="0" applyNumberFormat="1" applyFont="1" applyFill="1" applyAlignment="1"/>
    <xf numFmtId="0" fontId="57" fillId="5" borderId="0" xfId="0" applyFont="1" applyFill="1" applyAlignment="1"/>
    <xf numFmtId="0" fontId="0" fillId="5" borderId="0" xfId="0" applyFill="1" applyAlignment="1"/>
    <xf numFmtId="0" fontId="129" fillId="5" borderId="0" xfId="0" applyFont="1" applyFill="1" applyAlignment="1"/>
    <xf numFmtId="0" fontId="2" fillId="0" borderId="0" xfId="0" applyFont="1" applyAlignment="1"/>
    <xf numFmtId="1" fontId="22" fillId="0" borderId="17" xfId="0" applyNumberFormat="1" applyFont="1" applyBorder="1" applyAlignment="1" applyProtection="1">
      <alignment horizontal="center" vertical="center" wrapText="1"/>
    </xf>
    <xf numFmtId="43" fontId="6" fillId="0" borderId="22" xfId="0" applyNumberFormat="1" applyFont="1" applyBorder="1" applyAlignment="1" applyProtection="1">
      <alignment horizontal="right" vertical="center" wrapText="1"/>
    </xf>
    <xf numFmtId="0" fontId="6" fillId="0" borderId="3" xfId="0" applyFont="1" applyBorder="1" applyAlignment="1" applyProtection="1">
      <alignment horizontal="left"/>
    </xf>
    <xf numFmtId="0" fontId="0" fillId="0" borderId="0" xfId="0" applyNumberFormat="1" applyAlignment="1" applyProtection="1">
      <alignment horizontal="left"/>
    </xf>
    <xf numFmtId="0" fontId="77" fillId="3" borderId="24" xfId="0" applyFont="1" applyFill="1" applyBorder="1" applyAlignment="1">
      <alignment horizontal="center" wrapText="1"/>
    </xf>
    <xf numFmtId="0" fontId="44" fillId="3" borderId="55" xfId="0" applyFont="1" applyFill="1" applyBorder="1" applyAlignment="1"/>
    <xf numFmtId="0" fontId="86" fillId="3" borderId="55" xfId="0" applyFont="1" applyFill="1" applyBorder="1">
      <alignment horizontal="left" wrapText="1"/>
    </xf>
    <xf numFmtId="0" fontId="127" fillId="3" borderId="55" xfId="0" applyFont="1" applyFill="1" applyBorder="1" applyAlignment="1"/>
    <xf numFmtId="0" fontId="86" fillId="3" borderId="55" xfId="0" applyFont="1" applyFill="1" applyBorder="1" applyAlignment="1">
      <alignment horizontal="center" wrapText="1"/>
    </xf>
    <xf numFmtId="0" fontId="130" fillId="3" borderId="55" xfId="0" applyFont="1" applyFill="1" applyBorder="1">
      <alignment horizontal="left" wrapText="1"/>
    </xf>
    <xf numFmtId="0" fontId="0" fillId="3" borderId="55" xfId="0" applyFill="1" applyBorder="1" applyAlignment="1"/>
    <xf numFmtId="0" fontId="126" fillId="3" borderId="55" xfId="0" applyFont="1" applyFill="1" applyBorder="1">
      <alignment horizontal="left" wrapText="1"/>
    </xf>
    <xf numFmtId="0" fontId="126" fillId="3" borderId="55" xfId="0" applyFont="1" applyFill="1" applyBorder="1" applyAlignment="1"/>
    <xf numFmtId="0" fontId="126" fillId="0" borderId="55" xfId="0" applyFont="1" applyBorder="1" applyAlignment="1">
      <alignment horizontal="left"/>
    </xf>
    <xf numFmtId="0" fontId="126" fillId="0" borderId="55" xfId="0" applyFont="1" applyBorder="1">
      <alignment horizontal="left" wrapText="1"/>
    </xf>
    <xf numFmtId="0" fontId="0" fillId="0" borderId="55" xfId="0" applyBorder="1" applyAlignment="1"/>
    <xf numFmtId="0" fontId="130" fillId="3" borderId="55" xfId="0" applyFont="1" applyFill="1" applyBorder="1" applyAlignment="1">
      <alignment horizontal="left"/>
    </xf>
    <xf numFmtId="0" fontId="0" fillId="2" borderId="0" xfId="0" applyFill="1" applyAlignment="1"/>
    <xf numFmtId="0" fontId="0" fillId="2" borderId="0" xfId="0" applyFill="1" applyAlignment="1">
      <alignment horizontal="center"/>
    </xf>
    <xf numFmtId="0" fontId="44" fillId="2" borderId="0" xfId="0" applyFont="1" applyFill="1" applyAlignment="1"/>
    <xf numFmtId="0" fontId="86" fillId="2" borderId="18" xfId="0" applyFont="1" applyFill="1" applyBorder="1" applyAlignment="1">
      <alignment horizontal="center" wrapText="1"/>
    </xf>
    <xf numFmtId="0" fontId="44" fillId="2" borderId="0" xfId="0" applyFont="1" applyFill="1" applyAlignment="1">
      <alignment horizontal="center"/>
    </xf>
    <xf numFmtId="0" fontId="88" fillId="2" borderId="0" xfId="0" applyFont="1" applyFill="1" applyAlignment="1">
      <alignment horizontal="center" wrapText="1"/>
    </xf>
    <xf numFmtId="0" fontId="65" fillId="2" borderId="0" xfId="0" applyFont="1" applyFill="1" applyAlignment="1"/>
    <xf numFmtId="0" fontId="0" fillId="0" borderId="55" xfId="0" applyFill="1" applyBorder="1" applyAlignment="1"/>
    <xf numFmtId="0" fontId="88" fillId="0" borderId="55" xfId="0" applyFont="1" applyBorder="1">
      <alignment horizontal="left" wrapText="1"/>
    </xf>
    <xf numFmtId="1" fontId="88" fillId="0" borderId="55" xfId="0" applyNumberFormat="1" applyFont="1" applyBorder="1">
      <alignment horizontal="left" wrapText="1"/>
    </xf>
    <xf numFmtId="1" fontId="44" fillId="0" borderId="55" xfId="0" applyNumberFormat="1" applyFont="1" applyBorder="1" applyAlignment="1">
      <alignment horizontal="left"/>
    </xf>
    <xf numFmtId="1" fontId="77" fillId="0" borderId="55" xfId="0" applyNumberFormat="1" applyFont="1" applyBorder="1" applyAlignment="1">
      <alignment horizontal="left"/>
    </xf>
    <xf numFmtId="0" fontId="77" fillId="0" borderId="55" xfId="0" applyFont="1" applyBorder="1" applyAlignment="1"/>
    <xf numFmtId="0" fontId="0" fillId="0" borderId="55" xfId="0" applyBorder="1" applyAlignment="1">
      <alignment horizontal="center"/>
    </xf>
    <xf numFmtId="0" fontId="44" fillId="0" borderId="55" xfId="0" applyFont="1" applyBorder="1" applyAlignment="1"/>
    <xf numFmtId="0" fontId="44" fillId="0" borderId="55" xfId="0" applyNumberFormat="1" applyFont="1" applyBorder="1" applyAlignment="1"/>
    <xf numFmtId="1" fontId="88" fillId="0" borderId="55" xfId="0" applyNumberFormat="1" applyFont="1" applyBorder="1" applyAlignment="1">
      <alignment horizontal="center" wrapText="1"/>
    </xf>
    <xf numFmtId="1" fontId="44" fillId="0" borderId="55" xfId="0" applyNumberFormat="1" applyFont="1" applyBorder="1" applyAlignment="1">
      <alignment horizontal="center"/>
    </xf>
    <xf numFmtId="0" fontId="88" fillId="0" borderId="55" xfId="0" applyNumberFormat="1" applyFont="1" applyBorder="1">
      <alignment horizontal="left" wrapText="1"/>
    </xf>
    <xf numFmtId="0" fontId="128" fillId="2" borderId="0" xfId="0" applyFont="1" applyFill="1" applyAlignment="1">
      <alignment horizontal="left"/>
    </xf>
    <xf numFmtId="0" fontId="126" fillId="2" borderId="0" xfId="0" applyFont="1" applyFill="1" applyAlignment="1">
      <alignment horizontal="left"/>
    </xf>
    <xf numFmtId="0" fontId="103" fillId="2" borderId="0" xfId="0" applyFont="1" applyFill="1" applyAlignment="1">
      <alignment horizontal="left"/>
    </xf>
    <xf numFmtId="0" fontId="103" fillId="0" borderId="55" xfId="0" applyFont="1" applyBorder="1" applyAlignment="1">
      <alignment horizontal="left"/>
    </xf>
    <xf numFmtId="1" fontId="126" fillId="0" borderId="55" xfId="0" applyNumberFormat="1" applyFont="1" applyBorder="1" applyAlignment="1">
      <alignment horizontal="right"/>
    </xf>
    <xf numFmtId="0" fontId="103" fillId="0" borderId="55" xfId="0" applyFont="1" applyBorder="1" applyAlignment="1">
      <alignment horizontal="left" indent="1"/>
    </xf>
    <xf numFmtId="0" fontId="126" fillId="0" borderId="55" xfId="0" applyFont="1" applyBorder="1" applyAlignment="1">
      <alignment horizontal="left" indent="1"/>
    </xf>
    <xf numFmtId="0" fontId="126" fillId="0" borderId="55" xfId="0" applyFont="1" applyBorder="1" applyAlignment="1">
      <alignment horizontal="right"/>
    </xf>
    <xf numFmtId="0" fontId="103" fillId="0" borderId="55" xfId="0" applyFont="1" applyBorder="1" applyAlignment="1">
      <alignment horizontal="left" wrapText="1" indent="1"/>
    </xf>
    <xf numFmtId="0" fontId="126" fillId="0" borderId="55" xfId="0" applyFont="1" applyBorder="1" applyAlignment="1">
      <alignment horizontal="right" wrapText="1"/>
    </xf>
    <xf numFmtId="0" fontId="0" fillId="0" borderId="30" xfId="0" applyNumberFormat="1" applyBorder="1" applyAlignment="1" applyProtection="1">
      <alignment horizontal="left" vertical="center" wrapText="1"/>
    </xf>
    <xf numFmtId="49" fontId="42" fillId="0" borderId="18" xfId="0" applyNumberFormat="1" applyFont="1" applyBorder="1" applyAlignment="1" applyProtection="1">
      <alignment horizontal="left" vertical="top" readingOrder="1"/>
    </xf>
    <xf numFmtId="49" fontId="22" fillId="0" borderId="18" xfId="3" applyNumberFormat="1" applyFont="1" applyBorder="1" applyAlignment="1" applyProtection="1">
      <alignment horizontal="left" vertical="top" readingOrder="1"/>
    </xf>
    <xf numFmtId="49" fontId="6" fillId="0" borderId="18" xfId="0" applyNumberFormat="1" applyFont="1" applyBorder="1" applyAlignment="1" applyProtection="1">
      <alignment horizontal="left" vertical="top" wrapText="1" readingOrder="1"/>
    </xf>
    <xf numFmtId="0" fontId="6" fillId="0" borderId="18" xfId="0" applyFont="1" applyBorder="1" applyAlignment="1">
      <alignment horizontal="left" vertical="center" wrapText="1" readingOrder="1"/>
    </xf>
    <xf numFmtId="49" fontId="14" fillId="0" borderId="18" xfId="0" applyNumberFormat="1" applyFont="1" applyBorder="1" applyAlignment="1" applyProtection="1">
      <alignment horizontal="left" vertical="top" wrapText="1" readingOrder="1"/>
    </xf>
    <xf numFmtId="44" fontId="15" fillId="0" borderId="18" xfId="4" applyFont="1" applyBorder="1" applyAlignment="1" applyProtection="1">
      <alignment horizontal="left" vertical="top" wrapText="1"/>
    </xf>
    <xf numFmtId="43" fontId="22" fillId="0" borderId="18" xfId="2" applyFont="1" applyBorder="1" applyAlignment="1" applyProtection="1">
      <alignment horizontal="left" vertical="top" wrapText="1"/>
    </xf>
    <xf numFmtId="43" fontId="22" fillId="0" borderId="18" xfId="2" applyFont="1" applyBorder="1" applyAlignment="1" applyProtection="1">
      <alignment horizontal="left" vertical="top"/>
    </xf>
    <xf numFmtId="0" fontId="0" fillId="0" borderId="18" xfId="0" applyNumberFormat="1" applyBorder="1" applyAlignment="1" applyProtection="1">
      <alignment horizontal="left" vertical="center" wrapText="1"/>
    </xf>
    <xf numFmtId="49" fontId="6" fillId="0" borderId="4" xfId="0" applyNumberFormat="1" applyFont="1" applyBorder="1" applyAlignment="1" applyProtection="1">
      <alignment horizontal="left" vertical="center" wrapText="1" indent="2"/>
    </xf>
    <xf numFmtId="49" fontId="6" fillId="0" borderId="4" xfId="0" applyNumberFormat="1" applyFont="1" applyBorder="1" applyAlignment="1" applyProtection="1">
      <alignment horizontal="left" vertical="center" indent="2"/>
    </xf>
    <xf numFmtId="49" fontId="6" fillId="0" borderId="20" xfId="0" applyNumberFormat="1" applyFont="1" applyBorder="1" applyAlignment="1" applyProtection="1">
      <alignment horizontal="left" vertical="center" wrapText="1" indent="2" readingOrder="1"/>
    </xf>
    <xf numFmtId="49" fontId="22" fillId="0" borderId="20" xfId="0" applyNumberFormat="1" applyFont="1" applyBorder="1" applyAlignment="1" applyProtection="1">
      <alignment horizontal="left" vertical="center" wrapText="1" indent="2" readingOrder="1"/>
    </xf>
    <xf numFmtId="49" fontId="6" fillId="0" borderId="22" xfId="0" applyNumberFormat="1" applyFont="1" applyBorder="1" applyAlignment="1" applyProtection="1">
      <alignment horizontal="left" vertical="center" wrapText="1" indent="2" readingOrder="1"/>
    </xf>
    <xf numFmtId="49" fontId="6" fillId="0" borderId="22" xfId="0" applyNumberFormat="1" applyFont="1" applyBorder="1" applyAlignment="1" applyProtection="1">
      <alignment horizontal="left" vertical="center" indent="2" readingOrder="1"/>
    </xf>
    <xf numFmtId="49" fontId="6" fillId="0" borderId="20" xfId="0" applyNumberFormat="1" applyFont="1" applyBorder="1" applyAlignment="1" applyProtection="1">
      <alignment horizontal="left" vertical="center" indent="2" readingOrder="1"/>
    </xf>
    <xf numFmtId="49" fontId="22" fillId="0" borderId="22" xfId="0" applyNumberFormat="1" applyFont="1" applyBorder="1" applyAlignment="1" applyProtection="1">
      <alignment horizontal="left" vertical="center" indent="2" readingOrder="1"/>
    </xf>
    <xf numFmtId="49" fontId="22" fillId="0" borderId="22" xfId="0" applyNumberFormat="1" applyFont="1" applyBorder="1" applyAlignment="1" applyProtection="1">
      <alignment horizontal="left" vertical="center" wrapText="1" indent="2" readingOrder="1"/>
    </xf>
    <xf numFmtId="0" fontId="23" fillId="0" borderId="18" xfId="0" applyNumberFormat="1" applyFont="1" applyBorder="1" applyAlignment="1">
      <alignment horizontal="right"/>
    </xf>
    <xf numFmtId="0" fontId="10" fillId="0" borderId="18" xfId="0" applyFont="1" applyBorder="1">
      <alignment horizontal="left" wrapText="1"/>
    </xf>
    <xf numFmtId="0" fontId="0" fillId="0" borderId="18" xfId="0" applyBorder="1" applyAlignment="1">
      <alignment horizontal="left" vertical="center" wrapText="1"/>
    </xf>
    <xf numFmtId="0" fontId="0" fillId="0" borderId="57" xfId="0" applyNumberFormat="1" applyBorder="1">
      <alignment horizontal="left" wrapText="1"/>
    </xf>
    <xf numFmtId="0" fontId="10" fillId="0" borderId="18" xfId="0" applyFont="1" applyBorder="1" applyAlignment="1">
      <alignment horizontal="right" wrapText="1"/>
    </xf>
    <xf numFmtId="0" fontId="25" fillId="0" borderId="18" xfId="0" applyFont="1" applyBorder="1" applyAlignment="1">
      <alignment horizontal="left" vertical="center" wrapText="1"/>
    </xf>
    <xf numFmtId="0" fontId="26" fillId="0" borderId="18" xfId="0" applyNumberFormat="1" applyFont="1" applyBorder="1">
      <alignment horizontal="left" wrapText="1"/>
    </xf>
    <xf numFmtId="0" fontId="11" fillId="0" borderId="18" xfId="0" applyFont="1" applyBorder="1">
      <alignment horizontal="left" wrapText="1"/>
    </xf>
    <xf numFmtId="164" fontId="8" fillId="0" borderId="18" xfId="0" applyNumberFormat="1" applyFont="1" applyBorder="1" applyAlignment="1">
      <alignment horizontal="left" vertical="center" wrapText="1"/>
    </xf>
    <xf numFmtId="0" fontId="0" fillId="0" borderId="0" xfId="0" applyNumberFormat="1" applyAlignment="1">
      <alignment horizontal="left" shrinkToFit="1"/>
    </xf>
    <xf numFmtId="49" fontId="70" fillId="0" borderId="18" xfId="0" applyNumberFormat="1" applyFont="1" applyBorder="1" applyAlignment="1" applyProtection="1">
      <alignment horizontal="left" vertical="center" wrapText="1" readingOrder="1"/>
    </xf>
    <xf numFmtId="0" fontId="0" fillId="0" borderId="58" xfId="0" applyNumberFormat="1" applyBorder="1" applyAlignment="1" applyProtection="1">
      <alignment horizontal="left" vertical="center" wrapText="1"/>
    </xf>
    <xf numFmtId="0" fontId="0" fillId="0" borderId="60" xfId="0" applyNumberFormat="1" applyBorder="1">
      <alignment horizontal="left" wrapText="1"/>
    </xf>
    <xf numFmtId="0" fontId="139" fillId="3" borderId="55" xfId="0" applyFont="1" applyFill="1" applyBorder="1" applyAlignment="1">
      <alignment horizontal="center"/>
    </xf>
    <xf numFmtId="0" fontId="139" fillId="3" borderId="55" xfId="0" applyFont="1" applyFill="1" applyBorder="1" applyAlignment="1"/>
    <xf numFmtId="0" fontId="139" fillId="3" borderId="55" xfId="0" applyFont="1" applyFill="1" applyBorder="1" applyAlignment="1">
      <alignment horizontal="center" vertical="center"/>
    </xf>
    <xf numFmtId="0" fontId="140" fillId="0" borderId="55" xfId="0" applyFont="1" applyFill="1" applyBorder="1" applyAlignment="1">
      <alignment vertical="center"/>
    </xf>
    <xf numFmtId="0" fontId="139" fillId="0" borderId="55" xfId="0" applyFont="1" applyFill="1" applyBorder="1" applyAlignment="1"/>
    <xf numFmtId="0" fontId="140" fillId="0" borderId="55" xfId="0" applyFont="1" applyFill="1" applyBorder="1" applyAlignment="1"/>
    <xf numFmtId="43" fontId="140" fillId="0" borderId="55" xfId="2" applyFont="1" applyFill="1" applyBorder="1" applyAlignment="1"/>
    <xf numFmtId="0" fontId="139" fillId="0" borderId="55" xfId="0" applyFont="1" applyFill="1" applyBorder="1" applyAlignment="1">
      <alignment horizontal="center"/>
    </xf>
    <xf numFmtId="0" fontId="139" fillId="0" borderId="55" xfId="0" applyFont="1" applyFill="1" applyBorder="1" applyAlignment="1">
      <alignment horizontal="center" vertical="center"/>
    </xf>
    <xf numFmtId="43" fontId="139" fillId="0" borderId="55" xfId="2" applyFont="1" applyFill="1" applyBorder="1" applyAlignment="1"/>
    <xf numFmtId="4" fontId="140" fillId="0" borderId="55" xfId="0" applyNumberFormat="1" applyFont="1" applyFill="1" applyBorder="1" applyAlignment="1"/>
    <xf numFmtId="0" fontId="0" fillId="2" borderId="18" xfId="0" applyFill="1" applyBorder="1">
      <alignment horizontal="left" wrapText="1"/>
    </xf>
    <xf numFmtId="9" fontId="15" fillId="2" borderId="18" xfId="1" applyFont="1" applyFill="1" applyBorder="1" applyAlignment="1" applyProtection="1">
      <alignment horizontal="right" vertical="center" readingOrder="1"/>
    </xf>
    <xf numFmtId="4" fontId="15" fillId="0" borderId="18" xfId="0" applyNumberFormat="1" applyFont="1" applyBorder="1" applyAlignment="1" applyProtection="1">
      <alignment horizontal="right" vertical="top" wrapText="1"/>
    </xf>
    <xf numFmtId="4" fontId="6" fillId="0" borderId="22" xfId="0" applyNumberFormat="1" applyFont="1" applyBorder="1" applyAlignment="1" applyProtection="1">
      <alignment horizontal="right" vertical="center" readingOrder="1"/>
    </xf>
    <xf numFmtId="0" fontId="141" fillId="0" borderId="55" xfId="0" applyFont="1" applyFill="1" applyBorder="1" applyAlignment="1"/>
    <xf numFmtId="2" fontId="36" fillId="0" borderId="21" xfId="0" applyNumberFormat="1" applyFont="1" applyBorder="1" applyAlignment="1" applyProtection="1">
      <alignment vertical="center" readingOrder="1"/>
    </xf>
    <xf numFmtId="0" fontId="140" fillId="3" borderId="55" xfId="0" applyFont="1" applyFill="1" applyBorder="1" applyAlignment="1">
      <alignment horizontal="center"/>
    </xf>
    <xf numFmtId="9" fontId="140" fillId="0" borderId="55" xfId="1" applyFont="1" applyFill="1" applyBorder="1" applyAlignment="1">
      <alignment horizontal="center"/>
    </xf>
    <xf numFmtId="2" fontId="140" fillId="0" borderId="55" xfId="0" applyNumberFormat="1" applyFont="1" applyFill="1" applyBorder="1" applyAlignment="1">
      <alignment horizontal="center"/>
    </xf>
    <xf numFmtId="9" fontId="61" fillId="0" borderId="18" xfId="0" applyNumberFormat="1" applyFont="1" applyBorder="1" applyAlignment="1" applyProtection="1">
      <alignment horizontal="left" vertical="top" wrapText="1"/>
    </xf>
    <xf numFmtId="1" fontId="77" fillId="6" borderId="55" xfId="0" applyNumberFormat="1" applyFont="1" applyFill="1" applyBorder="1" applyAlignment="1">
      <alignment horizontal="left"/>
    </xf>
    <xf numFmtId="0" fontId="14" fillId="0" borderId="18" xfId="0" applyFont="1" applyFill="1" applyBorder="1" applyAlignment="1" applyProtection="1">
      <alignment horizontal="left" vertical="center" wrapText="1"/>
    </xf>
    <xf numFmtId="49" fontId="6" fillId="0" borderId="18" xfId="0" applyNumberFormat="1" applyFont="1" applyFill="1" applyBorder="1" applyAlignment="1" applyProtection="1">
      <alignment horizontal="left" vertical="center" wrapText="1" readingOrder="1"/>
    </xf>
    <xf numFmtId="49" fontId="29" fillId="0" borderId="18" xfId="0" applyNumberFormat="1" applyFont="1" applyFill="1" applyBorder="1" applyAlignment="1" applyProtection="1">
      <alignment horizontal="left" vertical="center" wrapText="1" readingOrder="1"/>
    </xf>
    <xf numFmtId="0" fontId="105" fillId="0" borderId="0" xfId="0" applyNumberFormat="1" applyFont="1" applyFill="1">
      <alignment horizontal="left" wrapText="1"/>
    </xf>
    <xf numFmtId="0" fontId="89" fillId="0" borderId="18" xfId="0" applyFont="1" applyFill="1" applyBorder="1" applyAlignment="1">
      <alignment horizontal="left" vertical="center" wrapText="1"/>
    </xf>
    <xf numFmtId="2" fontId="36" fillId="0" borderId="22" xfId="0" applyNumberFormat="1" applyFont="1" applyBorder="1" applyAlignment="1" applyProtection="1">
      <alignment vertical="center" readingOrder="1"/>
    </xf>
    <xf numFmtId="2" fontId="36" fillId="0" borderId="19" xfId="0" applyNumberFormat="1" applyFont="1" applyBorder="1" applyAlignment="1" applyProtection="1">
      <alignment vertical="center" wrapText="1" readingOrder="1"/>
    </xf>
    <xf numFmtId="166" fontId="22" fillId="0" borderId="22" xfId="2" applyNumberFormat="1" applyFont="1" applyBorder="1" applyAlignment="1" applyProtection="1">
      <alignment horizontal="left" vertical="center" readingOrder="1"/>
    </xf>
    <xf numFmtId="2" fontId="36" fillId="0" borderId="5" xfId="0" applyNumberFormat="1" applyFont="1" applyBorder="1" applyAlignment="1" applyProtection="1">
      <alignment horizontal="right" vertical="center"/>
    </xf>
    <xf numFmtId="49" fontId="6" fillId="0" borderId="67" xfId="0" applyNumberFormat="1" applyFont="1" applyBorder="1" applyAlignment="1" applyProtection="1">
      <alignment horizontal="left" vertical="center"/>
    </xf>
    <xf numFmtId="0" fontId="103" fillId="0" borderId="18" xfId="0" applyFont="1" applyBorder="1" applyAlignment="1">
      <alignment horizontal="left" vertical="center" wrapText="1"/>
    </xf>
    <xf numFmtId="9" fontId="46" fillId="0" borderId="21" xfId="0" applyNumberFormat="1" applyFont="1" applyBorder="1" applyAlignment="1" applyProtection="1">
      <alignment vertical="center" readingOrder="1"/>
      <protection locked="0"/>
    </xf>
    <xf numFmtId="0" fontId="60" fillId="0" borderId="18" xfId="0" applyNumberFormat="1" applyFont="1" applyBorder="1" applyProtection="1">
      <alignment horizontal="left" wrapText="1"/>
    </xf>
    <xf numFmtId="0" fontId="6" fillId="0" borderId="60" xfId="0" applyNumberFormat="1" applyFont="1" applyBorder="1" applyAlignment="1">
      <alignment horizontal="center" vertical="center" wrapText="1" readingOrder="1"/>
    </xf>
    <xf numFmtId="0" fontId="143" fillId="2" borderId="18" xfId="0" applyFont="1" applyFill="1" applyBorder="1">
      <alignment horizontal="left" wrapText="1"/>
    </xf>
    <xf numFmtId="0" fontId="6" fillId="2" borderId="18" xfId="0" applyFont="1" applyFill="1" applyBorder="1">
      <alignment horizontal="left" wrapText="1"/>
    </xf>
    <xf numFmtId="49" fontId="22" fillId="2" borderId="18" xfId="0" applyNumberFormat="1" applyFont="1" applyFill="1" applyBorder="1" applyAlignment="1" applyProtection="1">
      <alignment horizontal="left" vertical="center" readingOrder="1"/>
    </xf>
    <xf numFmtId="0" fontId="0" fillId="0" borderId="0" xfId="0" applyFill="1">
      <alignment horizontal="left" wrapText="1"/>
    </xf>
    <xf numFmtId="4" fontId="0" fillId="0" borderId="0" xfId="0" applyNumberFormat="1" applyAlignment="1">
      <alignment horizontal="right" wrapText="1"/>
    </xf>
    <xf numFmtId="4" fontId="6" fillId="2" borderId="68" xfId="0" applyNumberFormat="1" applyFont="1" applyFill="1" applyBorder="1" applyAlignment="1" applyProtection="1">
      <alignment horizontal="right" vertical="center" readingOrder="1"/>
    </xf>
    <xf numFmtId="4" fontId="15" fillId="2" borderId="68" xfId="2" applyNumberFormat="1" applyFont="1" applyFill="1" applyBorder="1" applyAlignment="1" applyProtection="1">
      <alignment horizontal="right" vertical="top" readingOrder="1"/>
    </xf>
    <xf numFmtId="4" fontId="6" fillId="2" borderId="68" xfId="2" applyNumberFormat="1" applyFont="1" applyFill="1" applyBorder="1" applyAlignment="1" applyProtection="1">
      <alignment horizontal="right" vertical="center" readingOrder="1"/>
    </xf>
    <xf numFmtId="4" fontId="6" fillId="2" borderId="18" xfId="0" applyNumberFormat="1" applyFont="1" applyFill="1" applyBorder="1">
      <alignment horizontal="left" wrapText="1"/>
    </xf>
    <xf numFmtId="4" fontId="6" fillId="2" borderId="18" xfId="2" applyNumberFormat="1" applyFont="1" applyFill="1" applyBorder="1" applyAlignment="1" applyProtection="1">
      <alignment horizontal="right" vertical="center" readingOrder="1"/>
    </xf>
    <xf numFmtId="4" fontId="0" fillId="2" borderId="18" xfId="0" applyNumberFormat="1" applyFill="1" applyBorder="1">
      <alignment horizontal="left" wrapText="1"/>
    </xf>
    <xf numFmtId="4" fontId="0" fillId="0" borderId="0" xfId="0" applyNumberFormat="1">
      <alignment horizontal="left" wrapText="1"/>
    </xf>
    <xf numFmtId="4" fontId="22" fillId="2" borderId="68" xfId="0" applyNumberFormat="1" applyFont="1" applyFill="1" applyBorder="1" applyAlignment="1" applyProtection="1">
      <alignment horizontal="right" vertical="center" wrapText="1" readingOrder="1"/>
    </xf>
    <xf numFmtId="4" fontId="0" fillId="0" borderId="68" xfId="0" applyNumberFormat="1" applyBorder="1" applyAlignment="1">
      <alignment horizontal="right" wrapText="1"/>
    </xf>
    <xf numFmtId="4" fontId="6" fillId="2" borderId="18" xfId="0" applyNumberFormat="1" applyFont="1" applyFill="1" applyBorder="1" applyAlignment="1">
      <alignment horizontal="right" wrapText="1"/>
    </xf>
    <xf numFmtId="4" fontId="0" fillId="2" borderId="18" xfId="0" applyNumberFormat="1" applyFill="1" applyBorder="1" applyAlignment="1">
      <alignment horizontal="right" wrapText="1"/>
    </xf>
    <xf numFmtId="4" fontId="6" fillId="2" borderId="68" xfId="2" applyNumberFormat="1" applyFont="1" applyFill="1" applyBorder="1" applyAlignment="1" applyProtection="1">
      <alignment horizontal="left" vertical="center" readingOrder="1"/>
    </xf>
    <xf numFmtId="0" fontId="6" fillId="2" borderId="68" xfId="0" applyNumberFormat="1" applyFont="1" applyFill="1" applyBorder="1" applyAlignment="1" applyProtection="1">
      <alignment horizontal="left" vertical="center" readingOrder="1"/>
    </xf>
    <xf numFmtId="0" fontId="22" fillId="2" borderId="68" xfId="0" applyNumberFormat="1" applyFont="1" applyFill="1" applyBorder="1" applyAlignment="1" applyProtection="1">
      <alignment horizontal="left" vertical="center" readingOrder="1"/>
    </xf>
    <xf numFmtId="0" fontId="36" fillId="2" borderId="68" xfId="0" applyNumberFormat="1" applyFont="1" applyFill="1" applyBorder="1" applyAlignment="1" applyProtection="1">
      <alignment horizontal="left" vertical="center" wrapText="1" readingOrder="1"/>
    </xf>
    <xf numFmtId="0" fontId="6" fillId="2" borderId="18" xfId="0" applyNumberFormat="1" applyFont="1" applyFill="1" applyBorder="1" applyAlignment="1" applyProtection="1">
      <alignment horizontal="left" vertical="center" readingOrder="1"/>
    </xf>
    <xf numFmtId="0" fontId="22" fillId="2" borderId="68" xfId="0" applyNumberFormat="1" applyFont="1" applyFill="1" applyBorder="1" applyAlignment="1" applyProtection="1">
      <alignment horizontal="left" vertical="center" wrapText="1" readingOrder="1"/>
    </xf>
    <xf numFmtId="4" fontId="15" fillId="2" borderId="18" xfId="2" applyNumberFormat="1" applyFont="1" applyFill="1" applyBorder="1" applyAlignment="1" applyProtection="1">
      <alignment horizontal="right" vertical="top" readingOrder="1"/>
    </xf>
    <xf numFmtId="0" fontId="36" fillId="2" borderId="18" xfId="0" applyNumberFormat="1" applyFont="1" applyFill="1" applyBorder="1" applyAlignment="1" applyProtection="1">
      <alignment horizontal="left" vertical="top" wrapText="1" readingOrder="1"/>
    </xf>
    <xf numFmtId="0" fontId="0" fillId="0" borderId="68" xfId="0" applyFill="1" applyBorder="1">
      <alignment horizontal="left" wrapText="1"/>
    </xf>
    <xf numFmtId="0" fontId="6" fillId="0" borderId="68" xfId="0" applyNumberFormat="1" applyFont="1" applyFill="1" applyBorder="1" applyAlignment="1" applyProtection="1">
      <alignment horizontal="left" vertical="center" readingOrder="1"/>
    </xf>
    <xf numFmtId="0" fontId="6" fillId="0" borderId="68" xfId="0" applyFont="1" applyFill="1" applyBorder="1">
      <alignment horizontal="left" wrapText="1"/>
    </xf>
    <xf numFmtId="49" fontId="43" fillId="0" borderId="68" xfId="0" applyNumberFormat="1" applyFont="1" applyFill="1" applyBorder="1" applyAlignment="1" applyProtection="1">
      <alignment horizontal="left" vertical="center" wrapText="1" readingOrder="1"/>
    </xf>
    <xf numFmtId="49" fontId="6" fillId="0" borderId="68" xfId="0" applyNumberFormat="1" applyFont="1" applyFill="1" applyBorder="1" applyAlignment="1" applyProtection="1">
      <alignment horizontal="left" vertical="center" readingOrder="1"/>
    </xf>
    <xf numFmtId="4" fontId="22" fillId="0" borderId="68" xfId="0" applyNumberFormat="1" applyFont="1" applyFill="1" applyBorder="1" applyAlignment="1" applyProtection="1">
      <alignment horizontal="right" vertical="center" wrapText="1" readingOrder="1"/>
    </xf>
    <xf numFmtId="9" fontId="46" fillId="0" borderId="58" xfId="0" applyNumberFormat="1" applyFont="1" applyBorder="1" applyAlignment="1" applyProtection="1">
      <alignment vertical="center" readingOrder="1"/>
      <protection locked="0"/>
    </xf>
    <xf numFmtId="4" fontId="15" fillId="2" borderId="18" xfId="2" applyNumberFormat="1" applyFont="1" applyFill="1" applyBorder="1" applyAlignment="1" applyProtection="1">
      <alignment horizontal="left" vertical="top" readingOrder="1"/>
    </xf>
    <xf numFmtId="0" fontId="22" fillId="2" borderId="69" xfId="0" applyNumberFormat="1" applyFont="1" applyFill="1" applyBorder="1" applyAlignment="1" applyProtection="1">
      <alignment horizontal="left" vertical="center" readingOrder="1"/>
    </xf>
    <xf numFmtId="4" fontId="6" fillId="2" borderId="69" xfId="0" applyNumberFormat="1" applyFont="1" applyFill="1" applyBorder="1" applyAlignment="1" applyProtection="1">
      <alignment horizontal="right" vertical="center" readingOrder="1"/>
    </xf>
    <xf numFmtId="4" fontId="22" fillId="0" borderId="68" xfId="0" applyNumberFormat="1" applyFont="1" applyFill="1" applyBorder="1" applyAlignment="1" applyProtection="1">
      <alignment horizontal="right" vertical="center" readingOrder="1"/>
    </xf>
    <xf numFmtId="0" fontId="0" fillId="2" borderId="0" xfId="0" applyFill="1">
      <alignment horizontal="left" wrapText="1"/>
    </xf>
    <xf numFmtId="4" fontId="0" fillId="2" borderId="0" xfId="0" applyNumberFormat="1" applyFill="1">
      <alignment horizontal="left" wrapText="1"/>
    </xf>
    <xf numFmtId="0" fontId="6" fillId="2" borderId="0" xfId="0" applyFont="1" applyFill="1">
      <alignment horizontal="left" wrapText="1"/>
    </xf>
    <xf numFmtId="4" fontId="0" fillId="0" borderId="65" xfId="0" applyNumberFormat="1" applyBorder="1">
      <alignment horizontal="left" wrapText="1"/>
    </xf>
    <xf numFmtId="4" fontId="22" fillId="2" borderId="70" xfId="0" applyNumberFormat="1" applyFont="1" applyFill="1" applyBorder="1" applyAlignment="1" applyProtection="1">
      <alignment horizontal="left" vertical="center" wrapText="1" readingOrder="1"/>
    </xf>
    <xf numFmtId="4" fontId="6" fillId="2" borderId="65" xfId="2" applyNumberFormat="1" applyFont="1" applyFill="1" applyBorder="1" applyAlignment="1" applyProtection="1">
      <alignment horizontal="left" vertical="center" readingOrder="1"/>
    </xf>
    <xf numFmtId="4" fontId="6" fillId="0" borderId="65" xfId="0" applyNumberFormat="1" applyFont="1" applyFill="1" applyBorder="1" applyAlignment="1" applyProtection="1">
      <alignment horizontal="right" vertical="center" readingOrder="1"/>
    </xf>
    <xf numFmtId="0" fontId="6" fillId="2" borderId="18" xfId="0" applyNumberFormat="1" applyFont="1" applyFill="1" applyBorder="1" applyProtection="1">
      <alignment horizontal="left" wrapText="1"/>
    </xf>
    <xf numFmtId="49" fontId="22" fillId="2" borderId="65" xfId="0" applyNumberFormat="1" applyFont="1" applyFill="1" applyBorder="1" applyAlignment="1" applyProtection="1">
      <alignment horizontal="left" vertical="center" readingOrder="1"/>
    </xf>
    <xf numFmtId="4" fontId="22" fillId="0" borderId="65" xfId="0" applyNumberFormat="1" applyFont="1" applyFill="1" applyBorder="1" applyAlignment="1" applyProtection="1">
      <alignment horizontal="right" vertical="center" readingOrder="1"/>
    </xf>
    <xf numFmtId="4" fontId="6" fillId="2" borderId="18" xfId="0" applyNumberFormat="1" applyFont="1" applyFill="1" applyBorder="1" applyProtection="1">
      <alignment horizontal="left" wrapText="1"/>
    </xf>
    <xf numFmtId="0" fontId="11" fillId="2" borderId="18" xfId="0" applyFont="1" applyFill="1" applyBorder="1" applyAlignment="1" applyProtection="1">
      <alignment horizontal="right" vertical="center" wrapText="1"/>
    </xf>
    <xf numFmtId="4" fontId="0" fillId="0" borderId="18" xfId="0" applyNumberFormat="1" applyBorder="1" applyAlignment="1">
      <alignment horizontal="right" wrapText="1"/>
    </xf>
    <xf numFmtId="4" fontId="144" fillId="2" borderId="18" xfId="2" applyNumberFormat="1" applyFont="1" applyFill="1" applyBorder="1" applyAlignment="1" applyProtection="1">
      <alignment horizontal="left" vertical="center" readingOrder="1"/>
    </xf>
    <xf numFmtId="4" fontId="22" fillId="2" borderId="69" xfId="0" applyNumberFormat="1" applyFont="1" applyFill="1" applyBorder="1" applyAlignment="1" applyProtection="1">
      <alignment horizontal="right" vertical="center" wrapText="1" readingOrder="1"/>
    </xf>
    <xf numFmtId="4" fontId="6" fillId="2" borderId="18" xfId="0" applyNumberFormat="1" applyFont="1" applyFill="1" applyBorder="1" applyAlignment="1" applyProtection="1">
      <alignment horizontal="right" wrapText="1"/>
    </xf>
    <xf numFmtId="0" fontId="6" fillId="2" borderId="62" xfId="0" applyNumberFormat="1" applyFont="1" applyFill="1" applyBorder="1" applyAlignment="1" applyProtection="1">
      <alignment horizontal="left" vertical="center" readingOrder="1"/>
    </xf>
    <xf numFmtId="4" fontId="6" fillId="2" borderId="62" xfId="0" applyNumberFormat="1" applyFont="1" applyFill="1" applyBorder="1" applyAlignment="1" applyProtection="1">
      <alignment horizontal="right" vertical="center" readingOrder="1"/>
    </xf>
    <xf numFmtId="4" fontId="22" fillId="2" borderId="62" xfId="0" applyNumberFormat="1" applyFont="1" applyFill="1" applyBorder="1" applyAlignment="1" applyProtection="1">
      <alignment horizontal="right" vertical="center" wrapText="1" readingOrder="1"/>
    </xf>
    <xf numFmtId="4" fontId="15" fillId="2" borderId="57" xfId="0" applyNumberFormat="1" applyFont="1" applyFill="1" applyBorder="1" applyAlignment="1" applyProtection="1">
      <alignment horizontal="right" vertical="center"/>
    </xf>
    <xf numFmtId="0" fontId="22" fillId="2" borderId="62" xfId="0" applyNumberFormat="1" applyFont="1" applyFill="1" applyBorder="1" applyAlignment="1" applyProtection="1">
      <alignment horizontal="left" vertical="center" wrapText="1" readingOrder="1"/>
    </xf>
    <xf numFmtId="49" fontId="22" fillId="2" borderId="64" xfId="0" applyNumberFormat="1" applyFont="1" applyFill="1" applyBorder="1" applyAlignment="1" applyProtection="1">
      <alignment horizontal="left" vertical="center" readingOrder="1"/>
    </xf>
    <xf numFmtId="4" fontId="15" fillId="2" borderId="57" xfId="0" applyNumberFormat="1" applyFont="1" applyFill="1" applyBorder="1" applyAlignment="1" applyProtection="1">
      <alignment horizontal="left" vertical="center"/>
    </xf>
    <xf numFmtId="0" fontId="0" fillId="2" borderId="57" xfId="0" applyFill="1" applyBorder="1">
      <alignment horizontal="left" wrapText="1"/>
    </xf>
    <xf numFmtId="4" fontId="22" fillId="0" borderId="63" xfId="0" applyNumberFormat="1" applyFont="1" applyFill="1" applyBorder="1" applyAlignment="1" applyProtection="1">
      <alignment horizontal="right" vertical="center" wrapText="1" readingOrder="1"/>
    </xf>
    <xf numFmtId="49" fontId="36" fillId="2" borderId="18" xfId="0" applyNumberFormat="1" applyFont="1" applyFill="1" applyBorder="1" applyAlignment="1" applyProtection="1">
      <alignment horizontal="left" vertical="center" wrapText="1" readingOrder="1"/>
    </xf>
    <xf numFmtId="4" fontId="15" fillId="2" borderId="18" xfId="2" applyNumberFormat="1" applyFont="1" applyFill="1" applyBorder="1" applyAlignment="1" applyProtection="1">
      <alignment horizontal="right" vertical="center" readingOrder="1"/>
    </xf>
    <xf numFmtId="0" fontId="6" fillId="2" borderId="18" xfId="0" applyNumberFormat="1" applyFont="1" applyFill="1" applyBorder="1" applyAlignment="1" applyProtection="1">
      <alignment horizontal="right" wrapText="1"/>
    </xf>
    <xf numFmtId="0" fontId="6" fillId="2" borderId="18" xfId="0" applyFont="1" applyFill="1" applyBorder="1" applyAlignment="1">
      <alignment horizontal="right" wrapText="1"/>
    </xf>
    <xf numFmtId="4" fontId="144" fillId="2" borderId="18" xfId="2" applyNumberFormat="1" applyFont="1" applyFill="1" applyBorder="1" applyAlignment="1" applyProtection="1">
      <alignment horizontal="right" vertical="center" readingOrder="1"/>
    </xf>
    <xf numFmtId="4" fontId="22" fillId="0" borderId="62" xfId="0" applyNumberFormat="1" applyFont="1" applyFill="1" applyBorder="1" applyAlignment="1" applyProtection="1">
      <alignment horizontal="right" vertical="center" wrapText="1" readingOrder="1"/>
    </xf>
    <xf numFmtId="4" fontId="0" fillId="0" borderId="68" xfId="0" applyNumberFormat="1" applyFill="1" applyBorder="1" applyAlignment="1">
      <alignment horizontal="right" wrapText="1"/>
    </xf>
    <xf numFmtId="4" fontId="6" fillId="0" borderId="68" xfId="0" applyNumberFormat="1" applyFont="1" applyFill="1" applyBorder="1" applyAlignment="1">
      <alignment horizontal="right" wrapText="1"/>
    </xf>
    <xf numFmtId="4" fontId="6" fillId="0" borderId="68" xfId="2" applyNumberFormat="1" applyFont="1" applyFill="1" applyBorder="1" applyAlignment="1" applyProtection="1">
      <alignment horizontal="right" vertical="center" readingOrder="1"/>
    </xf>
    <xf numFmtId="4" fontId="36" fillId="2" borderId="18" xfId="0" applyNumberFormat="1" applyFont="1" applyFill="1" applyBorder="1" applyAlignment="1" applyProtection="1">
      <alignment horizontal="right" vertical="center" wrapText="1" readingOrder="1"/>
    </xf>
    <xf numFmtId="4" fontId="43" fillId="2" borderId="18" xfId="0" applyNumberFormat="1" applyFont="1" applyFill="1" applyBorder="1" applyAlignment="1" applyProtection="1">
      <alignment horizontal="right" vertical="center" readingOrder="1"/>
    </xf>
    <xf numFmtId="0" fontId="0" fillId="2" borderId="18" xfId="0" applyFill="1" applyBorder="1" applyAlignment="1">
      <alignment horizontal="right" wrapText="1"/>
    </xf>
    <xf numFmtId="0" fontId="6" fillId="2" borderId="57" xfId="0" applyNumberFormat="1" applyFont="1" applyFill="1" applyBorder="1">
      <alignment horizontal="left" wrapText="1"/>
    </xf>
    <xf numFmtId="0" fontId="6" fillId="2" borderId="18" xfId="0" applyNumberFormat="1" applyFont="1" applyFill="1" applyBorder="1">
      <alignment horizontal="left" wrapText="1"/>
    </xf>
    <xf numFmtId="0" fontId="0" fillId="2" borderId="18" xfId="0" applyNumberFormat="1" applyFill="1" applyBorder="1">
      <alignment horizontal="left" wrapText="1"/>
    </xf>
    <xf numFmtId="49" fontId="22" fillId="0" borderId="68" xfId="0" applyNumberFormat="1" applyFont="1" applyBorder="1" applyAlignment="1" applyProtection="1">
      <alignment horizontal="left" vertical="center" readingOrder="1"/>
    </xf>
    <xf numFmtId="49" fontId="22" fillId="0" borderId="68" xfId="0" applyNumberFormat="1" applyFont="1" applyFill="1" applyBorder="1" applyAlignment="1" applyProtection="1">
      <alignment horizontal="left" vertical="center" readingOrder="1"/>
    </xf>
    <xf numFmtId="49" fontId="22" fillId="0" borderId="68" xfId="0" applyNumberFormat="1" applyFont="1" applyFill="1" applyBorder="1" applyAlignment="1" applyProtection="1">
      <alignment horizontal="left" vertical="center" wrapText="1" readingOrder="1"/>
    </xf>
    <xf numFmtId="49" fontId="22" fillId="0" borderId="62" xfId="0" applyNumberFormat="1" applyFont="1" applyFill="1" applyBorder="1" applyAlignment="1" applyProtection="1">
      <alignment horizontal="left" vertical="top" readingOrder="1"/>
    </xf>
    <xf numFmtId="0" fontId="11" fillId="2" borderId="18" xfId="0" applyFont="1" applyFill="1" applyBorder="1" applyProtection="1">
      <alignment horizontal="left" wrapText="1"/>
    </xf>
    <xf numFmtId="0" fontId="11" fillId="2" borderId="18" xfId="0" applyFont="1" applyFill="1" applyBorder="1" applyAlignment="1" applyProtection="1">
      <alignment horizontal="right" wrapText="1"/>
    </xf>
    <xf numFmtId="167" fontId="41" fillId="0" borderId="59" xfId="0" applyNumberFormat="1" applyFont="1" applyBorder="1" applyAlignment="1" applyProtection="1">
      <alignment horizontal="center" vertical="center" wrapText="1" readingOrder="1"/>
      <protection locked="0"/>
    </xf>
    <xf numFmtId="0" fontId="146" fillId="2" borderId="18" xfId="0" applyNumberFormat="1" applyFont="1" applyFill="1" applyBorder="1" applyAlignment="1" applyProtection="1">
      <alignment horizontal="left" vertical="center"/>
    </xf>
    <xf numFmtId="0" fontId="73" fillId="0" borderId="0" xfId="0" applyFont="1" applyAlignment="1">
      <alignment horizontal="left"/>
    </xf>
    <xf numFmtId="44" fontId="66" fillId="0" borderId="18" xfId="0" applyNumberFormat="1" applyFont="1" applyBorder="1" applyAlignment="1" applyProtection="1">
      <alignment horizontal="right" vertical="center"/>
    </xf>
    <xf numFmtId="44" fontId="6" fillId="0" borderId="0" xfId="4" applyFont="1" applyAlignment="1" applyProtection="1">
      <alignment horizontal="right" vertical="center"/>
    </xf>
    <xf numFmtId="0" fontId="6" fillId="0" borderId="0" xfId="0" applyNumberFormat="1" applyFont="1" applyAlignment="1" applyProtection="1">
      <alignment horizontal="left" vertical="center"/>
    </xf>
    <xf numFmtId="0" fontId="44" fillId="0" borderId="0" xfId="0" applyFont="1">
      <alignment horizontal="left" wrapText="1"/>
    </xf>
    <xf numFmtId="0" fontId="25" fillId="0" borderId="0" xfId="0" applyFont="1">
      <alignment horizontal="left" wrapText="1"/>
    </xf>
    <xf numFmtId="0" fontId="9" fillId="0" borderId="0" xfId="0" applyFont="1">
      <alignment horizontal="left" wrapText="1"/>
    </xf>
    <xf numFmtId="0" fontId="149" fillId="0" borderId="0" xfId="0" applyFont="1">
      <alignment horizontal="left" wrapText="1"/>
    </xf>
    <xf numFmtId="0" fontId="10" fillId="0" borderId="0" xfId="0" applyFont="1" applyAlignment="1">
      <alignment horizontal="left"/>
    </xf>
    <xf numFmtId="0" fontId="101" fillId="0" borderId="0" xfId="0" applyFont="1" applyAlignment="1">
      <alignment horizontal="left"/>
    </xf>
    <xf numFmtId="0" fontId="6" fillId="0" borderId="68" xfId="0" applyNumberFormat="1" applyFont="1" applyFill="1" applyBorder="1" applyAlignment="1" applyProtection="1">
      <alignment horizontal="left" vertical="center" wrapText="1" readingOrder="1"/>
    </xf>
    <xf numFmtId="49" fontId="22" fillId="0" borderId="22" xfId="0" applyNumberFormat="1" applyFont="1" applyBorder="1" applyAlignment="1" applyProtection="1">
      <alignment horizontal="left" vertical="center" readingOrder="1"/>
    </xf>
    <xf numFmtId="0" fontId="22" fillId="0" borderId="68" xfId="0" applyNumberFormat="1" applyFont="1" applyFill="1" applyBorder="1" applyAlignment="1" applyProtection="1">
      <alignment horizontal="left" vertical="center" readingOrder="1"/>
    </xf>
    <xf numFmtId="0" fontId="41" fillId="0" borderId="18" xfId="0" applyNumberFormat="1" applyFont="1" applyBorder="1" applyAlignment="1" applyProtection="1">
      <alignment vertical="top" wrapText="1" readingOrder="1"/>
    </xf>
    <xf numFmtId="170" fontId="41" fillId="0" borderId="22" xfId="0" applyNumberFormat="1" applyFont="1" applyBorder="1" applyAlignment="1" applyProtection="1">
      <alignment vertical="center" wrapText="1" readingOrder="1"/>
    </xf>
    <xf numFmtId="0" fontId="10" fillId="0" borderId="60" xfId="5" applyNumberFormat="1" applyFont="1" applyFill="1" applyBorder="1" applyAlignment="1">
      <alignment horizontal="right" vertical="top" wrapText="1"/>
    </xf>
    <xf numFmtId="0" fontId="101" fillId="0" borderId="60" xfId="5" applyNumberFormat="1" applyFont="1" applyFill="1" applyBorder="1" applyAlignment="1">
      <alignment horizontal="center" wrapText="1"/>
    </xf>
    <xf numFmtId="0" fontId="152" fillId="0" borderId="60" xfId="5" applyNumberFormat="1" applyFont="1" applyFill="1" applyBorder="1" applyAlignment="1">
      <alignment horizontal="right" vertical="top" wrapText="1"/>
    </xf>
    <xf numFmtId="0" fontId="101" fillId="0" borderId="71" xfId="5" applyNumberFormat="1" applyFont="1" applyFill="1" applyBorder="1" applyAlignment="1">
      <alignment horizontal="center" wrapText="1"/>
    </xf>
    <xf numFmtId="0" fontId="151" fillId="0" borderId="71" xfId="5" applyNumberFormat="1" applyFont="1" applyFill="1" applyBorder="1" applyAlignment="1">
      <alignment horizontal="center" wrapText="1"/>
    </xf>
    <xf numFmtId="0" fontId="10" fillId="0" borderId="56" xfId="5" applyNumberFormat="1" applyFont="1" applyFill="1" applyBorder="1" applyAlignment="1">
      <alignment horizontal="right" vertical="top" wrapText="1"/>
    </xf>
    <xf numFmtId="0" fontId="152" fillId="0" borderId="56" xfId="5" applyNumberFormat="1" applyFont="1" applyFill="1" applyBorder="1" applyAlignment="1">
      <alignment horizontal="right" vertical="top" wrapText="1"/>
    </xf>
    <xf numFmtId="0" fontId="10" fillId="0" borderId="71" xfId="5" applyNumberFormat="1" applyFont="1" applyFill="1" applyBorder="1" applyAlignment="1">
      <alignment horizontal="right" vertical="top" wrapText="1"/>
    </xf>
    <xf numFmtId="0" fontId="152" fillId="0" borderId="71" xfId="5" applyNumberFormat="1" applyFont="1" applyFill="1" applyBorder="1" applyAlignment="1">
      <alignment horizontal="right" vertical="top" wrapText="1"/>
    </xf>
    <xf numFmtId="0" fontId="10" fillId="0" borderId="56" xfId="5" applyNumberFormat="1" applyFont="1" applyFill="1" applyBorder="1" applyAlignment="1">
      <alignment horizontal="left" vertical="top" wrapText="1" indent="2"/>
    </xf>
    <xf numFmtId="0" fontId="10" fillId="0" borderId="60" xfId="5" applyNumberFormat="1" applyFont="1" applyFill="1" applyBorder="1" applyAlignment="1">
      <alignment horizontal="left" vertical="top" wrapText="1" indent="2"/>
    </xf>
    <xf numFmtId="0" fontId="10" fillId="0" borderId="71" xfId="5" applyNumberFormat="1" applyFont="1" applyFill="1" applyBorder="1" applyAlignment="1">
      <alignment horizontal="left" vertical="top" wrapText="1" indent="2"/>
    </xf>
    <xf numFmtId="0" fontId="153" fillId="4" borderId="72" xfId="5" applyNumberFormat="1" applyFont="1" applyFill="1" applyBorder="1" applyAlignment="1">
      <alignment horizontal="left" vertical="top" wrapText="1"/>
    </xf>
    <xf numFmtId="0" fontId="136" fillId="4" borderId="72" xfId="5" applyNumberFormat="1" applyFont="1" applyFill="1" applyBorder="1" applyAlignment="1">
      <alignment horizontal="right" vertical="top" wrapText="1"/>
    </xf>
    <xf numFmtId="0" fontId="137" fillId="4" borderId="72" xfId="5" applyNumberFormat="1" applyFont="1" applyFill="1" applyBorder="1" applyAlignment="1">
      <alignment horizontal="right" vertical="top" wrapText="1"/>
    </xf>
    <xf numFmtId="0" fontId="101" fillId="0" borderId="60" xfId="5" applyNumberFormat="1" applyFont="1" applyFill="1" applyBorder="1" applyAlignment="1">
      <alignment horizontal="center" wrapText="1" shrinkToFit="1"/>
    </xf>
    <xf numFmtId="0" fontId="151" fillId="4" borderId="72" xfId="5" applyNumberFormat="1" applyFont="1" applyFill="1" applyBorder="1" applyAlignment="1">
      <alignment horizontal="right" vertical="top" wrapText="1"/>
    </xf>
    <xf numFmtId="0" fontId="152" fillId="4" borderId="72" xfId="5" applyNumberFormat="1" applyFont="1" applyFill="1" applyBorder="1" applyAlignment="1">
      <alignment horizontal="right" vertical="top" wrapText="1"/>
    </xf>
    <xf numFmtId="0" fontId="154" fillId="0" borderId="56" xfId="5" applyNumberFormat="1" applyFont="1" applyFill="1" applyBorder="1" applyAlignment="1">
      <alignment horizontal="right" vertical="top" wrapText="1"/>
    </xf>
    <xf numFmtId="49" fontId="30" fillId="0" borderId="18" xfId="0" applyNumberFormat="1" applyFont="1" applyBorder="1" applyAlignment="1" applyProtection="1">
      <alignment horizontal="left" vertical="center" wrapText="1" readingOrder="1"/>
    </xf>
    <xf numFmtId="0" fontId="6" fillId="0" borderId="60" xfId="0" applyNumberFormat="1" applyFont="1" applyBorder="1" applyAlignment="1">
      <alignment horizontal="center" vertical="center"/>
    </xf>
    <xf numFmtId="2" fontId="6" fillId="0" borderId="60" xfId="0" applyNumberFormat="1" applyFont="1" applyBorder="1" applyAlignment="1">
      <alignment horizontal="center" vertical="center"/>
    </xf>
    <xf numFmtId="1" fontId="6" fillId="0" borderId="60" xfId="0" applyNumberFormat="1" applyFont="1" applyBorder="1" applyAlignment="1">
      <alignment horizontal="center" vertical="center"/>
    </xf>
    <xf numFmtId="0" fontId="154" fillId="0" borderId="56" xfId="0" applyFont="1" applyBorder="1" applyAlignment="1">
      <alignment horizontal="right" vertical="top" wrapText="1"/>
    </xf>
    <xf numFmtId="0" fontId="152" fillId="0" borderId="56" xfId="5" applyNumberFormat="1" applyFont="1" applyFill="1" applyBorder="1" applyAlignment="1">
      <alignment horizontal="center" vertical="top" wrapText="1"/>
    </xf>
    <xf numFmtId="0" fontId="154" fillId="0" borderId="56" xfId="0" applyFont="1" applyBorder="1" applyAlignment="1">
      <alignment horizontal="center" vertical="top" wrapText="1"/>
    </xf>
    <xf numFmtId="0" fontId="6" fillId="0" borderId="22" xfId="0" applyNumberFormat="1" applyFont="1" applyBorder="1" applyAlignment="1" applyProtection="1">
      <alignment horizontal="right" vertical="center" readingOrder="1"/>
    </xf>
    <xf numFmtId="0" fontId="140" fillId="0" borderId="65" xfId="0" applyFont="1" applyFill="1" applyBorder="1" applyAlignment="1">
      <alignment horizontal="right" wrapText="1"/>
    </xf>
    <xf numFmtId="0" fontId="140" fillId="0" borderId="66" xfId="0" applyFont="1" applyFill="1" applyBorder="1" applyAlignment="1">
      <alignment horizontal="right" wrapText="1"/>
    </xf>
    <xf numFmtId="0" fontId="139" fillId="3" borderId="63" xfId="0" applyFont="1" applyFill="1" applyBorder="1" applyAlignment="1">
      <alignment horizontal="center"/>
    </xf>
    <xf numFmtId="0" fontId="139" fillId="3" borderId="64" xfId="0" applyFont="1" applyFill="1" applyBorder="1" applyAlignment="1">
      <alignment horizontal="center"/>
    </xf>
    <xf numFmtId="0" fontId="139" fillId="0" borderId="55" xfId="0" applyFont="1" applyFill="1" applyBorder="1">
      <alignment horizontal="left" wrapText="1"/>
    </xf>
    <xf numFmtId="0" fontId="0" fillId="2" borderId="18" xfId="0" applyFill="1" applyBorder="1" applyAlignment="1"/>
    <xf numFmtId="0" fontId="126" fillId="3" borderId="77" xfId="0" applyFont="1" applyFill="1" applyBorder="1">
      <alignment horizontal="left" wrapText="1"/>
    </xf>
    <xf numFmtId="0" fontId="126" fillId="0" borderId="77" xfId="0" applyFont="1" applyBorder="1" applyAlignment="1">
      <alignment horizontal="left"/>
    </xf>
    <xf numFmtId="0" fontId="103" fillId="0" borderId="77" xfId="0" applyFont="1" applyBorder="1" applyAlignment="1">
      <alignment horizontal="right"/>
    </xf>
    <xf numFmtId="0" fontId="0" fillId="0" borderId="77" xfId="0" applyBorder="1" applyAlignment="1"/>
    <xf numFmtId="0" fontId="126" fillId="3" borderId="77" xfId="0" applyFont="1" applyFill="1" applyBorder="1" applyAlignment="1">
      <alignment horizontal="left"/>
    </xf>
    <xf numFmtId="0" fontId="103" fillId="0" borderId="77" xfId="0" applyFont="1" applyBorder="1" applyAlignment="1">
      <alignment horizontal="right" wrapText="1"/>
    </xf>
    <xf numFmtId="0" fontId="126" fillId="0" borderId="77" xfId="0" applyFont="1" applyBorder="1" applyAlignment="1">
      <alignment horizontal="right" wrapText="1"/>
    </xf>
    <xf numFmtId="0" fontId="126" fillId="0" borderId="77" xfId="0" applyFont="1" applyBorder="1" applyAlignment="1">
      <alignment horizontal="right"/>
    </xf>
    <xf numFmtId="0" fontId="139" fillId="0" borderId="55" xfId="0" applyFont="1" applyFill="1" applyBorder="1" applyAlignment="1">
      <alignment horizontal="left"/>
    </xf>
    <xf numFmtId="2" fontId="141" fillId="0" borderId="55" xfId="0" applyNumberFormat="1" applyFont="1" applyFill="1" applyBorder="1" applyAlignment="1" applyProtection="1">
      <alignment horizontal="center"/>
    </xf>
    <xf numFmtId="0" fontId="139" fillId="0" borderId="55" xfId="0" applyFont="1" applyFill="1" applyBorder="1" applyAlignment="1" applyProtection="1">
      <alignment horizontal="center"/>
    </xf>
    <xf numFmtId="0" fontId="139" fillId="0" borderId="55" xfId="0" applyFont="1" applyFill="1" applyBorder="1" applyAlignment="1" applyProtection="1"/>
    <xf numFmtId="0" fontId="9" fillId="0" borderId="18" xfId="0" applyFont="1" applyBorder="1" applyAlignment="1" applyProtection="1">
      <alignment horizontal="left" vertical="center" wrapText="1"/>
    </xf>
    <xf numFmtId="0" fontId="8" fillId="0" borderId="18" xfId="0" applyNumberFormat="1" applyFont="1" applyBorder="1" applyAlignment="1" applyProtection="1">
      <alignment horizontal="left" vertical="center" wrapText="1"/>
      <protection locked="0"/>
    </xf>
    <xf numFmtId="0" fontId="8" fillId="0" borderId="18" xfId="0" applyNumberFormat="1" applyFont="1" applyBorder="1" applyAlignment="1" applyProtection="1">
      <alignment horizontal="left" vertical="center" wrapText="1"/>
    </xf>
    <xf numFmtId="0" fontId="50" fillId="0" borderId="18" xfId="0" applyNumberFormat="1" applyFont="1" applyBorder="1" applyAlignment="1" applyProtection="1">
      <alignment horizontal="left" vertical="center"/>
      <protection locked="0"/>
    </xf>
    <xf numFmtId="49" fontId="8" fillId="0" borderId="18" xfId="0" applyNumberFormat="1" applyFont="1" applyBorder="1" applyAlignment="1">
      <alignment horizontal="left" vertical="center" wrapText="1"/>
    </xf>
    <xf numFmtId="49" fontId="6" fillId="0" borderId="26" xfId="0" applyNumberFormat="1" applyFont="1" applyBorder="1" applyAlignment="1" applyProtection="1">
      <alignment horizontal="left" vertical="center" wrapText="1"/>
    </xf>
    <xf numFmtId="0" fontId="141" fillId="0" borderId="55" xfId="0" applyFont="1" applyFill="1" applyBorder="1" applyAlignment="1" applyProtection="1"/>
    <xf numFmtId="1" fontId="141" fillId="0" borderId="55" xfId="0" applyNumberFormat="1" applyFont="1" applyFill="1" applyBorder="1" applyAlignment="1" applyProtection="1"/>
    <xf numFmtId="0" fontId="140" fillId="3" borderId="55" xfId="0" applyFont="1" applyFill="1" applyBorder="1" applyAlignment="1">
      <alignment vertical="center" wrapText="1"/>
    </xf>
    <xf numFmtId="0" fontId="127" fillId="3" borderId="55" xfId="0" applyFont="1" applyFill="1" applyBorder="1" applyAlignment="1">
      <alignment wrapText="1"/>
    </xf>
    <xf numFmtId="0" fontId="157" fillId="0" borderId="56" xfId="5" applyNumberFormat="1" applyFont="1" applyFill="1" applyBorder="1" applyAlignment="1">
      <alignment horizontal="right" vertical="top" wrapText="1"/>
    </xf>
    <xf numFmtId="170" fontId="66" fillId="0" borderId="18" xfId="0" applyNumberFormat="1" applyFont="1" applyBorder="1" applyAlignment="1" applyProtection="1">
      <alignment horizontal="right" vertical="center"/>
    </xf>
    <xf numFmtId="0" fontId="136" fillId="4" borderId="72" xfId="5" applyNumberFormat="1" applyFont="1" applyFill="1" applyBorder="1" applyAlignment="1">
      <alignment horizontal="center" vertical="top" wrapText="1"/>
    </xf>
    <xf numFmtId="0" fontId="152" fillId="0" borderId="60" xfId="5" applyNumberFormat="1" applyFont="1" applyFill="1" applyBorder="1" applyAlignment="1">
      <alignment horizontal="center" vertical="top" wrapText="1"/>
    </xf>
    <xf numFmtId="0" fontId="152" fillId="0" borderId="71" xfId="5" applyNumberFormat="1" applyFont="1" applyFill="1" applyBorder="1" applyAlignment="1">
      <alignment horizontal="center" vertical="top" wrapText="1"/>
    </xf>
    <xf numFmtId="0" fontId="137" fillId="4" borderId="72" xfId="5" applyNumberFormat="1" applyFont="1" applyFill="1" applyBorder="1" applyAlignment="1">
      <alignment horizontal="center" vertical="top" wrapText="1"/>
    </xf>
    <xf numFmtId="49" fontId="6" fillId="0" borderId="80" xfId="0" applyNumberFormat="1" applyFont="1" applyBorder="1" applyAlignment="1" applyProtection="1">
      <alignment horizontal="left" vertical="center" wrapText="1" indent="2"/>
    </xf>
    <xf numFmtId="49" fontId="6" fillId="0" borderId="80" xfId="0" applyNumberFormat="1" applyFont="1" applyBorder="1" applyAlignment="1" applyProtection="1">
      <alignment horizontal="left" vertical="center"/>
    </xf>
    <xf numFmtId="1" fontId="41" fillId="0" borderId="80" xfId="0" applyNumberFormat="1" applyFont="1" applyBorder="1" applyAlignment="1" applyProtection="1">
      <alignment horizontal="left" vertical="center"/>
      <protection locked="0"/>
    </xf>
    <xf numFmtId="49" fontId="6" fillId="0" borderId="80" xfId="0" applyNumberFormat="1" applyFont="1" applyBorder="1" applyAlignment="1" applyProtection="1">
      <alignment horizontal="left" vertical="center" wrapText="1"/>
    </xf>
    <xf numFmtId="44" fontId="36" fillId="0" borderId="80" xfId="4" applyFont="1" applyBorder="1" applyAlignment="1" applyProtection="1">
      <alignment horizontal="right" vertical="center" wrapText="1"/>
    </xf>
    <xf numFmtId="49" fontId="6" fillId="0" borderId="80" xfId="0" applyNumberFormat="1" applyFont="1" applyBorder="1" applyAlignment="1" applyProtection="1">
      <alignment horizontal="left" vertical="center" indent="2"/>
    </xf>
    <xf numFmtId="0" fontId="6" fillId="0" borderId="80" xfId="0" applyFont="1" applyBorder="1" applyAlignment="1" applyProtection="1">
      <alignment horizontal="left" vertical="center"/>
    </xf>
    <xf numFmtId="0" fontId="0" fillId="0" borderId="80" xfId="0" applyNumberFormat="1" applyBorder="1" applyProtection="1">
      <alignment horizontal="left" wrapText="1"/>
    </xf>
    <xf numFmtId="2" fontId="36" fillId="0" borderId="80" xfId="0" applyNumberFormat="1" applyFont="1" applyBorder="1" applyAlignment="1" applyProtection="1">
      <alignment horizontal="left" vertical="center" wrapText="1"/>
    </xf>
    <xf numFmtId="170" fontId="36" fillId="0" borderId="80" xfId="2" applyNumberFormat="1" applyFont="1" applyBorder="1" applyAlignment="1" applyProtection="1">
      <alignment horizontal="right" vertical="center" wrapText="1"/>
    </xf>
    <xf numFmtId="49" fontId="6" fillId="0" borderId="26" xfId="0" applyNumberFormat="1" applyFont="1" applyBorder="1" applyAlignment="1" applyProtection="1">
      <alignment horizontal="left" vertical="center"/>
    </xf>
    <xf numFmtId="4" fontId="6" fillId="0" borderId="80" xfId="0" applyNumberFormat="1" applyFont="1" applyBorder="1" applyAlignment="1" applyProtection="1">
      <alignment horizontal="left" vertical="center" wrapText="1"/>
    </xf>
    <xf numFmtId="4" fontId="22" fillId="0" borderId="80" xfId="2" applyNumberFormat="1" applyFont="1" applyBorder="1" applyAlignment="1" applyProtection="1">
      <alignment horizontal="left" vertical="center" wrapText="1"/>
    </xf>
    <xf numFmtId="4" fontId="6" fillId="0" borderId="80" xfId="2" applyNumberFormat="1" applyFont="1" applyBorder="1" applyAlignment="1" applyProtection="1">
      <alignment horizontal="right" vertical="center"/>
    </xf>
    <xf numFmtId="4" fontId="36" fillId="0" borderId="80" xfId="2" applyNumberFormat="1" applyFont="1" applyFill="1" applyBorder="1" applyAlignment="1" applyProtection="1">
      <alignment horizontal="right" vertical="center" wrapText="1"/>
    </xf>
    <xf numFmtId="4" fontId="6" fillId="0" borderId="80" xfId="0" applyNumberFormat="1" applyFont="1" applyFill="1" applyBorder="1" applyAlignment="1" applyProtection="1">
      <alignment horizontal="left" vertical="center" wrapText="1"/>
    </xf>
    <xf numFmtId="4" fontId="6" fillId="0" borderId="80" xfId="2" applyNumberFormat="1" applyFont="1" applyFill="1" applyBorder="1" applyAlignment="1" applyProtection="1">
      <alignment horizontal="left" vertical="center" wrapText="1"/>
    </xf>
    <xf numFmtId="4" fontId="6" fillId="0" borderId="80" xfId="2" applyNumberFormat="1" applyFont="1" applyFill="1" applyBorder="1" applyAlignment="1" applyProtection="1">
      <alignment horizontal="right" vertical="center"/>
    </xf>
    <xf numFmtId="4" fontId="22" fillId="0" borderId="80" xfId="0" applyNumberFormat="1" applyFont="1" applyBorder="1" applyAlignment="1" applyProtection="1">
      <alignment horizontal="right" vertical="center" wrapText="1"/>
    </xf>
    <xf numFmtId="4" fontId="6" fillId="0" borderId="80" xfId="0" applyNumberFormat="1" applyFont="1" applyBorder="1" applyAlignment="1" applyProtection="1">
      <alignment horizontal="left" vertical="center"/>
    </xf>
    <xf numFmtId="4" fontId="41" fillId="0" borderId="80" xfId="2" applyNumberFormat="1" applyFont="1" applyBorder="1" applyAlignment="1" applyProtection="1">
      <alignment horizontal="right" vertical="center" wrapText="1"/>
      <protection locked="0"/>
    </xf>
    <xf numFmtId="4" fontId="8" fillId="0" borderId="80" xfId="0" applyNumberFormat="1" applyFont="1" applyBorder="1" applyAlignment="1" applyProtection="1">
      <alignment horizontal="right" vertical="center" wrapText="1"/>
      <protection locked="0"/>
    </xf>
    <xf numFmtId="4" fontId="22" fillId="0" borderId="80" xfId="2" applyNumberFormat="1" applyFont="1" applyBorder="1" applyAlignment="1" applyProtection="1">
      <alignment horizontal="right" vertical="center" wrapText="1"/>
    </xf>
    <xf numFmtId="4" fontId="8" fillId="0" borderId="80" xfId="0" applyNumberFormat="1" applyFont="1" applyBorder="1" applyAlignment="1" applyProtection="1">
      <alignment horizontal="left" vertical="center" wrapText="1"/>
    </xf>
    <xf numFmtId="4" fontId="22" fillId="0" borderId="80" xfId="2" applyNumberFormat="1" applyFont="1" applyFill="1" applyBorder="1" applyAlignment="1" applyProtection="1">
      <alignment horizontal="left" vertical="center" wrapText="1"/>
    </xf>
    <xf numFmtId="4" fontId="0" fillId="0" borderId="80" xfId="0" applyNumberFormat="1" applyBorder="1" applyProtection="1">
      <alignment horizontal="left" wrapText="1"/>
    </xf>
    <xf numFmtId="2" fontId="36" fillId="0" borderId="80" xfId="0" applyNumberFormat="1" applyFont="1" applyBorder="1" applyAlignment="1" applyProtection="1">
      <alignment horizontal="right" vertical="center" wrapText="1"/>
    </xf>
    <xf numFmtId="2" fontId="36" fillId="0" borderId="80" xfId="0" applyNumberFormat="1" applyFont="1" applyFill="1" applyBorder="1" applyAlignment="1" applyProtection="1">
      <alignment horizontal="right" vertical="center" wrapText="1"/>
    </xf>
    <xf numFmtId="49" fontId="6" fillId="0" borderId="80" xfId="0" applyNumberFormat="1" applyFont="1" applyFill="1" applyBorder="1" applyAlignment="1" applyProtection="1">
      <alignment horizontal="left" vertical="center" wrapText="1"/>
    </xf>
    <xf numFmtId="0" fontId="0" fillId="0" borderId="80" xfId="0" applyNumberFormat="1" applyFill="1" applyBorder="1" applyProtection="1">
      <alignment horizontal="left" wrapText="1"/>
    </xf>
    <xf numFmtId="4" fontId="15" fillId="0" borderId="80" xfId="0" applyNumberFormat="1" applyFont="1" applyBorder="1" applyAlignment="1" applyProtection="1">
      <alignment horizontal="left" vertical="center" wrapText="1"/>
    </xf>
    <xf numFmtId="4" fontId="36" fillId="0" borderId="80" xfId="0" applyNumberFormat="1" applyFont="1" applyBorder="1" applyAlignment="1" applyProtection="1">
      <alignment horizontal="right" vertical="center" wrapText="1"/>
    </xf>
    <xf numFmtId="2" fontId="47" fillId="0" borderId="80" xfId="0" applyNumberFormat="1" applyFont="1" applyBorder="1" applyAlignment="1">
      <alignment horizontal="right" vertical="center" wrapText="1"/>
    </xf>
    <xf numFmtId="49" fontId="66" fillId="0" borderId="80" xfId="0" applyNumberFormat="1" applyFont="1" applyBorder="1" applyAlignment="1">
      <alignment horizontal="left" vertical="center" wrapText="1"/>
    </xf>
    <xf numFmtId="4" fontId="36" fillId="0" borderId="80" xfId="0" applyNumberFormat="1" applyFont="1" applyFill="1" applyBorder="1" applyAlignment="1" applyProtection="1">
      <alignment horizontal="right" vertical="center" wrapText="1"/>
    </xf>
    <xf numFmtId="49" fontId="6" fillId="0" borderId="80" xfId="0" applyNumberFormat="1" applyFont="1" applyFill="1" applyBorder="1" applyAlignment="1" applyProtection="1">
      <alignment horizontal="left" vertical="center"/>
    </xf>
    <xf numFmtId="2" fontId="47" fillId="0" borderId="80" xfId="0" applyNumberFormat="1" applyFont="1" applyFill="1" applyBorder="1" applyAlignment="1">
      <alignment horizontal="right" vertical="center" wrapText="1"/>
    </xf>
    <xf numFmtId="49" fontId="66" fillId="0" borderId="80" xfId="0" applyNumberFormat="1" applyFont="1" applyFill="1" applyBorder="1" applyAlignment="1">
      <alignment horizontal="left" vertical="center" wrapText="1"/>
    </xf>
    <xf numFmtId="9" fontId="14" fillId="0" borderId="80" xfId="0" applyNumberFormat="1" applyFont="1" applyBorder="1" applyAlignment="1" applyProtection="1">
      <alignment horizontal="right" vertical="center" wrapText="1"/>
    </xf>
    <xf numFmtId="49" fontId="6" fillId="0" borderId="81" xfId="0" applyNumberFormat="1" applyFont="1" applyBorder="1" applyAlignment="1" applyProtection="1">
      <alignment horizontal="left" vertical="center" readingOrder="1"/>
    </xf>
    <xf numFmtId="0" fontId="103" fillId="0" borderId="81" xfId="0" applyFont="1" applyBorder="1">
      <alignment horizontal="left" wrapText="1"/>
    </xf>
    <xf numFmtId="49" fontId="22" fillId="0" borderId="81" xfId="0" applyNumberFormat="1" applyFont="1" applyBorder="1" applyAlignment="1" applyProtection="1">
      <alignment horizontal="left" vertical="center" indent="2" readingOrder="1"/>
    </xf>
    <xf numFmtId="49" fontId="6" fillId="0" borderId="81" xfId="0" applyNumberFormat="1" applyFont="1" applyBorder="1" applyAlignment="1" applyProtection="1">
      <alignment horizontal="left" vertical="center" indent="2" readingOrder="1"/>
    </xf>
    <xf numFmtId="49" fontId="6" fillId="0" borderId="81" xfId="0" applyNumberFormat="1" applyFont="1" applyBorder="1" applyAlignment="1" applyProtection="1">
      <alignment horizontal="left" vertical="center"/>
    </xf>
    <xf numFmtId="4" fontId="36" fillId="0" borderId="81" xfId="2" applyNumberFormat="1" applyFont="1" applyBorder="1" applyAlignment="1" applyProtection="1">
      <alignment vertical="center" wrapText="1" readingOrder="1"/>
    </xf>
    <xf numFmtId="0" fontId="70" fillId="0" borderId="81" xfId="0" applyFont="1" applyBorder="1" applyAlignment="1" applyProtection="1">
      <alignment horizontal="right" vertical="center"/>
    </xf>
    <xf numFmtId="2" fontId="22" fillId="0" borderId="81" xfId="0" applyNumberFormat="1" applyFont="1" applyBorder="1" applyAlignment="1" applyProtection="1">
      <alignment horizontal="left" vertical="center" readingOrder="1"/>
    </xf>
    <xf numFmtId="9" fontId="0" fillId="0" borderId="0" xfId="1" applyFont="1" applyAlignment="1" applyProtection="1">
      <alignment horizontal="left" wrapText="1"/>
    </xf>
    <xf numFmtId="9" fontId="8" fillId="0" borderId="5" xfId="1" applyFont="1" applyBorder="1" applyAlignment="1" applyProtection="1">
      <alignment horizontal="right" vertical="center" wrapText="1"/>
      <protection locked="0"/>
    </xf>
    <xf numFmtId="0" fontId="166" fillId="0" borderId="0" xfId="0" applyFont="1">
      <alignment horizontal="left" wrapText="1"/>
    </xf>
    <xf numFmtId="0" fontId="0" fillId="2" borderId="0" xfId="0" applyFill="1" applyAlignment="1">
      <alignment horizontal="right" wrapText="1"/>
    </xf>
    <xf numFmtId="49" fontId="164" fillId="2" borderId="12" xfId="0" applyNumberFormat="1" applyFont="1" applyFill="1" applyBorder="1" applyAlignment="1" applyProtection="1">
      <alignment horizontal="left"/>
    </xf>
    <xf numFmtId="49" fontId="164" fillId="2" borderId="18" xfId="0" applyNumberFormat="1" applyFont="1" applyFill="1" applyBorder="1" applyAlignment="1" applyProtection="1">
      <alignment horizontal="left"/>
    </xf>
    <xf numFmtId="0" fontId="166" fillId="2" borderId="0" xfId="0" applyFont="1" applyFill="1">
      <alignment horizontal="left" wrapText="1"/>
    </xf>
    <xf numFmtId="0" fontId="94" fillId="2" borderId="0" xfId="0" applyFont="1" applyFill="1" applyProtection="1">
      <alignment horizontal="left" wrapText="1"/>
    </xf>
    <xf numFmtId="0" fontId="112" fillId="2" borderId="0" xfId="0" applyFont="1" applyFill="1" applyProtection="1">
      <alignment horizontal="left" wrapText="1"/>
    </xf>
    <xf numFmtId="0" fontId="112" fillId="2" borderId="0" xfId="0" applyFont="1" applyFill="1" applyAlignment="1" applyProtection="1">
      <alignment horizontal="right" wrapText="1"/>
    </xf>
    <xf numFmtId="4" fontId="118" fillId="2" borderId="0" xfId="0" applyNumberFormat="1" applyFont="1" applyFill="1" applyAlignment="1" applyProtection="1">
      <alignment horizontal="right" wrapText="1"/>
    </xf>
    <xf numFmtId="0" fontId="112" fillId="2" borderId="0" xfId="0" applyFont="1" applyFill="1" applyAlignment="1" applyProtection="1"/>
    <xf numFmtId="4" fontId="111" fillId="2" borderId="0" xfId="0" applyNumberFormat="1" applyFont="1" applyFill="1" applyAlignment="1" applyProtection="1">
      <alignment horizontal="right" wrapText="1"/>
    </xf>
    <xf numFmtId="0" fontId="112" fillId="2" borderId="0" xfId="0" applyFont="1" applyFill="1" applyAlignment="1" applyProtection="1">
      <alignment horizontal="left"/>
    </xf>
    <xf numFmtId="4" fontId="112" fillId="2" borderId="0" xfId="0" applyNumberFormat="1" applyFont="1" applyFill="1" applyAlignment="1" applyProtection="1">
      <alignment horizontal="right" wrapText="1"/>
    </xf>
    <xf numFmtId="0" fontId="114" fillId="2" borderId="0" xfId="0" applyFont="1" applyFill="1" applyAlignment="1" applyProtection="1">
      <alignment horizontal="right" wrapText="1"/>
    </xf>
    <xf numFmtId="0" fontId="121" fillId="2" borderId="0" xfId="0" applyFont="1" applyFill="1" applyProtection="1">
      <alignment horizontal="left" wrapText="1"/>
    </xf>
    <xf numFmtId="0" fontId="93" fillId="2" borderId="0" xfId="0" applyFont="1" applyFill="1">
      <alignment horizontal="left" wrapText="1"/>
    </xf>
    <xf numFmtId="3" fontId="112" fillId="2" borderId="0" xfId="0" applyNumberFormat="1" applyFont="1" applyFill="1" applyAlignment="1" applyProtection="1">
      <alignment horizontal="right" wrapText="1"/>
    </xf>
    <xf numFmtId="178" fontId="112" fillId="2" borderId="0" xfId="0" applyNumberFormat="1" applyFont="1" applyFill="1" applyAlignment="1" applyProtection="1">
      <alignment horizontal="right" wrapText="1"/>
    </xf>
    <xf numFmtId="4" fontId="114" fillId="2" borderId="0" xfId="0" applyNumberFormat="1" applyFont="1" applyFill="1" applyAlignment="1" applyProtection="1">
      <alignment horizontal="right" wrapText="1"/>
    </xf>
    <xf numFmtId="9" fontId="112" fillId="2" borderId="0" xfId="1" applyFont="1" applyFill="1" applyAlignment="1" applyProtection="1">
      <alignment horizontal="right" wrapText="1"/>
    </xf>
    <xf numFmtId="174" fontId="112" fillId="2" borderId="0" xfId="0" applyNumberFormat="1" applyFont="1" applyFill="1" applyAlignment="1" applyProtection="1">
      <alignment horizontal="right" wrapText="1"/>
    </xf>
    <xf numFmtId="4" fontId="158" fillId="2" borderId="0" xfId="0" applyNumberFormat="1" applyFont="1" applyFill="1" applyAlignment="1" applyProtection="1">
      <alignment horizontal="right" wrapText="1"/>
    </xf>
    <xf numFmtId="4" fontId="123" fillId="2" borderId="0" xfId="0" applyNumberFormat="1" applyFont="1" applyFill="1" applyAlignment="1" applyProtection="1">
      <alignment horizontal="right" wrapText="1"/>
    </xf>
    <xf numFmtId="166" fontId="112" fillId="2" borderId="0" xfId="2" applyNumberFormat="1" applyFont="1" applyFill="1" applyAlignment="1" applyProtection="1">
      <alignment horizontal="right" wrapText="1"/>
    </xf>
    <xf numFmtId="1" fontId="118" fillId="2" borderId="0" xfId="0" applyNumberFormat="1" applyFont="1" applyFill="1" applyAlignment="1" applyProtection="1">
      <alignment horizontal="right" wrapText="1"/>
    </xf>
    <xf numFmtId="4" fontId="118" fillId="2" borderId="0" xfId="0" applyNumberFormat="1" applyFont="1" applyFill="1" applyAlignment="1" applyProtection="1"/>
    <xf numFmtId="43" fontId="118" fillId="2" borderId="0" xfId="2" applyFont="1" applyFill="1" applyAlignment="1" applyProtection="1">
      <alignment horizontal="right" wrapText="1"/>
    </xf>
    <xf numFmtId="43" fontId="119" fillId="2" borderId="0" xfId="0" applyNumberFormat="1" applyFont="1" applyFill="1" applyAlignment="1" applyProtection="1">
      <alignment horizontal="right" wrapText="1"/>
    </xf>
    <xf numFmtId="43" fontId="118" fillId="2" borderId="0" xfId="0" applyNumberFormat="1" applyFont="1" applyFill="1" applyAlignment="1" applyProtection="1">
      <alignment horizontal="right" wrapText="1"/>
    </xf>
    <xf numFmtId="0" fontId="93" fillId="2" borderId="57" xfId="0" applyFont="1" applyFill="1" applyBorder="1">
      <alignment horizontal="left" wrapText="1"/>
    </xf>
    <xf numFmtId="0" fontId="118" fillId="2" borderId="57" xfId="0" applyFont="1" applyFill="1" applyBorder="1" applyProtection="1">
      <alignment horizontal="left" wrapText="1"/>
    </xf>
    <xf numFmtId="0" fontId="118" fillId="2" borderId="18" xfId="0" applyFont="1" applyFill="1" applyBorder="1" applyProtection="1">
      <alignment horizontal="left" wrapText="1"/>
    </xf>
    <xf numFmtId="167" fontId="112" fillId="2" borderId="0" xfId="0" applyNumberFormat="1" applyFont="1" applyFill="1" applyAlignment="1" applyProtection="1">
      <alignment horizontal="right" wrapText="1"/>
    </xf>
    <xf numFmtId="175" fontId="112" fillId="2" borderId="0" xfId="0" applyNumberFormat="1" applyFont="1" applyFill="1" applyAlignment="1" applyProtection="1">
      <alignment horizontal="right" wrapText="1"/>
    </xf>
    <xf numFmtId="0" fontId="117" fillId="2" borderId="0" xfId="0" applyFont="1" applyFill="1" applyProtection="1">
      <alignment horizontal="left" wrapText="1"/>
    </xf>
    <xf numFmtId="0" fontId="71" fillId="2" borderId="0" xfId="0" applyFont="1" applyFill="1" applyProtection="1">
      <alignment horizontal="left" wrapText="1"/>
    </xf>
    <xf numFmtId="173" fontId="112" fillId="2" borderId="0" xfId="0" applyNumberFormat="1" applyFont="1" applyFill="1" applyAlignment="1" applyProtection="1">
      <alignment horizontal="right" wrapText="1"/>
    </xf>
    <xf numFmtId="4" fontId="118" fillId="2" borderId="57" xfId="0" applyNumberFormat="1" applyFont="1" applyFill="1" applyBorder="1" applyAlignment="1" applyProtection="1">
      <alignment horizontal="left"/>
    </xf>
    <xf numFmtId="4" fontId="119" fillId="2" borderId="0" xfId="0" applyNumberFormat="1" applyFont="1" applyFill="1" applyAlignment="1" applyProtection="1">
      <alignment horizontal="right" wrapText="1"/>
    </xf>
    <xf numFmtId="4" fontId="112" fillId="2" borderId="82" xfId="0" applyNumberFormat="1" applyFont="1" applyFill="1" applyBorder="1" applyAlignment="1" applyProtection="1"/>
    <xf numFmtId="0" fontId="0" fillId="2" borderId="82" xfId="0" applyFill="1" applyBorder="1">
      <alignment horizontal="left" wrapText="1"/>
    </xf>
    <xf numFmtId="43" fontId="112" fillId="2" borderId="0" xfId="2" applyFont="1" applyFill="1" applyAlignment="1" applyProtection="1">
      <alignment horizontal="right" wrapText="1"/>
    </xf>
    <xf numFmtId="43" fontId="112" fillId="2" borderId="0" xfId="2" applyFont="1" applyFill="1" applyAlignment="1" applyProtection="1">
      <alignment horizontal="left" wrapText="1"/>
    </xf>
    <xf numFmtId="4" fontId="112" fillId="2" borderId="28" xfId="0" applyNumberFormat="1" applyFont="1" applyFill="1" applyBorder="1" applyAlignment="1" applyProtection="1">
      <alignment horizontal="right" wrapText="1"/>
    </xf>
    <xf numFmtId="0" fontId="71" fillId="2" borderId="18" xfId="0" applyFont="1" applyFill="1" applyBorder="1" applyProtection="1">
      <alignment horizontal="left" wrapText="1"/>
    </xf>
    <xf numFmtId="43" fontId="116" fillId="2" borderId="0" xfId="0" applyNumberFormat="1" applyFont="1" applyFill="1" applyAlignment="1" applyProtection="1">
      <alignment horizontal="right" wrapText="1"/>
    </xf>
    <xf numFmtId="2" fontId="119" fillId="2" borderId="18" xfId="0" applyNumberFormat="1" applyFont="1" applyFill="1" applyBorder="1" applyAlignment="1" applyProtection="1">
      <alignment horizontal="right" wrapText="1"/>
    </xf>
    <xf numFmtId="2" fontId="114" fillId="2" borderId="18" xfId="0" applyNumberFormat="1" applyFont="1" applyFill="1" applyBorder="1" applyAlignment="1" applyProtection="1">
      <alignment horizontal="right" wrapText="1"/>
    </xf>
    <xf numFmtId="4" fontId="112" fillId="2" borderId="79" xfId="0" applyNumberFormat="1" applyFont="1" applyFill="1" applyBorder="1" applyAlignment="1" applyProtection="1"/>
    <xf numFmtId="0" fontId="0" fillId="2" borderId="79" xfId="0" applyFill="1" applyBorder="1">
      <alignment horizontal="left" wrapText="1"/>
    </xf>
    <xf numFmtId="43" fontId="123" fillId="2" borderId="0" xfId="0" applyNumberFormat="1" applyFont="1" applyFill="1" applyAlignment="1" applyProtection="1">
      <alignment horizontal="right" wrapText="1"/>
    </xf>
    <xf numFmtId="0" fontId="112" fillId="2" borderId="42" xfId="0" applyFont="1" applyFill="1" applyBorder="1" applyAlignment="1" applyProtection="1"/>
    <xf numFmtId="0" fontId="112" fillId="2" borderId="43" xfId="0" applyFont="1" applyFill="1" applyBorder="1" applyProtection="1">
      <alignment horizontal="left" wrapText="1"/>
    </xf>
    <xf numFmtId="0" fontId="112" fillId="2" borderId="18" xfId="0" applyFont="1" applyFill="1" applyBorder="1" applyProtection="1">
      <alignment horizontal="left" wrapText="1"/>
    </xf>
    <xf numFmtId="43" fontId="119" fillId="2" borderId="44" xfId="2" applyFont="1" applyFill="1" applyBorder="1" applyAlignment="1" applyProtection="1">
      <alignment horizontal="right" wrapText="1"/>
    </xf>
    <xf numFmtId="0" fontId="119" fillId="2" borderId="45" xfId="0" applyFont="1" applyFill="1" applyBorder="1" applyAlignment="1" applyProtection="1">
      <alignment horizontal="left"/>
    </xf>
    <xf numFmtId="0" fontId="119" fillId="2" borderId="18" xfId="0" applyFont="1" applyFill="1" applyBorder="1" applyAlignment="1" applyProtection="1">
      <alignment horizontal="left"/>
    </xf>
    <xf numFmtId="0" fontId="112" fillId="2" borderId="44" xfId="0" applyFont="1" applyFill="1" applyBorder="1" applyProtection="1">
      <alignment horizontal="left" wrapText="1"/>
    </xf>
    <xf numFmtId="0" fontId="112" fillId="2" borderId="46" xfId="0" applyFont="1" applyFill="1" applyBorder="1" applyProtection="1">
      <alignment horizontal="left" wrapText="1"/>
    </xf>
    <xf numFmtId="0" fontId="119" fillId="2" borderId="47" xfId="0" applyFont="1" applyFill="1" applyBorder="1" applyAlignment="1" applyProtection="1">
      <alignment horizontal="left"/>
    </xf>
    <xf numFmtId="0" fontId="112" fillId="2" borderId="79" xfId="0" applyFont="1" applyFill="1" applyBorder="1" applyAlignment="1" applyProtection="1"/>
    <xf numFmtId="0" fontId="111" fillId="2" borderId="18" xfId="0" applyFont="1" applyFill="1" applyBorder="1" applyAlignment="1" applyProtection="1">
      <alignment horizontal="left" vertical="top" wrapText="1"/>
    </xf>
    <xf numFmtId="4" fontId="115" fillId="2" borderId="18" xfId="0" applyNumberFormat="1" applyFont="1" applyFill="1" applyBorder="1" applyAlignment="1">
      <alignment horizontal="right" wrapText="1"/>
    </xf>
    <xf numFmtId="0" fontId="71" fillId="2" borderId="0" xfId="0" applyFont="1" applyFill="1">
      <alignment horizontal="left" wrapText="1"/>
    </xf>
    <xf numFmtId="1" fontId="123" fillId="2" borderId="0" xfId="1" applyNumberFormat="1" applyFont="1" applyFill="1" applyAlignment="1" applyProtection="1">
      <alignment horizontal="right" vertical="top" wrapText="1"/>
    </xf>
    <xf numFmtId="4" fontId="115" fillId="2" borderId="79" xfId="0" applyNumberFormat="1" applyFont="1" applyFill="1" applyBorder="1" applyAlignment="1">
      <alignment horizontal="right" wrapText="1"/>
    </xf>
    <xf numFmtId="167" fontId="123" fillId="2" borderId="0" xfId="1" applyNumberFormat="1" applyFont="1" applyFill="1" applyAlignment="1" applyProtection="1">
      <alignment horizontal="right" vertical="top" wrapText="1"/>
    </xf>
    <xf numFmtId="4" fontId="15" fillId="2" borderId="57" xfId="0" applyNumberFormat="1" applyFont="1" applyFill="1" applyBorder="1" applyAlignment="1" applyProtection="1"/>
    <xf numFmtId="0" fontId="162" fillId="2" borderId="57" xfId="0" applyFont="1" applyFill="1" applyBorder="1">
      <alignment horizontal="left" wrapText="1"/>
    </xf>
    <xf numFmtId="0" fontId="103" fillId="2" borderId="18" xfId="0" applyFont="1" applyFill="1" applyBorder="1">
      <alignment horizontal="left" wrapText="1"/>
    </xf>
    <xf numFmtId="0" fontId="120" fillId="2" borderId="18" xfId="0" applyFont="1" applyFill="1" applyBorder="1">
      <alignment horizontal="left" wrapText="1"/>
    </xf>
    <xf numFmtId="4" fontId="162" fillId="2" borderId="0" xfId="0" applyNumberFormat="1" applyFont="1" applyFill="1">
      <alignment horizontal="left" wrapText="1"/>
    </xf>
    <xf numFmtId="0" fontId="162" fillId="2" borderId="0" xfId="0" applyFont="1" applyFill="1">
      <alignment horizontal="left" wrapText="1"/>
    </xf>
    <xf numFmtId="4" fontId="22" fillId="2" borderId="0" xfId="0" applyNumberFormat="1" applyFont="1" applyFill="1" applyAlignment="1">
      <alignment horizontal="right" wrapText="1"/>
    </xf>
    <xf numFmtId="0" fontId="22" fillId="2" borderId="0" xfId="0" applyFont="1" applyFill="1" applyAlignment="1" applyProtection="1"/>
    <xf numFmtId="43" fontId="114" fillId="2" borderId="18" xfId="0" applyNumberFormat="1" applyFont="1" applyFill="1" applyBorder="1" applyAlignment="1">
      <alignment horizontal="right" wrapText="1"/>
    </xf>
    <xf numFmtId="3" fontId="123" fillId="2" borderId="0" xfId="1" applyNumberFormat="1" applyFont="1" applyFill="1" applyAlignment="1" applyProtection="1">
      <alignment horizontal="right" vertical="top" wrapText="1"/>
    </xf>
    <xf numFmtId="0" fontId="112" fillId="2" borderId="0" xfId="0" applyFont="1" applyFill="1">
      <alignment horizontal="left" wrapText="1"/>
    </xf>
    <xf numFmtId="4" fontId="163" fillId="2" borderId="0" xfId="0" applyNumberFormat="1" applyFont="1" applyFill="1" applyAlignment="1">
      <alignment horizontal="right" wrapText="1"/>
    </xf>
    <xf numFmtId="0" fontId="6" fillId="2" borderId="0" xfId="0" applyFont="1" applyFill="1" applyAlignment="1" applyProtection="1"/>
    <xf numFmtId="43" fontId="71" fillId="2" borderId="18" xfId="0" applyNumberFormat="1" applyFont="1" applyFill="1" applyBorder="1" applyAlignment="1">
      <alignment horizontal="right" wrapText="1"/>
    </xf>
    <xf numFmtId="43" fontId="111" fillId="2" borderId="18" xfId="0" applyNumberFormat="1" applyFont="1" applyFill="1" applyBorder="1" applyAlignment="1">
      <alignment horizontal="right" wrapText="1"/>
    </xf>
    <xf numFmtId="43" fontId="115" fillId="2" borderId="18" xfId="0" applyNumberFormat="1" applyFont="1" applyFill="1" applyBorder="1" applyAlignment="1">
      <alignment horizontal="right" wrapText="1"/>
    </xf>
    <xf numFmtId="3" fontId="114" fillId="2" borderId="52" xfId="2" applyNumberFormat="1" applyFont="1" applyFill="1" applyBorder="1" applyAlignment="1" applyProtection="1">
      <alignment horizontal="right" vertical="center" readingOrder="1"/>
    </xf>
    <xf numFmtId="0" fontId="112" fillId="2" borderId="54" xfId="0" applyFont="1" applyFill="1" applyBorder="1">
      <alignment horizontal="left" wrapText="1"/>
    </xf>
    <xf numFmtId="0" fontId="112" fillId="2" borderId="18" xfId="0" applyFont="1" applyFill="1" applyBorder="1">
      <alignment horizontal="left" wrapText="1"/>
    </xf>
    <xf numFmtId="9" fontId="115" fillId="2" borderId="18" xfId="1" applyFont="1" applyFill="1" applyBorder="1" applyAlignment="1">
      <alignment horizontal="right" wrapText="1"/>
    </xf>
    <xf numFmtId="0" fontId="121" fillId="2" borderId="0" xfId="0" applyFont="1" applyFill="1" applyAlignment="1">
      <alignment horizontal="left"/>
    </xf>
    <xf numFmtId="2" fontId="115" fillId="2" borderId="18" xfId="1" applyNumberFormat="1" applyFont="1" applyFill="1" applyBorder="1" applyAlignment="1">
      <alignment horizontal="right" wrapText="1"/>
    </xf>
    <xf numFmtId="179" fontId="115" fillId="2" borderId="18" xfId="1" applyNumberFormat="1" applyFont="1" applyFill="1" applyBorder="1" applyAlignment="1">
      <alignment horizontal="right" wrapText="1"/>
    </xf>
    <xf numFmtId="0" fontId="168" fillId="2" borderId="57" xfId="0" applyFont="1" applyFill="1" applyBorder="1" applyAlignment="1">
      <alignment horizontal="left"/>
    </xf>
    <xf numFmtId="0" fontId="127" fillId="2" borderId="18" xfId="0" applyFont="1" applyFill="1" applyBorder="1">
      <alignment horizontal="left" wrapText="1"/>
    </xf>
    <xf numFmtId="0" fontId="112" fillId="2" borderId="0" xfId="0" applyFont="1" applyFill="1" applyAlignment="1">
      <alignment horizontal="left"/>
    </xf>
    <xf numFmtId="4" fontId="111" fillId="2" borderId="18" xfId="1" applyNumberFormat="1" applyFont="1" applyFill="1" applyBorder="1" applyAlignment="1">
      <alignment horizontal="right" wrapText="1"/>
    </xf>
    <xf numFmtId="0" fontId="167" fillId="2" borderId="0" xfId="0" applyFont="1" applyFill="1">
      <alignment horizontal="left" wrapText="1"/>
    </xf>
    <xf numFmtId="0" fontId="161" fillId="2" borderId="18" xfId="0" applyFont="1" applyFill="1" applyBorder="1" applyAlignment="1">
      <alignment horizontal="left"/>
    </xf>
    <xf numFmtId="0" fontId="0" fillId="2" borderId="0" xfId="0" applyFill="1" applyAlignment="1">
      <alignment horizontal="left"/>
    </xf>
    <xf numFmtId="43" fontId="114" fillId="2" borderId="0" xfId="2" applyFont="1" applyFill="1" applyAlignment="1" applyProtection="1">
      <alignment horizontal="right" vertical="top" wrapText="1"/>
    </xf>
    <xf numFmtId="0" fontId="93" fillId="2" borderId="0" xfId="0" applyFont="1" applyFill="1" applyAlignment="1">
      <alignment horizontal="left" vertical="top" wrapText="1"/>
    </xf>
    <xf numFmtId="49" fontId="159" fillId="2" borderId="0" xfId="2" applyNumberFormat="1" applyFont="1" applyFill="1" applyAlignment="1" applyProtection="1">
      <alignment horizontal="left" vertical="top" wrapText="1"/>
    </xf>
    <xf numFmtId="4" fontId="120" fillId="2" borderId="0" xfId="0" applyNumberFormat="1" applyFont="1" applyFill="1" applyAlignment="1" applyProtection="1">
      <alignment horizontal="right" vertical="center" wrapText="1"/>
      <protection locked="0"/>
    </xf>
    <xf numFmtId="0" fontId="94" fillId="2" borderId="0" xfId="0" applyFont="1" applyFill="1" applyAlignment="1" applyProtection="1">
      <alignment horizontal="left" vertical="center" wrapText="1"/>
    </xf>
    <xf numFmtId="9" fontId="160" fillId="2" borderId="18" xfId="1" applyFont="1" applyFill="1" applyBorder="1" applyAlignment="1">
      <alignment horizontal="right" vertical="top" wrapText="1"/>
    </xf>
    <xf numFmtId="0" fontId="0" fillId="2" borderId="0" xfId="0" applyFill="1" applyAlignment="1">
      <alignment horizontal="left" vertical="top" wrapText="1"/>
    </xf>
    <xf numFmtId="0" fontId="0" fillId="2" borderId="0" xfId="0" applyFill="1" applyAlignment="1">
      <alignment horizontal="right" vertical="top" wrapText="1"/>
    </xf>
    <xf numFmtId="0" fontId="161" fillId="2" borderId="18" xfId="0" applyFont="1" applyFill="1" applyBorder="1" applyAlignment="1">
      <alignment horizontal="left" vertical="top" wrapText="1"/>
    </xf>
    <xf numFmtId="0" fontId="65" fillId="2" borderId="18" xfId="0" applyFont="1" applyFill="1" applyBorder="1">
      <alignment horizontal="left" wrapText="1"/>
    </xf>
    <xf numFmtId="0" fontId="123" fillId="2" borderId="18" xfId="0" applyFont="1" applyFill="1" applyBorder="1">
      <alignment horizontal="left" wrapText="1"/>
    </xf>
    <xf numFmtId="0" fontId="168" fillId="2" borderId="57" xfId="0" applyFont="1" applyFill="1" applyBorder="1" applyAlignment="1" applyProtection="1">
      <alignment horizontal="left"/>
    </xf>
    <xf numFmtId="2" fontId="115" fillId="2" borderId="18" xfId="0" applyNumberFormat="1" applyFont="1" applyFill="1" applyBorder="1" applyAlignment="1" applyProtection="1">
      <alignment horizontal="right"/>
    </xf>
    <xf numFmtId="2" fontId="118" fillId="2" borderId="0" xfId="0" applyNumberFormat="1" applyFont="1" applyFill="1" applyAlignment="1" applyProtection="1">
      <alignment horizontal="right" wrapText="1"/>
    </xf>
    <xf numFmtId="179" fontId="115" fillId="2" borderId="18" xfId="1" applyNumberFormat="1" applyFont="1" applyFill="1" applyBorder="1" applyAlignment="1">
      <alignment horizontal="left"/>
    </xf>
    <xf numFmtId="43" fontId="123" fillId="2" borderId="18" xfId="0" applyNumberFormat="1" applyFont="1" applyFill="1" applyBorder="1" applyAlignment="1" applyProtection="1">
      <alignment horizontal="right" wrapText="1"/>
    </xf>
    <xf numFmtId="9" fontId="111" fillId="2" borderId="53" xfId="1" applyFont="1" applyFill="1" applyBorder="1" applyAlignment="1" applyProtection="1">
      <alignment horizontal="right" wrapText="1"/>
    </xf>
    <xf numFmtId="0" fontId="111" fillId="2" borderId="53" xfId="0" applyFont="1" applyFill="1" applyBorder="1" applyProtection="1">
      <alignment horizontal="left" wrapText="1"/>
    </xf>
    <xf numFmtId="0" fontId="169" fillId="0" borderId="0" xfId="0" applyFont="1" applyAlignment="1">
      <alignment horizontal="right" wrapText="1"/>
    </xf>
    <xf numFmtId="0" fontId="170" fillId="2" borderId="18" xfId="0" applyFont="1" applyFill="1" applyBorder="1">
      <alignment horizontal="left" wrapText="1"/>
    </xf>
    <xf numFmtId="9" fontId="172" fillId="2" borderId="18" xfId="1" applyFont="1" applyFill="1" applyBorder="1" applyAlignment="1">
      <alignment horizontal="right" vertical="top" wrapText="1"/>
    </xf>
    <xf numFmtId="0" fontId="169" fillId="2" borderId="0" xfId="0" applyFont="1" applyFill="1">
      <alignment horizontal="left" wrapText="1"/>
    </xf>
    <xf numFmtId="0" fontId="120" fillId="2" borderId="0" xfId="0" applyFont="1" applyFill="1" applyAlignment="1" applyProtection="1">
      <alignment horizontal="left" vertical="center"/>
    </xf>
    <xf numFmtId="0" fontId="94" fillId="7" borderId="18" xfId="0" applyFont="1" applyFill="1" applyBorder="1">
      <alignment horizontal="left" wrapText="1"/>
    </xf>
    <xf numFmtId="0" fontId="120" fillId="2" borderId="0" xfId="0" applyFont="1" applyFill="1" applyAlignment="1" applyProtection="1"/>
    <xf numFmtId="0" fontId="136" fillId="4" borderId="72" xfId="5" applyNumberFormat="1" applyFont="1" applyFill="1" applyBorder="1" applyAlignment="1">
      <alignment horizontal="center" vertical="center" wrapText="1"/>
    </xf>
    <xf numFmtId="0" fontId="10" fillId="0" borderId="56" xfId="5" applyNumberFormat="1" applyFont="1" applyFill="1" applyBorder="1" applyAlignment="1">
      <alignment horizontal="center" vertical="center" wrapText="1"/>
    </xf>
    <xf numFmtId="0" fontId="10" fillId="0" borderId="60" xfId="5" applyNumberFormat="1" applyFont="1" applyFill="1" applyBorder="1" applyAlignment="1">
      <alignment horizontal="center" vertical="center" wrapText="1"/>
    </xf>
    <xf numFmtId="0" fontId="10" fillId="0" borderId="71" xfId="5" applyNumberFormat="1" applyFont="1" applyFill="1" applyBorder="1" applyAlignment="1">
      <alignment horizontal="center" vertical="center" wrapText="1"/>
    </xf>
    <xf numFmtId="0" fontId="137" fillId="4" borderId="72" xfId="5" applyNumberFormat="1" applyFont="1" applyFill="1" applyBorder="1" applyAlignment="1">
      <alignment horizontal="center" vertical="center" wrapText="1"/>
    </xf>
    <xf numFmtId="2" fontId="152" fillId="0" borderId="56" xfId="5" applyNumberFormat="1" applyFont="1" applyFill="1" applyBorder="1" applyAlignment="1">
      <alignment horizontal="center" vertical="top" wrapText="1"/>
    </xf>
    <xf numFmtId="0" fontId="123" fillId="2" borderId="18" xfId="1" applyNumberFormat="1" applyFont="1" applyFill="1" applyBorder="1" applyAlignment="1" applyProtection="1">
      <alignment horizontal="right" vertical="center" wrapText="1"/>
    </xf>
    <xf numFmtId="0" fontId="112" fillId="2" borderId="0" xfId="0" applyFont="1" applyFill="1" applyAlignment="1">
      <alignment horizontal="left" vertical="center"/>
    </xf>
    <xf numFmtId="4" fontId="123" fillId="2" borderId="18" xfId="0" applyNumberFormat="1" applyFont="1" applyFill="1" applyBorder="1" applyAlignment="1" applyProtection="1">
      <alignment horizontal="right" vertical="center" wrapText="1"/>
    </xf>
    <xf numFmtId="0" fontId="112" fillId="2" borderId="0" xfId="0" applyFont="1" applyFill="1" applyAlignment="1">
      <alignment horizontal="left" vertical="center" wrapText="1"/>
    </xf>
    <xf numFmtId="2" fontId="123" fillId="2" borderId="0" xfId="1" applyNumberFormat="1" applyFont="1" applyFill="1" applyAlignment="1" applyProtection="1">
      <alignment horizontal="right" vertical="center" wrapText="1"/>
    </xf>
    <xf numFmtId="0" fontId="0" fillId="2" borderId="0" xfId="0" applyFill="1" applyProtection="1">
      <alignment horizontal="left" wrapText="1"/>
    </xf>
    <xf numFmtId="0" fontId="127" fillId="2" borderId="57" xfId="0" applyFont="1" applyFill="1" applyBorder="1" applyAlignment="1">
      <alignment horizontal="left"/>
    </xf>
    <xf numFmtId="4" fontId="115" fillId="2" borderId="18" xfId="1" applyNumberFormat="1" applyFont="1" applyFill="1" applyBorder="1" applyAlignment="1">
      <alignment horizontal="right" wrapText="1"/>
    </xf>
    <xf numFmtId="9" fontId="115" fillId="2" borderId="79" xfId="1" applyFont="1" applyFill="1" applyBorder="1" applyAlignment="1">
      <alignment horizontal="center" wrapText="1"/>
    </xf>
    <xf numFmtId="9" fontId="115" fillId="2" borderId="83" xfId="1" applyFont="1" applyFill="1" applyBorder="1" applyAlignment="1">
      <alignment horizontal="center" wrapText="1"/>
    </xf>
    <xf numFmtId="43" fontId="114" fillId="2" borderId="0" xfId="2" applyFont="1" applyFill="1" applyAlignment="1" applyProtection="1">
      <alignment horizontal="left" vertical="top" wrapText="1"/>
    </xf>
    <xf numFmtId="0" fontId="154" fillId="0" borderId="56" xfId="5" applyNumberFormat="1" applyFont="1" applyFill="1" applyBorder="1" applyAlignment="1">
      <alignment horizontal="center" vertical="top" wrapText="1"/>
    </xf>
    <xf numFmtId="2" fontId="154" fillId="0" borderId="56" xfId="5" applyNumberFormat="1" applyFont="1" applyFill="1" applyBorder="1" applyAlignment="1">
      <alignment horizontal="center" vertical="top" wrapText="1"/>
    </xf>
    <xf numFmtId="0" fontId="37" fillId="2" borderId="0" xfId="3" applyFill="1">
      <alignment horizontal="left" wrapText="1"/>
    </xf>
    <xf numFmtId="0" fontId="0" fillId="0" borderId="0" xfId="0" applyNumberFormat="1" applyProtection="1">
      <alignment horizontal="left" wrapText="1"/>
      <protection locked="0"/>
    </xf>
    <xf numFmtId="0" fontId="0" fillId="0" borderId="18" xfId="0" applyBorder="1" applyProtection="1">
      <alignment horizontal="left" wrapText="1"/>
      <protection locked="0"/>
    </xf>
    <xf numFmtId="0" fontId="0" fillId="0" borderId="18" xfId="0" applyBorder="1" applyAlignment="1" applyProtection="1">
      <alignment horizontal="left" vertical="center" wrapText="1"/>
      <protection locked="0"/>
    </xf>
    <xf numFmtId="0" fontId="142" fillId="0" borderId="18" xfId="3" applyNumberFormat="1" applyFont="1" applyBorder="1" applyAlignment="1" applyProtection="1">
      <alignment vertical="center" readingOrder="1"/>
      <protection locked="0"/>
    </xf>
    <xf numFmtId="0" fontId="0" fillId="0" borderId="18" xfId="0" applyFill="1" applyBorder="1" applyProtection="1">
      <alignment horizontal="left" wrapText="1"/>
      <protection locked="0"/>
    </xf>
    <xf numFmtId="0" fontId="10" fillId="0" borderId="18" xfId="0" applyFont="1" applyBorder="1" applyAlignment="1" applyProtection="1">
      <alignment horizontal="right"/>
      <protection locked="0"/>
    </xf>
    <xf numFmtId="0" fontId="65" fillId="0" borderId="0" xfId="0" applyNumberFormat="1" applyFont="1" applyProtection="1">
      <alignment horizontal="left" wrapText="1"/>
      <protection locked="0"/>
    </xf>
    <xf numFmtId="0" fontId="0" fillId="0" borderId="0" xfId="0" applyNumberFormat="1" applyAlignment="1" applyProtection="1">
      <alignment horizontal="left" vertical="center" wrapText="1"/>
      <protection locked="0"/>
    </xf>
    <xf numFmtId="49" fontId="101" fillId="2" borderId="81" xfId="0" applyNumberFormat="1" applyFont="1" applyFill="1" applyBorder="1" applyAlignment="1" applyProtection="1">
      <alignment horizontal="left" vertical="center" wrapText="1"/>
    </xf>
    <xf numFmtId="0" fontId="0" fillId="0" borderId="0" xfId="0" applyAlignment="1" applyProtection="1"/>
    <xf numFmtId="0" fontId="124" fillId="2" borderId="79" xfId="0" applyFont="1" applyFill="1" applyBorder="1" applyAlignment="1" applyProtection="1"/>
    <xf numFmtId="0" fontId="10" fillId="2" borderId="81" xfId="0" applyFont="1" applyFill="1" applyBorder="1" applyAlignment="1" applyProtection="1">
      <alignment horizontal="center"/>
    </xf>
    <xf numFmtId="0" fontId="1" fillId="2" borderId="81" xfId="0" applyFont="1" applyFill="1" applyBorder="1" applyAlignment="1" applyProtection="1"/>
    <xf numFmtId="0" fontId="57" fillId="2" borderId="81" xfId="0" applyFont="1" applyFill="1" applyBorder="1" applyAlignment="1" applyProtection="1"/>
    <xf numFmtId="0" fontId="0" fillId="2" borderId="0" xfId="0" applyFill="1" applyAlignment="1" applyProtection="1"/>
    <xf numFmtId="0" fontId="71" fillId="2" borderId="81" xfId="0" applyFont="1" applyFill="1" applyBorder="1" applyAlignment="1" applyProtection="1"/>
    <xf numFmtId="0" fontId="120" fillId="2" borderId="81" xfId="0" applyFont="1" applyFill="1" applyBorder="1" applyAlignment="1" applyProtection="1"/>
    <xf numFmtId="0" fontId="0" fillId="2" borderId="81" xfId="0" applyFill="1" applyBorder="1" applyAlignment="1" applyProtection="1"/>
    <xf numFmtId="2" fontId="123" fillId="2" borderId="81" xfId="0" applyNumberFormat="1" applyFont="1" applyFill="1" applyBorder="1" applyAlignment="1" applyProtection="1"/>
    <xf numFmtId="0" fontId="41" fillId="0" borderId="81" xfId="0" applyFont="1" applyBorder="1" applyAlignment="1" applyProtection="1">
      <alignment horizontal="right" vertical="center" wrapText="1"/>
      <protection locked="0"/>
    </xf>
    <xf numFmtId="0" fontId="123" fillId="2" borderId="81" xfId="0" applyFont="1" applyFill="1" applyBorder="1" applyAlignment="1" applyProtection="1">
      <protection locked="0"/>
    </xf>
    <xf numFmtId="4" fontId="47" fillId="0" borderId="18" xfId="0" applyNumberFormat="1" applyFont="1" applyBorder="1" applyAlignment="1" applyProtection="1">
      <alignment horizontal="right" vertical="center" wrapText="1"/>
    </xf>
    <xf numFmtId="0" fontId="10" fillId="0" borderId="18" xfId="0" applyNumberFormat="1" applyFont="1" applyBorder="1" applyAlignment="1" applyProtection="1">
      <alignment horizontal="left" vertical="top" wrapText="1" readingOrder="1"/>
    </xf>
    <xf numFmtId="49" fontId="93" fillId="2" borderId="0" xfId="0" applyNumberFormat="1" applyFont="1" applyFill="1" applyAlignment="1">
      <alignment horizontal="left" vertical="top" wrapText="1"/>
    </xf>
    <xf numFmtId="2" fontId="173" fillId="0" borderId="14" xfId="0" applyNumberFormat="1" applyFont="1" applyBorder="1" applyAlignment="1" applyProtection="1">
      <alignment horizontal="right" vertical="center" wrapText="1"/>
    </xf>
    <xf numFmtId="2" fontId="173" fillId="0" borderId="14" xfId="0" applyNumberFormat="1" applyFont="1" applyBorder="1" applyAlignment="1" applyProtection="1">
      <alignment horizontal="left" vertical="center"/>
    </xf>
    <xf numFmtId="0" fontId="174" fillId="0" borderId="13" xfId="0" applyFont="1" applyBorder="1" applyAlignment="1" applyProtection="1">
      <alignment horizontal="left" vertical="center" wrapText="1"/>
    </xf>
    <xf numFmtId="2" fontId="164" fillId="0" borderId="13" xfId="0" applyNumberFormat="1" applyFont="1" applyBorder="1" applyAlignment="1" applyProtection="1">
      <alignment horizontal="right" vertical="center"/>
    </xf>
    <xf numFmtId="49" fontId="175" fillId="0" borderId="12" xfId="0" applyNumberFormat="1" applyFont="1" applyBorder="1" applyAlignment="1" applyProtection="1">
      <alignment horizontal="left" vertical="center"/>
    </xf>
    <xf numFmtId="0" fontId="41" fillId="0" borderId="18" xfId="0" applyFont="1" applyBorder="1" applyAlignment="1" applyProtection="1">
      <alignment horizontal="left" vertical="center"/>
      <protection locked="0"/>
    </xf>
    <xf numFmtId="0" fontId="41" fillId="0" borderId="18" xfId="0" applyFont="1" applyBorder="1" applyAlignment="1" applyProtection="1">
      <alignment horizontal="left" vertical="top"/>
      <protection locked="0"/>
    </xf>
    <xf numFmtId="0" fontId="10" fillId="0" borderId="60" xfId="5" applyNumberFormat="1" applyFont="1" applyFill="1" applyBorder="1" applyAlignment="1">
      <alignment horizontal="left" vertical="top" indent="2"/>
    </xf>
    <xf numFmtId="1" fontId="123" fillId="2" borderId="0" xfId="1" applyNumberFormat="1" applyFont="1" applyFill="1" applyAlignment="1" applyProtection="1">
      <alignment horizontal="right" vertical="center"/>
    </xf>
    <xf numFmtId="0" fontId="115" fillId="2" borderId="0" xfId="0" applyFont="1" applyFill="1" applyAlignment="1">
      <alignment horizontal="right" vertical="center" wrapText="1"/>
    </xf>
    <xf numFmtId="0" fontId="154" fillId="0" borderId="60" xfId="5" applyNumberFormat="1" applyFont="1" applyFill="1" applyBorder="1" applyAlignment="1">
      <alignment horizontal="center" vertical="center" wrapText="1"/>
    </xf>
    <xf numFmtId="10" fontId="120" fillId="2" borderId="0" xfId="1" applyNumberFormat="1" applyFont="1" applyFill="1" applyAlignment="1" applyProtection="1">
      <alignment horizontal="right" wrapText="1"/>
      <protection locked="0"/>
    </xf>
    <xf numFmtId="0" fontId="0" fillId="0" borderId="85" xfId="0" applyNumberFormat="1" applyBorder="1" applyProtection="1">
      <alignment horizontal="left" wrapText="1"/>
    </xf>
    <xf numFmtId="2" fontId="6" fillId="0" borderId="85" xfId="0" applyNumberFormat="1" applyFont="1" applyBorder="1" applyAlignment="1" applyProtection="1">
      <alignment horizontal="right" vertical="center"/>
    </xf>
    <xf numFmtId="2" fontId="6" fillId="0" borderId="84" xfId="0" applyNumberFormat="1" applyFont="1" applyBorder="1" applyAlignment="1" applyProtection="1">
      <alignment horizontal="right" vertical="center"/>
    </xf>
    <xf numFmtId="49" fontId="6" fillId="0" borderId="86" xfId="0" applyNumberFormat="1" applyFont="1" applyBorder="1" applyAlignment="1" applyProtection="1">
      <alignment horizontal="left" vertical="top" readingOrder="1"/>
    </xf>
    <xf numFmtId="0" fontId="0" fillId="0" borderId="87" xfId="0" applyNumberFormat="1" applyBorder="1" applyProtection="1">
      <alignment horizontal="left" wrapText="1"/>
    </xf>
    <xf numFmtId="0" fontId="0" fillId="0" borderId="88" xfId="0" applyNumberFormat="1" applyBorder="1" applyProtection="1">
      <alignment horizontal="left" wrapText="1"/>
    </xf>
    <xf numFmtId="0" fontId="10" fillId="2" borderId="18" xfId="0" applyFont="1" applyFill="1" applyBorder="1" applyProtection="1">
      <alignment horizontal="left" wrapText="1"/>
    </xf>
    <xf numFmtId="0" fontId="12" fillId="0" borderId="18" xfId="0" applyFont="1" applyBorder="1" applyProtection="1">
      <alignment horizontal="left" wrapText="1"/>
    </xf>
    <xf numFmtId="49" fontId="6" fillId="0" borderId="89" xfId="0" applyNumberFormat="1" applyFont="1" applyBorder="1" applyAlignment="1" applyProtection="1">
      <alignment horizontal="left" vertical="center" wrapText="1" indent="2"/>
    </xf>
    <xf numFmtId="49" fontId="6" fillId="0" borderId="89" xfId="0" applyNumberFormat="1" applyFont="1" applyBorder="1" applyAlignment="1" applyProtection="1">
      <alignment horizontal="left" vertical="center"/>
    </xf>
    <xf numFmtId="0" fontId="41" fillId="0" borderId="89" xfId="0" applyNumberFormat="1" applyFont="1" applyBorder="1" applyAlignment="1" applyProtection="1">
      <alignment horizontal="left" vertical="center" wrapText="1"/>
      <protection locked="0"/>
    </xf>
    <xf numFmtId="0" fontId="22" fillId="0" borderId="89" xfId="0" applyFont="1" applyBorder="1" applyAlignment="1" applyProtection="1">
      <alignment horizontal="left" vertical="center"/>
    </xf>
    <xf numFmtId="43" fontId="66" fillId="0" borderId="48" xfId="0" applyNumberFormat="1" applyFont="1" applyBorder="1" applyAlignment="1">
      <alignment horizontal="left" vertical="top" readingOrder="1"/>
    </xf>
    <xf numFmtId="0" fontId="66" fillId="0" borderId="18" xfId="0" applyFont="1" applyBorder="1" applyAlignment="1" applyProtection="1">
      <alignment horizontal="left" vertical="top"/>
    </xf>
    <xf numFmtId="0" fontId="6" fillId="0" borderId="18" xfId="0" applyFont="1" applyBorder="1" applyAlignment="1" applyProtection="1">
      <alignment horizontal="right" vertical="top"/>
    </xf>
    <xf numFmtId="0" fontId="10" fillId="0" borderId="18" xfId="0" applyFont="1" applyBorder="1" applyAlignment="1" applyProtection="1">
      <alignment horizontal="center" vertical="center" wrapText="1"/>
    </xf>
    <xf numFmtId="0" fontId="10" fillId="0" borderId="18" xfId="0" applyFont="1" applyBorder="1" applyAlignment="1" applyProtection="1">
      <alignment horizontal="right" vertical="center"/>
    </xf>
    <xf numFmtId="0" fontId="10" fillId="0" borderId="0" xfId="0" applyFont="1" applyAlignment="1">
      <alignment horizontal="center" vertical="center" wrapText="1"/>
    </xf>
    <xf numFmtId="0" fontId="10" fillId="2" borderId="0" xfId="0" applyFont="1" applyFill="1">
      <alignment horizontal="left" wrapText="1"/>
    </xf>
    <xf numFmtId="0" fontId="10" fillId="2" borderId="0" xfId="0" applyFont="1" applyFill="1" applyAlignment="1">
      <alignment horizontal="center" vertical="center" wrapText="1"/>
    </xf>
    <xf numFmtId="0" fontId="10" fillId="2" borderId="0" xfId="0" applyFont="1" applyFill="1" applyAlignment="1">
      <alignment horizontal="center" wrapText="1"/>
    </xf>
    <xf numFmtId="1" fontId="140" fillId="0" borderId="55" xfId="0" applyNumberFormat="1" applyFont="1" applyFill="1" applyBorder="1" applyAlignment="1">
      <alignment horizontal="center"/>
    </xf>
    <xf numFmtId="0" fontId="156" fillId="2" borderId="0" xfId="0" applyFont="1" applyFill="1" applyAlignment="1">
      <alignment horizontal="center" wrapText="1"/>
    </xf>
    <xf numFmtId="3" fontId="156" fillId="2" borderId="0" xfId="0" applyNumberFormat="1" applyFont="1" applyFill="1" applyAlignment="1">
      <alignment horizontal="center" wrapText="1"/>
    </xf>
    <xf numFmtId="1" fontId="156" fillId="2" borderId="0" xfId="0" applyNumberFormat="1" applyFont="1" applyFill="1" applyAlignment="1">
      <alignment horizontal="center" wrapText="1"/>
    </xf>
    <xf numFmtId="0" fontId="101" fillId="2" borderId="0" xfId="0" applyFont="1" applyFill="1">
      <alignment horizontal="left" wrapText="1"/>
    </xf>
    <xf numFmtId="0" fontId="156" fillId="2" borderId="0" xfId="0" applyFont="1" applyFill="1" applyAlignment="1">
      <alignment horizontal="left"/>
    </xf>
    <xf numFmtId="1" fontId="156" fillId="2" borderId="0" xfId="0" applyNumberFormat="1" applyFont="1" applyFill="1">
      <alignment horizontal="left" wrapText="1"/>
    </xf>
    <xf numFmtId="0" fontId="101" fillId="2" borderId="0" xfId="0" applyFont="1" applyFill="1" applyAlignment="1">
      <alignment horizontal="center" wrapText="1"/>
    </xf>
    <xf numFmtId="1" fontId="101" fillId="2" borderId="0" xfId="0" applyNumberFormat="1" applyFont="1" applyFill="1" applyAlignment="1">
      <alignment horizontal="center" wrapText="1"/>
    </xf>
    <xf numFmtId="3" fontId="101" fillId="2" borderId="0" xfId="2" applyNumberFormat="1" applyFont="1" applyFill="1" applyAlignment="1">
      <alignment horizontal="center" wrapText="1"/>
    </xf>
    <xf numFmtId="1" fontId="101" fillId="2" borderId="0" xfId="2" applyNumberFormat="1" applyFont="1" applyFill="1" applyAlignment="1">
      <alignment horizontal="center" vertical="center" wrapText="1"/>
    </xf>
    <xf numFmtId="3" fontId="101" fillId="2" borderId="0" xfId="2" applyNumberFormat="1" applyFont="1" applyFill="1" applyAlignment="1">
      <alignment horizontal="center" vertical="center" wrapText="1"/>
    </xf>
    <xf numFmtId="0" fontId="101" fillId="2" borderId="0" xfId="0" applyFont="1" applyFill="1" applyAlignment="1">
      <alignment horizontal="right" wrapText="1"/>
    </xf>
    <xf numFmtId="0" fontId="10" fillId="2" borderId="0" xfId="0" applyFont="1" applyFill="1" applyAlignment="1">
      <alignment horizontal="right" wrapText="1"/>
    </xf>
    <xf numFmtId="10" fontId="10" fillId="2" borderId="85" xfId="1" applyNumberFormat="1" applyFont="1" applyFill="1" applyBorder="1" applyAlignment="1">
      <alignment horizontal="right" wrapText="1"/>
    </xf>
    <xf numFmtId="0" fontId="10" fillId="2" borderId="85" xfId="0" applyFont="1" applyFill="1" applyBorder="1" applyAlignment="1">
      <alignment horizontal="center" wrapText="1"/>
    </xf>
    <xf numFmtId="1" fontId="10" fillId="2" borderId="85" xfId="0" applyNumberFormat="1" applyFont="1" applyFill="1" applyBorder="1" applyAlignment="1">
      <alignment horizontal="center" wrapText="1"/>
    </xf>
    <xf numFmtId="3" fontId="10" fillId="2" borderId="85" xfId="0" applyNumberFormat="1" applyFont="1" applyFill="1" applyBorder="1" applyAlignment="1">
      <alignment horizontal="center" vertical="center" wrapText="1"/>
    </xf>
    <xf numFmtId="1" fontId="10" fillId="2" borderId="85" xfId="0" applyNumberFormat="1" applyFont="1" applyFill="1" applyBorder="1" applyAlignment="1">
      <alignment horizontal="center" vertical="center" wrapText="1"/>
    </xf>
    <xf numFmtId="0" fontId="10" fillId="2" borderId="85" xfId="0" applyFont="1" applyFill="1" applyBorder="1">
      <alignment horizontal="left" wrapText="1"/>
    </xf>
    <xf numFmtId="10" fontId="10" fillId="2" borderId="27" xfId="1" applyNumberFormat="1" applyFont="1" applyFill="1" applyBorder="1" applyAlignment="1">
      <alignment horizontal="right" wrapText="1"/>
    </xf>
    <xf numFmtId="0" fontId="10" fillId="2" borderId="27" xfId="0" applyFont="1" applyFill="1" applyBorder="1" applyAlignment="1">
      <alignment horizontal="center" wrapText="1"/>
    </xf>
    <xf numFmtId="1" fontId="10" fillId="2" borderId="27" xfId="0" applyNumberFormat="1" applyFont="1" applyFill="1" applyBorder="1" applyAlignment="1">
      <alignment horizontal="center" wrapText="1"/>
    </xf>
    <xf numFmtId="3" fontId="10" fillId="2" borderId="27" xfId="0" applyNumberFormat="1" applyFont="1" applyFill="1" applyBorder="1" applyAlignment="1">
      <alignment horizontal="center" vertical="center" wrapText="1"/>
    </xf>
    <xf numFmtId="1" fontId="10" fillId="2" borderId="27" xfId="0" applyNumberFormat="1" applyFont="1" applyFill="1" applyBorder="1" applyAlignment="1">
      <alignment horizontal="center" vertical="center" wrapText="1"/>
    </xf>
    <xf numFmtId="0" fontId="10" fillId="2" borderId="27" xfId="0" applyFont="1" applyFill="1" applyBorder="1">
      <alignment horizontal="left" wrapText="1"/>
    </xf>
    <xf numFmtId="167" fontId="101" fillId="0" borderId="0" xfId="0" applyNumberFormat="1" applyFont="1" applyAlignment="1">
      <alignment horizontal="left"/>
    </xf>
    <xf numFmtId="167" fontId="10" fillId="0" borderId="0" xfId="0" applyNumberFormat="1" applyFont="1" applyAlignment="1">
      <alignment horizontal="left"/>
    </xf>
    <xf numFmtId="0" fontId="10" fillId="0" borderId="0" xfId="0" applyFont="1" applyAlignment="1">
      <alignment horizontal="left" vertical="top" wrapText="1"/>
    </xf>
    <xf numFmtId="0" fontId="44" fillId="0" borderId="0" xfId="0" applyFont="1" applyAlignment="1"/>
    <xf numFmtId="0" fontId="77" fillId="2" borderId="18" xfId="0" applyFont="1" applyFill="1" applyBorder="1" applyAlignment="1"/>
    <xf numFmtId="0" fontId="86" fillId="3" borderId="60" xfId="0" applyFont="1" applyFill="1" applyBorder="1">
      <alignment horizontal="left" wrapText="1"/>
    </xf>
    <xf numFmtId="0" fontId="86" fillId="0" borderId="60" xfId="0" applyFont="1" applyBorder="1">
      <alignment horizontal="left" wrapText="1"/>
    </xf>
    <xf numFmtId="0" fontId="44" fillId="0" borderId="60" xfId="0" applyFont="1" applyBorder="1">
      <alignment horizontal="left" wrapText="1"/>
    </xf>
    <xf numFmtId="1" fontId="86" fillId="0" borderId="60" xfId="0" applyNumberFormat="1" applyFont="1" applyBorder="1">
      <alignment horizontal="left" wrapText="1"/>
    </xf>
    <xf numFmtId="0" fontId="127" fillId="0" borderId="60" xfId="0" applyFont="1" applyBorder="1">
      <alignment horizontal="left" wrapText="1"/>
    </xf>
    <xf numFmtId="0" fontId="88" fillId="0" borderId="60" xfId="0" applyFont="1" applyBorder="1">
      <alignment horizontal="left" wrapText="1"/>
    </xf>
    <xf numFmtId="1" fontId="88" fillId="0" borderId="60" xfId="0" applyNumberFormat="1" applyFont="1" applyBorder="1">
      <alignment horizontal="left" wrapText="1"/>
    </xf>
    <xf numFmtId="0" fontId="178" fillId="0" borderId="60" xfId="0" applyFont="1" applyBorder="1">
      <alignment horizontal="left" wrapText="1"/>
    </xf>
    <xf numFmtId="0" fontId="179" fillId="2" borderId="18" xfId="0" applyFont="1" applyFill="1" applyBorder="1" applyAlignment="1"/>
    <xf numFmtId="0" fontId="86" fillId="2" borderId="18" xfId="0" applyFont="1" applyFill="1" applyBorder="1" applyAlignment="1">
      <alignment horizontal="left"/>
    </xf>
    <xf numFmtId="0" fontId="180" fillId="2" borderId="18" xfId="0" applyFont="1" applyFill="1" applyBorder="1" applyAlignment="1">
      <alignment horizontal="left"/>
    </xf>
    <xf numFmtId="0" fontId="44" fillId="0" borderId="55" xfId="0" applyFont="1" applyBorder="1" applyAlignment="1">
      <alignment horizontal="left" vertical="top" wrapText="1"/>
    </xf>
    <xf numFmtId="49" fontId="6" fillId="0" borderId="22" xfId="0" applyNumberFormat="1" applyFont="1" applyBorder="1" applyAlignment="1" applyProtection="1">
      <alignment horizontal="left" vertical="top" indent="2" readingOrder="1"/>
    </xf>
    <xf numFmtId="0" fontId="44" fillId="0" borderId="0" xfId="0" applyFont="1" applyAlignment="1">
      <alignment horizontal="right" wrapText="1"/>
    </xf>
    <xf numFmtId="0" fontId="44" fillId="0" borderId="0" xfId="0" applyFont="1" applyAlignment="1">
      <alignment horizontal="center" wrapText="1"/>
    </xf>
    <xf numFmtId="0" fontId="127" fillId="0" borderId="91" xfId="0" applyFont="1" applyBorder="1">
      <alignment horizontal="left" wrapText="1"/>
    </xf>
    <xf numFmtId="0" fontId="88" fillId="0" borderId="91" xfId="0" applyFont="1" applyBorder="1">
      <alignment horizontal="left" wrapText="1"/>
    </xf>
    <xf numFmtId="0" fontId="44" fillId="0" borderId="91" xfId="0" applyFont="1" applyBorder="1">
      <alignment horizontal="left" wrapText="1"/>
    </xf>
    <xf numFmtId="1" fontId="88" fillId="0" borderId="91" xfId="0" applyNumberFormat="1" applyFont="1" applyBorder="1">
      <alignment horizontal="left" wrapText="1"/>
    </xf>
    <xf numFmtId="0" fontId="44" fillId="0" borderId="18" xfId="0" applyFont="1" applyBorder="1" applyAlignment="1">
      <alignment horizontal="right" wrapText="1"/>
    </xf>
    <xf numFmtId="0" fontId="127" fillId="0" borderId="56" xfId="0" applyFont="1" applyBorder="1">
      <alignment horizontal="left" wrapText="1"/>
    </xf>
    <xf numFmtId="0" fontId="88" fillId="0" borderId="56" xfId="0" applyFont="1" applyBorder="1">
      <alignment horizontal="left" wrapText="1"/>
    </xf>
    <xf numFmtId="0" fontId="44" fillId="0" borderId="56" xfId="0" applyFont="1" applyBorder="1">
      <alignment horizontal="left" wrapText="1"/>
    </xf>
    <xf numFmtId="1" fontId="88" fillId="0" borderId="56" xfId="0" applyNumberFormat="1" applyFont="1" applyBorder="1">
      <alignment horizontal="left" wrapText="1"/>
    </xf>
    <xf numFmtId="0" fontId="86" fillId="0" borderId="18" xfId="0" applyFont="1" applyBorder="1">
      <alignment horizontal="left" wrapText="1"/>
    </xf>
    <xf numFmtId="0" fontId="44" fillId="0" borderId="18" xfId="0" applyFont="1" applyBorder="1">
      <alignment horizontal="left" wrapText="1"/>
    </xf>
    <xf numFmtId="0" fontId="86" fillId="2" borderId="18" xfId="0" applyFont="1" applyFill="1" applyBorder="1">
      <alignment horizontal="left" wrapText="1"/>
    </xf>
    <xf numFmtId="0" fontId="44" fillId="2" borderId="18" xfId="0" applyFont="1" applyFill="1" applyBorder="1">
      <alignment horizontal="left" wrapText="1"/>
    </xf>
    <xf numFmtId="0" fontId="44" fillId="2" borderId="18" xfId="0" applyFont="1" applyFill="1" applyBorder="1" applyAlignment="1"/>
    <xf numFmtId="1" fontId="86" fillId="2" borderId="18" xfId="0" applyNumberFormat="1" applyFont="1" applyFill="1" applyBorder="1">
      <alignment horizontal="left" wrapText="1"/>
    </xf>
    <xf numFmtId="0" fontId="44" fillId="2" borderId="18" xfId="0" applyFont="1" applyFill="1" applyBorder="1" applyAlignment="1">
      <alignment horizontal="right" wrapText="1"/>
    </xf>
    <xf numFmtId="1" fontId="127" fillId="2" borderId="18" xfId="0" applyNumberFormat="1" applyFont="1" applyFill="1" applyBorder="1" applyAlignment="1">
      <alignment horizontal="center" wrapText="1"/>
    </xf>
    <xf numFmtId="0" fontId="44" fillId="0" borderId="60" xfId="0" applyFont="1" applyBorder="1" applyAlignment="1">
      <alignment horizontal="right" wrapText="1"/>
    </xf>
    <xf numFmtId="1" fontId="44" fillId="0" borderId="60" xfId="0" applyNumberFormat="1" applyFont="1" applyBorder="1" applyAlignment="1">
      <alignment horizontal="center" wrapText="1"/>
    </xf>
    <xf numFmtId="0" fontId="86" fillId="3" borderId="60" xfId="0" applyFont="1" applyFill="1" applyBorder="1" applyAlignment="1">
      <alignment horizontal="right" wrapText="1"/>
    </xf>
    <xf numFmtId="0" fontId="86" fillId="3" borderId="60" xfId="0" applyFont="1" applyFill="1" applyBorder="1" applyAlignment="1">
      <alignment horizontal="center" wrapText="1"/>
    </xf>
    <xf numFmtId="1" fontId="88" fillId="0" borderId="18" xfId="0" applyNumberFormat="1" applyFont="1" applyBorder="1">
      <alignment horizontal="left" wrapText="1"/>
    </xf>
    <xf numFmtId="1" fontId="127" fillId="0" borderId="60" xfId="0" applyNumberFormat="1" applyFont="1" applyBorder="1">
      <alignment horizontal="left" wrapText="1"/>
    </xf>
    <xf numFmtId="1" fontId="86" fillId="0" borderId="18" xfId="0" applyNumberFormat="1" applyFont="1" applyBorder="1" applyAlignment="1">
      <alignment horizontal="center" wrapText="1"/>
    </xf>
    <xf numFmtId="1" fontId="77" fillId="0" borderId="24" xfId="0" applyNumberFormat="1" applyFont="1" applyBorder="1" applyAlignment="1">
      <alignment horizontal="center" vertical="center"/>
    </xf>
    <xf numFmtId="44" fontId="41" fillId="0" borderId="59" xfId="4" applyFont="1" applyBorder="1" applyAlignment="1" applyProtection="1">
      <alignment horizontal="center" vertical="center" wrapText="1" readingOrder="1"/>
      <protection locked="0"/>
    </xf>
    <xf numFmtId="44" fontId="6" fillId="0" borderId="22" xfId="4" applyFont="1" applyBorder="1" applyAlignment="1" applyProtection="1">
      <alignment horizontal="right" vertical="center" readingOrder="1"/>
    </xf>
    <xf numFmtId="0" fontId="0" fillId="0" borderId="0" xfId="0" applyNumberFormat="1" applyAlignment="1" applyProtection="1">
      <alignment horizontal="center" wrapText="1"/>
    </xf>
    <xf numFmtId="2" fontId="6" fillId="0" borderId="22" xfId="4" applyNumberFormat="1" applyFont="1" applyBorder="1" applyAlignment="1" applyProtection="1">
      <alignment horizontal="center" vertical="center" readingOrder="1"/>
    </xf>
    <xf numFmtId="9" fontId="6" fillId="0" borderId="22" xfId="1" applyFont="1" applyBorder="1" applyAlignment="1" applyProtection="1">
      <alignment horizontal="center" vertical="center" readingOrder="1"/>
    </xf>
    <xf numFmtId="9" fontId="6" fillId="0" borderId="22" xfId="1" applyFont="1" applyBorder="1" applyAlignment="1" applyProtection="1">
      <alignment horizontal="left" vertical="center" readingOrder="1"/>
    </xf>
    <xf numFmtId="9" fontId="6" fillId="0" borderId="18" xfId="1" applyFont="1" applyBorder="1" applyAlignment="1" applyProtection="1">
      <alignment horizontal="left" vertical="center" readingOrder="1"/>
    </xf>
    <xf numFmtId="9" fontId="6" fillId="0" borderId="88" xfId="1" applyFont="1" applyBorder="1" applyAlignment="1" applyProtection="1">
      <alignment horizontal="left" vertical="center" readingOrder="1"/>
    </xf>
    <xf numFmtId="169" fontId="176" fillId="0" borderId="14" xfId="0" applyNumberFormat="1" applyFont="1" applyBorder="1" applyAlignment="1" applyProtection="1">
      <alignment horizontal="left" vertical="center"/>
    </xf>
    <xf numFmtId="169" fontId="176" fillId="0" borderId="14" xfId="0" applyNumberFormat="1" applyFont="1" applyFill="1" applyBorder="1" applyAlignment="1" applyProtection="1">
      <alignment horizontal="left" vertical="center" wrapText="1"/>
    </xf>
    <xf numFmtId="44" fontId="6" fillId="0" borderId="49" xfId="4" applyFont="1" applyBorder="1" applyAlignment="1" applyProtection="1">
      <alignment horizontal="right" vertical="center"/>
    </xf>
    <xf numFmtId="44" fontId="6" fillId="0" borderId="18" xfId="4" applyFont="1" applyBorder="1" applyAlignment="1" applyProtection="1">
      <alignment horizontal="right" vertical="center"/>
    </xf>
    <xf numFmtId="0" fontId="6" fillId="0" borderId="0" xfId="0" applyFont="1">
      <alignment horizontal="left" wrapText="1"/>
    </xf>
    <xf numFmtId="1" fontId="36" fillId="0" borderId="5" xfId="0" applyNumberFormat="1" applyFont="1" applyBorder="1" applyAlignment="1" applyProtection="1">
      <alignment horizontal="right" vertical="center" wrapText="1"/>
    </xf>
    <xf numFmtId="49" fontId="6" fillId="0" borderId="88" xfId="0" applyNumberFormat="1" applyFont="1" applyBorder="1" applyAlignment="1" applyProtection="1">
      <alignment horizontal="left" vertical="center" wrapText="1" indent="2" readingOrder="1"/>
    </xf>
    <xf numFmtId="2" fontId="39" fillId="0" borderId="88" xfId="0" applyNumberFormat="1" applyFont="1" applyBorder="1" applyAlignment="1" applyProtection="1">
      <alignment horizontal="left" vertical="center" readingOrder="1"/>
    </xf>
    <xf numFmtId="2" fontId="43" fillId="0" borderId="88" xfId="0" applyNumberFormat="1" applyFont="1" applyBorder="1" applyAlignment="1" applyProtection="1">
      <alignment horizontal="left" vertical="center" wrapText="1" readingOrder="1"/>
    </xf>
    <xf numFmtId="2" fontId="36" fillId="0" borderId="88" xfId="0" applyNumberFormat="1" applyFont="1" applyBorder="1" applyAlignment="1" applyProtection="1">
      <alignment horizontal="center" vertical="center" wrapText="1" readingOrder="1"/>
    </xf>
    <xf numFmtId="170" fontId="36" fillId="0" borderId="22" xfId="0" applyNumberFormat="1" applyFont="1" applyBorder="1" applyAlignment="1" applyProtection="1">
      <alignment horizontal="left" vertical="center" wrapText="1" readingOrder="1"/>
    </xf>
    <xf numFmtId="49" fontId="22" fillId="0" borderId="86" xfId="0" applyNumberFormat="1" applyFont="1" applyBorder="1" applyAlignment="1" applyProtection="1">
      <alignment horizontal="left" vertical="center" indent="2" readingOrder="1"/>
    </xf>
    <xf numFmtId="0" fontId="103" fillId="0" borderId="87" xfId="0" applyFont="1" applyBorder="1">
      <alignment horizontal="left" wrapText="1"/>
    </xf>
    <xf numFmtId="49" fontId="6" fillId="0" borderId="89" xfId="0" applyNumberFormat="1" applyFont="1" applyBorder="1" applyAlignment="1" applyProtection="1">
      <alignment horizontal="left" vertical="top"/>
    </xf>
    <xf numFmtId="49" fontId="6" fillId="0" borderId="86" xfId="0" applyNumberFormat="1" applyFont="1" applyBorder="1" applyAlignment="1" applyProtection="1">
      <alignment horizontal="left" vertical="center" readingOrder="1"/>
    </xf>
    <xf numFmtId="49" fontId="6" fillId="0" borderId="86" xfId="0" applyNumberFormat="1" applyFont="1" applyBorder="1" applyAlignment="1" applyProtection="1">
      <alignment horizontal="left" vertical="center" indent="2" readingOrder="1"/>
    </xf>
    <xf numFmtId="49" fontId="6" fillId="0" borderId="86" xfId="0" applyNumberFormat="1" applyFont="1" applyBorder="1" applyAlignment="1" applyProtection="1">
      <alignment horizontal="left" vertical="center" wrapText="1" readingOrder="1"/>
    </xf>
    <xf numFmtId="0" fontId="0" fillId="0" borderId="30" xfId="0" applyNumberFormat="1" applyBorder="1" applyProtection="1">
      <alignment horizontal="left" wrapText="1"/>
    </xf>
    <xf numFmtId="4" fontId="22" fillId="0" borderId="86" xfId="2" applyNumberFormat="1" applyFont="1" applyBorder="1" applyAlignment="1" applyProtection="1">
      <alignment vertical="center" wrapText="1" readingOrder="1"/>
    </xf>
    <xf numFmtId="2" fontId="22" fillId="0" borderId="86" xfId="0" applyNumberFormat="1" applyFont="1" applyBorder="1" applyAlignment="1" applyProtection="1">
      <alignment horizontal="right" vertical="center" wrapText="1" readingOrder="1"/>
    </xf>
    <xf numFmtId="49" fontId="70" fillId="0" borderId="86" xfId="0" applyNumberFormat="1" applyFont="1" applyBorder="1" applyAlignment="1" applyProtection="1">
      <alignment horizontal="right" vertical="center" readingOrder="1"/>
    </xf>
    <xf numFmtId="4" fontId="15" fillId="0" borderId="18" xfId="2" applyNumberFormat="1" applyFont="1" applyBorder="1" applyAlignment="1" applyProtection="1">
      <alignment vertical="center" wrapText="1"/>
    </xf>
    <xf numFmtId="43" fontId="6" fillId="0" borderId="89" xfId="2" applyFont="1" applyBorder="1" applyAlignment="1" applyProtection="1">
      <alignment horizontal="left" vertical="center" wrapText="1"/>
    </xf>
    <xf numFmtId="2" fontId="43" fillId="0" borderId="86" xfId="0" applyNumberFormat="1" applyFont="1" applyBorder="1" applyAlignment="1" applyProtection="1">
      <alignment horizontal="left" vertical="center" wrapText="1" readingOrder="1"/>
    </xf>
    <xf numFmtId="0" fontId="103" fillId="0" borderId="18" xfId="0" applyFont="1" applyBorder="1" applyAlignment="1">
      <alignment horizontal="left" vertical="top" wrapText="1"/>
    </xf>
    <xf numFmtId="4" fontId="36" fillId="0" borderId="86" xfId="0" applyNumberFormat="1" applyFont="1" applyBorder="1" applyAlignment="1" applyProtection="1">
      <alignment vertical="center" wrapText="1" readingOrder="1"/>
    </xf>
    <xf numFmtId="2" fontId="36" fillId="0" borderId="86" xfId="0" applyNumberFormat="1" applyFont="1" applyBorder="1" applyAlignment="1" applyProtection="1">
      <alignment horizontal="right" vertical="center" wrapText="1" readingOrder="1"/>
    </xf>
    <xf numFmtId="169" fontId="183" fillId="0" borderId="14" xfId="0" applyNumberFormat="1" applyFont="1" applyFill="1" applyBorder="1" applyAlignment="1" applyProtection="1">
      <alignment horizontal="left" vertical="center" wrapText="1"/>
    </xf>
    <xf numFmtId="0" fontId="82" fillId="0" borderId="0" xfId="0" applyNumberFormat="1" applyFont="1">
      <alignment horizontal="left" wrapText="1"/>
    </xf>
    <xf numFmtId="0" fontId="41" fillId="0" borderId="60" xfId="0" applyNumberFormat="1" applyFont="1" applyBorder="1" applyAlignment="1">
      <alignment horizontal="center" vertical="center" wrapText="1" readingOrder="1"/>
    </xf>
    <xf numFmtId="0" fontId="82" fillId="0" borderId="60" xfId="0" applyNumberFormat="1" applyFont="1" applyBorder="1">
      <alignment horizontal="left" wrapText="1"/>
    </xf>
    <xf numFmtId="0" fontId="41" fillId="0" borderId="60" xfId="0" applyNumberFormat="1" applyFont="1" applyBorder="1" applyAlignment="1">
      <alignment horizontal="center" vertical="center"/>
    </xf>
    <xf numFmtId="0" fontId="36" fillId="2" borderId="18" xfId="0" applyNumberFormat="1" applyFont="1" applyFill="1" applyBorder="1" applyAlignment="1" applyProtection="1">
      <alignment horizontal="right" vertical="center" wrapText="1" readingOrder="1"/>
    </xf>
    <xf numFmtId="0" fontId="6" fillId="2" borderId="18" xfId="0" applyNumberFormat="1" applyFont="1" applyFill="1" applyBorder="1" applyAlignment="1">
      <alignment horizontal="right" wrapText="1"/>
    </xf>
    <xf numFmtId="4" fontId="15" fillId="2" borderId="18" xfId="0" applyNumberFormat="1" applyFont="1" applyFill="1" applyBorder="1" applyAlignment="1">
      <alignment horizontal="right" wrapText="1"/>
    </xf>
    <xf numFmtId="4" fontId="46" fillId="0" borderId="92" xfId="0" applyNumberFormat="1" applyFont="1" applyBorder="1" applyAlignment="1" applyProtection="1">
      <alignment vertical="center" wrapText="1" readingOrder="1"/>
      <protection locked="0"/>
    </xf>
    <xf numFmtId="167" fontId="41" fillId="0" borderId="92" xfId="0" applyNumberFormat="1" applyFont="1" applyBorder="1" applyAlignment="1" applyProtection="1">
      <alignment horizontal="center" vertical="center" wrapText="1" readingOrder="1"/>
      <protection locked="0"/>
    </xf>
    <xf numFmtId="4" fontId="15" fillId="2" borderId="18" xfId="0" applyNumberFormat="1" applyFont="1" applyFill="1" applyBorder="1" applyAlignment="1" applyProtection="1">
      <alignment horizontal="right" vertical="center"/>
    </xf>
    <xf numFmtId="49" fontId="22" fillId="2" borderId="18" xfId="0" applyNumberFormat="1" applyFont="1" applyFill="1" applyBorder="1" applyAlignment="1" applyProtection="1">
      <alignment horizontal="left" vertical="center" wrapText="1" readingOrder="1"/>
    </xf>
    <xf numFmtId="4" fontId="22" fillId="2" borderId="18" xfId="0" applyNumberFormat="1" applyFont="1" applyFill="1" applyBorder="1" applyAlignment="1" applyProtection="1">
      <alignment horizontal="right" vertical="center" wrapText="1" readingOrder="1"/>
    </xf>
    <xf numFmtId="4" fontId="6" fillId="2" borderId="18" xfId="0" applyNumberFormat="1" applyFont="1" applyFill="1" applyBorder="1" applyAlignment="1" applyProtection="1">
      <alignment horizontal="right" vertical="center" readingOrder="1"/>
    </xf>
    <xf numFmtId="0" fontId="6" fillId="2" borderId="18" xfId="0" applyNumberFormat="1" applyFont="1" applyFill="1" applyBorder="1" applyAlignment="1" applyProtection="1">
      <alignment horizontal="left" vertical="center" indent="2" readingOrder="1"/>
    </xf>
    <xf numFmtId="49" fontId="66" fillId="2" borderId="18" xfId="0" applyNumberFormat="1" applyFont="1" applyFill="1" applyBorder="1" applyAlignment="1">
      <alignment horizontal="left" vertical="center" readingOrder="1"/>
    </xf>
    <xf numFmtId="0" fontId="22" fillId="2" borderId="18" xfId="0" applyNumberFormat="1" applyFont="1" applyFill="1" applyBorder="1" applyAlignment="1" applyProtection="1">
      <alignment horizontal="left" vertical="center" readingOrder="1"/>
    </xf>
    <xf numFmtId="0" fontId="22" fillId="2" borderId="18" xfId="0" applyNumberFormat="1" applyFont="1" applyFill="1" applyBorder="1" applyAlignment="1" applyProtection="1">
      <alignment horizontal="left" vertical="top" wrapText="1" readingOrder="1"/>
    </xf>
    <xf numFmtId="4" fontId="0" fillId="0" borderId="60" xfId="0" applyNumberFormat="1" applyBorder="1">
      <alignment horizontal="left" wrapText="1"/>
    </xf>
    <xf numFmtId="4" fontId="6" fillId="0" borderId="22" xfId="2" applyNumberFormat="1" applyFont="1" applyBorder="1" applyAlignment="1" applyProtection="1">
      <alignment horizontal="right" vertical="center" readingOrder="1"/>
    </xf>
    <xf numFmtId="4" fontId="6" fillId="0" borderId="89" xfId="0" applyNumberFormat="1" applyFont="1" applyFill="1" applyBorder="1" applyAlignment="1" applyProtection="1">
      <alignment horizontal="left" vertical="center" wrapText="1"/>
    </xf>
    <xf numFmtId="0" fontId="154" fillId="0" borderId="60" xfId="5" applyNumberFormat="1" applyFont="1" applyFill="1" applyBorder="1" applyAlignment="1">
      <alignment horizontal="right" vertical="top" wrapText="1"/>
    </xf>
    <xf numFmtId="2" fontId="15" fillId="2" borderId="18" xfId="0" applyNumberFormat="1" applyFont="1" applyFill="1" applyBorder="1" applyAlignment="1">
      <alignment horizontal="right" wrapText="1"/>
    </xf>
    <xf numFmtId="4" fontId="108" fillId="2" borderId="18" xfId="2" applyNumberFormat="1" applyFont="1" applyFill="1" applyBorder="1" applyAlignment="1" applyProtection="1">
      <alignment horizontal="right" vertical="center" readingOrder="1"/>
    </xf>
    <xf numFmtId="0" fontId="6" fillId="2" borderId="18" xfId="0" applyNumberFormat="1" applyFont="1" applyFill="1" applyBorder="1" applyAlignment="1">
      <alignment horizontal="right"/>
    </xf>
    <xf numFmtId="4" fontId="192" fillId="2" borderId="18" xfId="2" applyNumberFormat="1" applyFont="1" applyFill="1" applyBorder="1" applyAlignment="1" applyProtection="1">
      <alignment horizontal="right" vertical="top" readingOrder="1"/>
    </xf>
    <xf numFmtId="167" fontId="22" fillId="0" borderId="21" xfId="0" applyNumberFormat="1" applyFont="1" applyBorder="1" applyAlignment="1" applyProtection="1">
      <alignment horizontal="center" vertical="center" wrapText="1" readingOrder="1"/>
    </xf>
    <xf numFmtId="4" fontId="63" fillId="2" borderId="18" xfId="2" applyNumberFormat="1" applyFont="1" applyFill="1" applyBorder="1" applyAlignment="1" applyProtection="1">
      <alignment horizontal="right" vertical="center" readingOrder="1"/>
    </xf>
    <xf numFmtId="49" fontId="43" fillId="2" borderId="18" xfId="0" applyNumberFormat="1" applyFont="1" applyFill="1" applyBorder="1" applyAlignment="1" applyProtection="1">
      <alignment horizontal="left" vertical="center" wrapText="1" readingOrder="1"/>
    </xf>
    <xf numFmtId="4" fontId="43" fillId="2" borderId="18" xfId="2" applyNumberFormat="1" applyFont="1" applyFill="1" applyBorder="1" applyAlignment="1" applyProtection="1">
      <alignment horizontal="right" vertical="center" readingOrder="1"/>
    </xf>
    <xf numFmtId="2" fontId="46" fillId="0" borderId="21" xfId="0" applyNumberFormat="1" applyFont="1" applyBorder="1" applyAlignment="1" applyProtection="1">
      <alignment horizontal="right" vertical="center" wrapText="1" readingOrder="1"/>
      <protection locked="0"/>
    </xf>
    <xf numFmtId="0" fontId="22" fillId="0" borderId="77" xfId="0" applyNumberFormat="1" applyFont="1" applyBorder="1" applyAlignment="1" applyProtection="1">
      <alignment horizontal="left" vertical="top" wrapText="1" readingOrder="1"/>
    </xf>
    <xf numFmtId="4" fontId="22" fillId="2" borderId="77" xfId="0" applyNumberFormat="1" applyFont="1" applyFill="1" applyBorder="1" applyAlignment="1" applyProtection="1">
      <alignment horizontal="right" vertical="center" wrapText="1" readingOrder="1"/>
    </xf>
    <xf numFmtId="4" fontId="193" fillId="2" borderId="18" xfId="0" applyNumberFormat="1" applyFont="1" applyFill="1" applyBorder="1" applyAlignment="1">
      <alignment horizontal="right" wrapText="1"/>
    </xf>
    <xf numFmtId="4" fontId="193" fillId="2" borderId="18" xfId="0" applyNumberFormat="1" applyFont="1" applyFill="1" applyBorder="1" applyAlignment="1">
      <alignment horizontal="right"/>
    </xf>
    <xf numFmtId="49" fontId="195" fillId="2" borderId="18" xfId="0" applyNumberFormat="1" applyFont="1" applyFill="1" applyBorder="1" applyAlignment="1" applyProtection="1">
      <alignment horizontal="left" vertical="center" readingOrder="1"/>
    </xf>
    <xf numFmtId="49" fontId="6" fillId="0" borderId="89" xfId="0" applyNumberFormat="1" applyFont="1" applyBorder="1" applyAlignment="1" applyProtection="1">
      <alignment horizontal="left" vertical="center" indent="2"/>
    </xf>
    <xf numFmtId="4" fontId="41" fillId="0" borderId="89" xfId="0" applyNumberFormat="1" applyFont="1" applyBorder="1" applyAlignment="1" applyProtection="1">
      <alignment horizontal="right" vertical="center" wrapText="1"/>
      <protection locked="0"/>
    </xf>
    <xf numFmtId="4" fontId="6" fillId="0" borderId="89" xfId="0" applyNumberFormat="1" applyFont="1" applyBorder="1" applyAlignment="1" applyProtection="1">
      <alignment horizontal="left" vertical="center" wrapText="1"/>
    </xf>
    <xf numFmtId="4" fontId="22" fillId="0" borderId="89" xfId="2" applyNumberFormat="1" applyFont="1" applyBorder="1" applyAlignment="1" applyProtection="1">
      <alignment horizontal="left" vertical="center" wrapText="1"/>
    </xf>
    <xf numFmtId="4" fontId="6" fillId="0" borderId="89" xfId="2" applyNumberFormat="1" applyFont="1" applyBorder="1" applyAlignment="1" applyProtection="1">
      <alignment horizontal="right" vertical="center"/>
    </xf>
    <xf numFmtId="4" fontId="36" fillId="0" borderId="89" xfId="2" applyNumberFormat="1" applyFont="1" applyFill="1" applyBorder="1" applyAlignment="1" applyProtection="1">
      <alignment horizontal="right" vertical="center" wrapText="1"/>
    </xf>
    <xf numFmtId="4" fontId="6" fillId="0" borderId="89" xfId="2" applyNumberFormat="1" applyFont="1" applyFill="1" applyBorder="1" applyAlignment="1" applyProtection="1">
      <alignment horizontal="left" vertical="center" wrapText="1"/>
    </xf>
    <xf numFmtId="4" fontId="6" fillId="0" borderId="89" xfId="2" applyNumberFormat="1" applyFont="1" applyFill="1" applyBorder="1" applyAlignment="1" applyProtection="1">
      <alignment horizontal="right" vertical="center"/>
    </xf>
    <xf numFmtId="4" fontId="22" fillId="0" borderId="89" xfId="0" applyNumberFormat="1" applyFont="1" applyBorder="1" applyAlignment="1" applyProtection="1">
      <alignment horizontal="right" vertical="center" wrapText="1"/>
    </xf>
    <xf numFmtId="4" fontId="6" fillId="0" borderId="89" xfId="0" applyNumberFormat="1" applyFont="1" applyBorder="1" applyAlignment="1" applyProtection="1">
      <alignment horizontal="left" vertical="center"/>
    </xf>
    <xf numFmtId="9" fontId="14" fillId="0" borderId="89" xfId="0" applyNumberFormat="1" applyFont="1" applyBorder="1" applyAlignment="1" applyProtection="1">
      <alignment horizontal="right" vertical="center" wrapText="1"/>
    </xf>
    <xf numFmtId="49" fontId="6" fillId="0" borderId="89" xfId="0" applyNumberFormat="1" applyFont="1" applyBorder="1" applyAlignment="1" applyProtection="1">
      <alignment horizontal="left" vertical="center" wrapText="1"/>
    </xf>
    <xf numFmtId="1" fontId="22" fillId="0" borderId="89" xfId="0" applyNumberFormat="1" applyFont="1" applyBorder="1" applyAlignment="1" applyProtection="1">
      <alignment horizontal="center" vertical="center" wrapText="1"/>
    </xf>
    <xf numFmtId="49" fontId="6" fillId="0" borderId="86" xfId="0" applyNumberFormat="1" applyFont="1" applyBorder="1" applyAlignment="1" applyProtection="1">
      <alignment horizontal="left" vertical="center" wrapText="1" indent="2" readingOrder="1"/>
    </xf>
    <xf numFmtId="49" fontId="22" fillId="0" borderId="86" xfId="3" applyNumberFormat="1" applyFont="1" applyBorder="1" applyAlignment="1" applyProtection="1">
      <alignment horizontal="left" vertical="center" readingOrder="1"/>
    </xf>
    <xf numFmtId="49" fontId="6" fillId="0" borderId="30" xfId="0" applyNumberFormat="1" applyFont="1" applyBorder="1" applyAlignment="1" applyProtection="1">
      <alignment horizontal="left" vertical="center"/>
    </xf>
    <xf numFmtId="49" fontId="6" fillId="0" borderId="30" xfId="0" applyNumberFormat="1" applyFont="1" applyBorder="1" applyAlignment="1" applyProtection="1">
      <alignment horizontal="right" vertical="center"/>
    </xf>
    <xf numFmtId="0" fontId="36" fillId="0" borderId="50" xfId="0" applyFont="1" applyBorder="1" applyAlignment="1" applyProtection="1">
      <alignment horizontal="left" vertical="center" readingOrder="1"/>
    </xf>
    <xf numFmtId="49" fontId="70" fillId="2" borderId="30" xfId="3" applyNumberFormat="1" applyFont="1" applyFill="1" applyBorder="1" applyAlignment="1" applyProtection="1">
      <alignment horizontal="left"/>
    </xf>
    <xf numFmtId="0" fontId="70" fillId="2" borderId="30" xfId="3" applyFont="1" applyFill="1" applyBorder="1" applyAlignment="1" applyProtection="1">
      <alignment horizontal="right"/>
    </xf>
    <xf numFmtId="49" fontId="6" fillId="0" borderId="87" xfId="0" applyNumberFormat="1" applyFont="1" applyBorder="1" applyAlignment="1" applyProtection="1">
      <alignment horizontal="left" vertical="center" readingOrder="1"/>
    </xf>
    <xf numFmtId="49" fontId="6" fillId="0" borderId="87" xfId="0" applyNumberFormat="1" applyFont="1" applyBorder="1" applyAlignment="1" applyProtection="1">
      <alignment horizontal="left" vertical="center" wrapText="1" readingOrder="1"/>
    </xf>
    <xf numFmtId="49" fontId="6" fillId="0" borderId="96" xfId="0" applyNumberFormat="1" applyFont="1" applyBorder="1" applyAlignment="1" applyProtection="1">
      <alignment horizontal="left" vertical="center"/>
    </xf>
    <xf numFmtId="3" fontId="36" fillId="0" borderId="94" xfId="2" applyNumberFormat="1" applyFont="1" applyBorder="1" applyAlignment="1" applyProtection="1">
      <alignment horizontal="right" vertical="center" readingOrder="1"/>
    </xf>
    <xf numFmtId="49" fontId="38" fillId="0" borderId="97" xfId="0" applyNumberFormat="1" applyFont="1" applyBorder="1" applyAlignment="1" applyProtection="1">
      <alignment horizontal="left" vertical="center" readingOrder="1"/>
    </xf>
    <xf numFmtId="49" fontId="122" fillId="0" borderId="96" xfId="0" applyNumberFormat="1" applyFont="1" applyBorder="1" applyAlignment="1" applyProtection="1">
      <alignment horizontal="right" vertical="top"/>
    </xf>
    <xf numFmtId="49" fontId="6" fillId="0" borderId="33" xfId="0" applyNumberFormat="1" applyFont="1" applyBorder="1" applyAlignment="1" applyProtection="1">
      <alignment horizontal="left" vertical="center" wrapText="1"/>
    </xf>
    <xf numFmtId="49" fontId="6" fillId="0" borderId="33" xfId="0" applyNumberFormat="1" applyFont="1" applyBorder="1" applyAlignment="1" applyProtection="1">
      <alignment horizontal="left" vertical="center"/>
    </xf>
    <xf numFmtId="49" fontId="42" fillId="0" borderId="18" xfId="0" applyNumberFormat="1" applyFont="1" applyBorder="1" applyAlignment="1" applyProtection="1">
      <alignment horizontal="left" vertical="top" indent="2" readingOrder="1"/>
    </xf>
    <xf numFmtId="0" fontId="41" fillId="0" borderId="18" xfId="0" applyNumberFormat="1" applyFont="1" applyBorder="1" applyAlignment="1" applyProtection="1">
      <alignment vertical="center" readingOrder="1"/>
      <protection locked="0"/>
    </xf>
    <xf numFmtId="49" fontId="22" fillId="0" borderId="18" xfId="3" applyNumberFormat="1" applyFont="1" applyBorder="1" applyAlignment="1" applyProtection="1">
      <alignment horizontal="left" vertical="center" wrapText="1" readingOrder="1"/>
    </xf>
    <xf numFmtId="0" fontId="22" fillId="2" borderId="18" xfId="0" applyNumberFormat="1" applyFont="1" applyFill="1" applyBorder="1" applyAlignment="1" applyProtection="1">
      <alignment vertical="center" wrapText="1" readingOrder="1"/>
    </xf>
    <xf numFmtId="4" fontId="6" fillId="0" borderId="18" xfId="0" applyNumberFormat="1" applyFont="1" applyBorder="1" applyAlignment="1" applyProtection="1">
      <alignment horizontal="right" vertical="center" readingOrder="1"/>
    </xf>
    <xf numFmtId="49" fontId="6" fillId="0" borderId="18" xfId="0" applyNumberFormat="1" applyFont="1" applyBorder="1" applyAlignment="1" applyProtection="1">
      <alignment horizontal="left" vertical="center" wrapText="1" indent="2"/>
    </xf>
    <xf numFmtId="49" fontId="6" fillId="0" borderId="33" xfId="0" applyNumberFormat="1" applyFont="1" applyBorder="1" applyAlignment="1" applyProtection="1">
      <alignment horizontal="left" vertical="center" wrapText="1" indent="2"/>
    </xf>
    <xf numFmtId="49" fontId="22" fillId="0" borderId="33" xfId="0" applyNumberFormat="1" applyFont="1" applyBorder="1" applyAlignment="1" applyProtection="1">
      <alignment horizontal="left" vertical="center" wrapText="1" indent="2" readingOrder="1"/>
    </xf>
    <xf numFmtId="0" fontId="8" fillId="0" borderId="80" xfId="0" applyNumberFormat="1" applyFont="1" applyBorder="1" applyAlignment="1" applyProtection="1">
      <alignment horizontal="right" vertical="center" wrapText="1"/>
      <protection locked="0"/>
    </xf>
    <xf numFmtId="10" fontId="6" fillId="0" borderId="86" xfId="1" applyNumberFormat="1" applyFont="1" applyBorder="1" applyAlignment="1" applyProtection="1">
      <alignment horizontal="left" vertical="center" readingOrder="1"/>
    </xf>
    <xf numFmtId="0" fontId="0" fillId="0" borderId="99" xfId="0" applyNumberFormat="1" applyBorder="1" applyProtection="1">
      <alignment horizontal="left" wrapText="1"/>
    </xf>
    <xf numFmtId="49" fontId="6" fillId="0" borderId="100" xfId="0" applyNumberFormat="1" applyFont="1" applyBorder="1" applyAlignment="1" applyProtection="1">
      <alignment horizontal="left" vertical="center" wrapText="1" indent="2" readingOrder="1"/>
    </xf>
    <xf numFmtId="49" fontId="22" fillId="0" borderId="100" xfId="0" applyNumberFormat="1" applyFont="1" applyBorder="1" applyAlignment="1" applyProtection="1">
      <alignment horizontal="left" vertical="center" indent="2" readingOrder="1"/>
    </xf>
    <xf numFmtId="49" fontId="14" fillId="0" borderId="101" xfId="0" applyNumberFormat="1" applyFont="1" applyBorder="1" applyAlignment="1" applyProtection="1">
      <alignment horizontal="left" vertical="top" wrapText="1" readingOrder="1"/>
    </xf>
    <xf numFmtId="4" fontId="61" fillId="0" borderId="18" xfId="0" applyNumberFormat="1" applyFont="1" applyBorder="1" applyAlignment="1" applyProtection="1">
      <alignment horizontal="left" vertical="top" wrapText="1" readingOrder="1"/>
    </xf>
    <xf numFmtId="9" fontId="6" fillId="0" borderId="29" xfId="0" applyNumberFormat="1" applyFont="1" applyBorder="1" applyAlignment="1" applyProtection="1">
      <alignment vertical="center" wrapText="1" readingOrder="1"/>
    </xf>
    <xf numFmtId="0" fontId="0" fillId="0" borderId="102" xfId="0" applyNumberFormat="1" applyBorder="1" applyProtection="1">
      <alignment horizontal="left" wrapText="1"/>
    </xf>
    <xf numFmtId="49" fontId="60" fillId="0" borderId="102" xfId="0" applyNumberFormat="1" applyFont="1" applyBorder="1" applyAlignment="1" applyProtection="1">
      <alignment horizontal="right" vertical="top" readingOrder="1"/>
    </xf>
    <xf numFmtId="0" fontId="22" fillId="2" borderId="99" xfId="0" applyNumberFormat="1" applyFont="1" applyFill="1" applyBorder="1" applyAlignment="1" applyProtection="1">
      <alignment vertical="center" wrapText="1" readingOrder="1"/>
    </xf>
    <xf numFmtId="49" fontId="60" fillId="0" borderId="99" xfId="0" applyNumberFormat="1" applyFont="1" applyBorder="1" applyAlignment="1" applyProtection="1">
      <alignment horizontal="right" vertical="top" readingOrder="1"/>
    </xf>
    <xf numFmtId="9" fontId="6" fillId="0" borderId="99" xfId="0" applyNumberFormat="1" applyFont="1" applyBorder="1" applyAlignment="1" applyProtection="1">
      <alignment vertical="center" wrapText="1" readingOrder="1"/>
    </xf>
    <xf numFmtId="0" fontId="6" fillId="0" borderId="99" xfId="0" applyFont="1" applyBorder="1" applyAlignment="1" applyProtection="1">
      <alignment horizontal="left" vertical="center"/>
    </xf>
    <xf numFmtId="49" fontId="6" fillId="0" borderId="103" xfId="0" applyNumberFormat="1" applyFont="1" applyBorder="1" applyAlignment="1" applyProtection="1">
      <alignment horizontal="left" vertical="center"/>
    </xf>
    <xf numFmtId="0" fontId="6" fillId="0" borderId="80" xfId="0" applyFont="1" applyBorder="1" applyAlignment="1" applyProtection="1">
      <alignment horizontal="left" vertical="center" indent="2"/>
    </xf>
    <xf numFmtId="2" fontId="36" fillId="0" borderId="101" xfId="0" applyNumberFormat="1" applyFont="1" applyBorder="1" applyAlignment="1" applyProtection="1">
      <alignment vertical="center" wrapText="1" readingOrder="1"/>
    </xf>
    <xf numFmtId="49" fontId="22" fillId="0" borderId="104" xfId="3" applyNumberFormat="1" applyFont="1" applyBorder="1" applyAlignment="1" applyProtection="1">
      <alignment horizontal="left" vertical="center" readingOrder="1"/>
    </xf>
    <xf numFmtId="0" fontId="0" fillId="0" borderId="104" xfId="0" applyNumberFormat="1" applyBorder="1" applyProtection="1">
      <alignment horizontal="left" wrapText="1"/>
    </xf>
    <xf numFmtId="4" fontId="22" fillId="0" borderId="104" xfId="0" applyNumberFormat="1" applyFont="1" applyBorder="1" applyAlignment="1" applyProtection="1">
      <alignment vertical="center" wrapText="1" readingOrder="1"/>
    </xf>
    <xf numFmtId="4" fontId="36" fillId="0" borderId="18" xfId="0" applyNumberFormat="1" applyFont="1" applyBorder="1" applyAlignment="1" applyProtection="1">
      <alignment vertical="top" wrapText="1" readingOrder="1"/>
    </xf>
    <xf numFmtId="49" fontId="22" fillId="0" borderId="104" xfId="3" applyNumberFormat="1" applyFont="1" applyBorder="1" applyAlignment="1" applyProtection="1">
      <alignment horizontal="left" vertical="center" wrapText="1" readingOrder="1"/>
    </xf>
    <xf numFmtId="0" fontId="22" fillId="2" borderId="104" xfId="0" applyNumberFormat="1" applyFont="1" applyFill="1" applyBorder="1" applyAlignment="1" applyProtection="1">
      <alignment vertical="center" wrapText="1" readingOrder="1"/>
    </xf>
    <xf numFmtId="4" fontId="59" fillId="0" borderId="22" xfId="2" applyNumberFormat="1" applyFont="1" applyBorder="1" applyAlignment="1" applyProtection="1">
      <alignment vertical="center" wrapText="1" readingOrder="1"/>
    </xf>
    <xf numFmtId="4" fontId="46" fillId="0" borderId="86" xfId="0" applyNumberFormat="1" applyFont="1" applyBorder="1" applyAlignment="1" applyProtection="1">
      <alignment vertical="center" wrapText="1" readingOrder="1"/>
      <protection locked="0"/>
    </xf>
    <xf numFmtId="4" fontId="22" fillId="0" borderId="92" xfId="0" applyNumberFormat="1" applyFont="1" applyBorder="1" applyAlignment="1" applyProtection="1">
      <alignment vertical="center" wrapText="1" readingOrder="1"/>
    </xf>
    <xf numFmtId="1" fontId="36" fillId="0" borderId="102" xfId="0" applyNumberFormat="1" applyFont="1" applyBorder="1" applyAlignment="1" applyProtection="1">
      <alignment vertical="center" readingOrder="1"/>
    </xf>
    <xf numFmtId="4" fontId="47" fillId="0" borderId="18" xfId="0" applyNumberFormat="1" applyFont="1" applyBorder="1" applyAlignment="1">
      <alignment vertical="top" wrapText="1" readingOrder="1"/>
    </xf>
    <xf numFmtId="10" fontId="6" fillId="0" borderId="104" xfId="1" applyNumberFormat="1" applyFont="1" applyBorder="1" applyAlignment="1" applyProtection="1">
      <alignment horizontal="left" vertical="center" readingOrder="1"/>
    </xf>
    <xf numFmtId="10" fontId="6" fillId="0" borderId="105" xfId="1" applyNumberFormat="1" applyFont="1" applyBorder="1" applyAlignment="1" applyProtection="1">
      <alignment horizontal="left" vertical="center" readingOrder="1"/>
    </xf>
    <xf numFmtId="9" fontId="36" fillId="0" borderId="18" xfId="1" applyFont="1" applyBorder="1" applyAlignment="1" applyProtection="1">
      <alignment horizontal="left" vertical="top" wrapText="1" indent="3" readingOrder="1"/>
    </xf>
    <xf numFmtId="4" fontId="59" fillId="0" borderId="22" xfId="2" applyNumberFormat="1" applyFont="1" applyBorder="1" applyAlignment="1" applyProtection="1">
      <alignment horizontal="center" vertical="center" wrapText="1" readingOrder="1"/>
    </xf>
    <xf numFmtId="4" fontId="36" fillId="0" borderId="22" xfId="0" applyNumberFormat="1" applyFont="1" applyBorder="1" applyAlignment="1" applyProtection="1">
      <alignment horizontal="center" vertical="center" wrapText="1" readingOrder="1"/>
    </xf>
    <xf numFmtId="9" fontId="41" fillId="0" borderId="50" xfId="0" applyNumberFormat="1" applyFont="1" applyBorder="1" applyAlignment="1" applyProtection="1">
      <alignment horizontal="center" vertical="center" wrapText="1" readingOrder="1"/>
      <protection locked="0"/>
    </xf>
    <xf numFmtId="9" fontId="41" fillId="0" borderId="18" xfId="0" applyNumberFormat="1" applyFont="1" applyBorder="1" applyAlignment="1" applyProtection="1">
      <alignment horizontal="center" vertical="center" wrapText="1" readingOrder="1"/>
      <protection locked="0"/>
    </xf>
    <xf numFmtId="4" fontId="36" fillId="0" borderId="86" xfId="0" applyNumberFormat="1" applyFont="1" applyBorder="1" applyAlignment="1" applyProtection="1">
      <alignment horizontal="center" vertical="center" wrapText="1" readingOrder="1"/>
    </xf>
    <xf numFmtId="4" fontId="22" fillId="0" borderId="100" xfId="0" applyNumberFormat="1" applyFont="1" applyBorder="1" applyAlignment="1" applyProtection="1">
      <alignment horizontal="right" vertical="center" readingOrder="1"/>
    </xf>
    <xf numFmtId="4" fontId="36" fillId="0" borderId="18" xfId="0" applyNumberFormat="1" applyFont="1" applyBorder="1" applyAlignment="1" applyProtection="1">
      <alignment vertical="center" wrapText="1" readingOrder="1"/>
    </xf>
    <xf numFmtId="9" fontId="36" fillId="0" borderId="18" xfId="1" applyFont="1" applyBorder="1" applyAlignment="1" applyProtection="1">
      <alignment horizontal="left" vertical="center" wrapText="1" indent="2" readingOrder="1"/>
    </xf>
    <xf numFmtId="9" fontId="36" fillId="0" borderId="18" xfId="1" applyFont="1" applyBorder="1" applyAlignment="1" applyProtection="1">
      <alignment horizontal="left" vertical="top" wrapText="1" indent="4" readingOrder="1"/>
    </xf>
    <xf numFmtId="4" fontId="41" fillId="0" borderId="22" xfId="0" applyNumberFormat="1" applyFont="1" applyBorder="1" applyAlignment="1" applyProtection="1">
      <alignment horizontal="center" vertical="center" readingOrder="1"/>
      <protection locked="0"/>
    </xf>
    <xf numFmtId="4" fontId="22" fillId="0" borderId="87" xfId="0" applyNumberFormat="1" applyFont="1" applyBorder="1" applyAlignment="1" applyProtection="1">
      <alignment horizontal="right" vertical="center" wrapText="1" readingOrder="1"/>
    </xf>
    <xf numFmtId="49" fontId="175" fillId="0" borderId="106" xfId="0" applyNumberFormat="1" applyFont="1" applyBorder="1" applyAlignment="1" applyProtection="1">
      <alignment horizontal="left" vertical="center"/>
    </xf>
    <xf numFmtId="49" fontId="12" fillId="0" borderId="106" xfId="0" applyNumberFormat="1" applyFont="1" applyBorder="1" applyAlignment="1" applyProtection="1">
      <alignment horizontal="left" vertical="center"/>
    </xf>
    <xf numFmtId="169" fontId="181" fillId="0" borderId="106" xfId="0" applyNumberFormat="1" applyFont="1" applyFill="1" applyBorder="1" applyAlignment="1" applyProtection="1">
      <alignment horizontal="left" vertical="center"/>
    </xf>
    <xf numFmtId="169" fontId="75" fillId="0" borderId="106" xfId="0" applyNumberFormat="1" applyFont="1" applyBorder="1" applyAlignment="1" applyProtection="1">
      <alignment horizontal="right" vertical="center"/>
    </xf>
    <xf numFmtId="49" fontId="173" fillId="0" borderId="106" xfId="0" applyNumberFormat="1" applyFont="1" applyBorder="1" applyAlignment="1" applyProtection="1">
      <alignment horizontal="left" vertical="center"/>
    </xf>
    <xf numFmtId="169" fontId="176" fillId="0" borderId="106" xfId="0" applyNumberFormat="1" applyFont="1" applyBorder="1" applyAlignment="1" applyProtection="1">
      <alignment horizontal="left" vertical="center"/>
    </xf>
    <xf numFmtId="49" fontId="59" fillId="0" borderId="6" xfId="0" applyNumberFormat="1" applyFont="1" applyBorder="1" applyAlignment="1" applyProtection="1">
      <alignment horizontal="right" vertical="center"/>
    </xf>
    <xf numFmtId="0" fontId="59" fillId="2" borderId="99" xfId="0" applyNumberFormat="1" applyFont="1" applyFill="1" applyBorder="1" applyAlignment="1" applyProtection="1">
      <alignment vertical="center" wrapText="1" readingOrder="1"/>
    </xf>
    <xf numFmtId="0" fontId="206" fillId="0" borderId="102" xfId="0" applyNumberFormat="1" applyFont="1" applyBorder="1" applyProtection="1">
      <alignment horizontal="left" wrapText="1"/>
    </xf>
    <xf numFmtId="0" fontId="206" fillId="0" borderId="99" xfId="0" applyNumberFormat="1" applyFont="1" applyBorder="1" applyProtection="1">
      <alignment horizontal="left" wrapText="1"/>
    </xf>
    <xf numFmtId="49" fontId="22" fillId="0" borderId="94" xfId="0" applyNumberFormat="1" applyFont="1" applyBorder="1" applyAlignment="1" applyProtection="1">
      <alignment horizontal="left" vertical="top" indent="2" readingOrder="1"/>
    </xf>
    <xf numFmtId="4" fontId="36" fillId="0" borderId="94" xfId="2" applyNumberFormat="1" applyFont="1" applyBorder="1" applyAlignment="1" applyProtection="1">
      <alignment vertical="top" wrapText="1" readingOrder="1"/>
    </xf>
    <xf numFmtId="2" fontId="22" fillId="0" borderId="86" xfId="0" applyNumberFormat="1" applyFont="1" applyBorder="1" applyAlignment="1" applyProtection="1">
      <alignment horizontal="center" vertical="center" wrapText="1" readingOrder="1"/>
    </xf>
    <xf numFmtId="167" fontId="6" fillId="0" borderId="86" xfId="0" applyNumberFormat="1" applyFont="1" applyBorder="1" applyAlignment="1" applyProtection="1">
      <alignment horizontal="center" vertical="center" wrapText="1" readingOrder="1"/>
    </xf>
    <xf numFmtId="10" fontId="61" fillId="0" borderId="86" xfId="0" applyNumberFormat="1" applyFont="1" applyBorder="1" applyAlignment="1" applyProtection="1">
      <alignment horizontal="center" vertical="center" wrapText="1" readingOrder="1"/>
    </xf>
    <xf numFmtId="4" fontId="6" fillId="0" borderId="86" xfId="0" applyNumberFormat="1" applyFont="1" applyBorder="1" applyAlignment="1" applyProtection="1">
      <alignment horizontal="right" vertical="center" readingOrder="1"/>
    </xf>
    <xf numFmtId="49" fontId="134" fillId="11" borderId="90" xfId="0" applyNumberFormat="1" applyFont="1" applyFill="1" applyBorder="1" applyAlignment="1" applyProtection="1">
      <alignment horizontal="left"/>
    </xf>
    <xf numFmtId="49" fontId="196" fillId="11" borderId="90" xfId="0" applyNumberFormat="1" applyFont="1" applyFill="1" applyBorder="1" applyAlignment="1" applyProtection="1">
      <alignment horizontal="left" vertical="center"/>
    </xf>
    <xf numFmtId="177" fontId="197" fillId="11" borderId="90" xfId="0" applyNumberFormat="1" applyFont="1" applyFill="1" applyBorder="1" applyAlignment="1" applyProtection="1">
      <alignment horizontal="left" vertical="center"/>
    </xf>
    <xf numFmtId="169" fontId="198" fillId="11" borderId="90" xfId="0" applyNumberFormat="1" applyFont="1" applyFill="1" applyBorder="1" applyAlignment="1" applyProtection="1">
      <alignment horizontal="right" vertical="center"/>
    </xf>
    <xf numFmtId="169" fontId="199" fillId="11" borderId="90" xfId="0" applyNumberFormat="1" applyFont="1" applyFill="1" applyBorder="1" applyAlignment="1" applyProtection="1">
      <alignment horizontal="left" vertical="center"/>
    </xf>
    <xf numFmtId="49" fontId="200" fillId="11" borderId="90" xfId="0" applyNumberFormat="1" applyFont="1" applyFill="1" applyBorder="1" applyAlignment="1" applyProtection="1">
      <alignment horizontal="left" vertical="center"/>
    </xf>
    <xf numFmtId="168" fontId="134" fillId="11" borderId="90" xfId="1" applyNumberFormat="1" applyFont="1" applyFill="1" applyBorder="1" applyAlignment="1" applyProtection="1">
      <alignment horizontal="right" vertical="center" wrapText="1"/>
    </xf>
    <xf numFmtId="49" fontId="202" fillId="11" borderId="95" xfId="0" applyNumberFormat="1" applyFont="1" applyFill="1" applyBorder="1" applyAlignment="1" applyProtection="1">
      <alignment horizontal="left" vertical="center" wrapText="1" readingOrder="1"/>
    </xf>
    <xf numFmtId="49" fontId="22" fillId="11" borderId="95" xfId="0" applyNumberFormat="1" applyFont="1" applyFill="1" applyBorder="1" applyAlignment="1" applyProtection="1">
      <alignment horizontal="left" readingOrder="1"/>
    </xf>
    <xf numFmtId="0" fontId="65" fillId="11" borderId="98" xfId="0" applyNumberFormat="1" applyFont="1" applyFill="1" applyBorder="1" applyProtection="1">
      <alignment horizontal="left" wrapText="1"/>
    </xf>
    <xf numFmtId="4" fontId="22" fillId="0" borderId="87" xfId="0" applyNumberFormat="1" applyFont="1" applyBorder="1" applyAlignment="1" applyProtection="1">
      <alignment vertical="center" wrapText="1" readingOrder="1"/>
    </xf>
    <xf numFmtId="4" fontId="163" fillId="0" borderId="81" xfId="0" applyNumberFormat="1" applyFont="1" applyBorder="1" applyAlignment="1" applyProtection="1">
      <alignment vertical="center" wrapText="1" readingOrder="1"/>
    </xf>
    <xf numFmtId="49" fontId="6" fillId="0" borderId="29" xfId="0" applyNumberFormat="1" applyFont="1" applyBorder="1" applyAlignment="1" applyProtection="1">
      <alignment horizontal="left" vertical="center" indent="2" readingOrder="1"/>
    </xf>
    <xf numFmtId="4" fontId="207" fillId="0" borderId="29" xfId="0" applyNumberFormat="1" applyFont="1" applyBorder="1" applyAlignment="1" applyProtection="1">
      <alignment vertical="center" wrapText="1" readingOrder="1"/>
    </xf>
    <xf numFmtId="49" fontId="6" fillId="0" borderId="29" xfId="0" applyNumberFormat="1" applyFont="1" applyBorder="1" applyAlignment="1" applyProtection="1">
      <alignment horizontal="left" vertical="center" readingOrder="1"/>
    </xf>
    <xf numFmtId="9" fontId="6" fillId="0" borderId="87" xfId="0" applyNumberFormat="1" applyFont="1" applyBorder="1" applyAlignment="1" applyProtection="1">
      <alignment vertical="center" wrapText="1" readingOrder="1"/>
    </xf>
    <xf numFmtId="49" fontId="6" fillId="0" borderId="101" xfId="0" applyNumberFormat="1" applyFont="1" applyBorder="1" applyAlignment="1" applyProtection="1">
      <alignment horizontal="left" vertical="top" wrapText="1" indent="2" readingOrder="1"/>
    </xf>
    <xf numFmtId="49" fontId="6" fillId="0" borderId="101" xfId="0" applyNumberFormat="1" applyFont="1" applyBorder="1" applyAlignment="1" applyProtection="1">
      <alignment horizontal="left" vertical="top" readingOrder="1"/>
    </xf>
    <xf numFmtId="167" fontId="36" fillId="0" borderId="101" xfId="0" applyNumberFormat="1" applyFont="1" applyBorder="1" applyAlignment="1" applyProtection="1">
      <alignment horizontal="right" wrapText="1" readingOrder="1"/>
    </xf>
    <xf numFmtId="10" fontId="36" fillId="0" borderId="21" xfId="0" applyNumberFormat="1" applyFont="1" applyBorder="1" applyAlignment="1" applyProtection="1">
      <alignment horizontal="center" vertical="center" readingOrder="1"/>
    </xf>
    <xf numFmtId="10" fontId="59" fillId="0" borderId="22" xfId="1" applyNumberFormat="1" applyFont="1" applyBorder="1" applyAlignment="1" applyProtection="1">
      <alignment horizontal="center" vertical="center" readingOrder="1"/>
    </xf>
    <xf numFmtId="49" fontId="22" fillId="0" borderId="104" xfId="0" applyNumberFormat="1" applyFont="1" applyBorder="1" applyAlignment="1" applyProtection="1">
      <alignment horizontal="left" vertical="center" wrapText="1" indent="2" readingOrder="1"/>
    </xf>
    <xf numFmtId="0" fontId="0" fillId="0" borderId="107" xfId="0" applyNumberFormat="1" applyBorder="1" applyProtection="1">
      <alignment horizontal="left" wrapText="1"/>
    </xf>
    <xf numFmtId="0" fontId="41" fillId="0" borderId="87" xfId="0" applyNumberFormat="1" applyFont="1" applyBorder="1" applyAlignment="1" applyProtection="1">
      <alignment vertical="center" readingOrder="1"/>
      <protection locked="0"/>
    </xf>
    <xf numFmtId="49" fontId="22" fillId="0" borderId="87" xfId="3" applyNumberFormat="1" applyFont="1" applyBorder="1" applyAlignment="1" applyProtection="1">
      <alignment horizontal="left" vertical="center" wrapText="1" readingOrder="1"/>
    </xf>
    <xf numFmtId="0" fontId="22" fillId="2" borderId="87" xfId="0" applyNumberFormat="1" applyFont="1" applyFill="1" applyBorder="1" applyAlignment="1" applyProtection="1">
      <alignment vertical="center" wrapText="1" readingOrder="1"/>
    </xf>
    <xf numFmtId="49" fontId="22" fillId="0" borderId="87" xfId="3" applyNumberFormat="1" applyFont="1" applyBorder="1" applyAlignment="1" applyProtection="1">
      <alignment horizontal="left" vertical="center" readingOrder="1"/>
    </xf>
    <xf numFmtId="4" fontId="6" fillId="0" borderId="87" xfId="0" applyNumberFormat="1" applyFont="1" applyBorder="1" applyAlignment="1" applyProtection="1">
      <alignment horizontal="right" vertical="center" readingOrder="1"/>
    </xf>
    <xf numFmtId="4" fontId="22" fillId="0" borderId="49" xfId="0" applyNumberFormat="1" applyFont="1" applyBorder="1" applyAlignment="1" applyProtection="1">
      <alignment horizontal="right" vertical="center" wrapText="1" readingOrder="1"/>
    </xf>
    <xf numFmtId="10" fontId="6" fillId="0" borderId="49" xfId="1" applyNumberFormat="1" applyFont="1" applyBorder="1" applyAlignment="1" applyProtection="1">
      <alignment horizontal="left" vertical="center" readingOrder="1"/>
    </xf>
    <xf numFmtId="49" fontId="15" fillId="0" borderId="86" xfId="0" applyNumberFormat="1" applyFont="1" applyBorder="1" applyAlignment="1" applyProtection="1">
      <alignment horizontal="left" vertical="center" wrapText="1" indent="2" readingOrder="1"/>
    </xf>
    <xf numFmtId="4" fontId="110" fillId="0" borderId="87" xfId="0" applyNumberFormat="1" applyFont="1" applyFill="1" applyBorder="1" applyAlignment="1" applyProtection="1">
      <alignment vertical="center" wrapText="1" readingOrder="1"/>
      <protection locked="0"/>
    </xf>
    <xf numFmtId="49" fontId="6" fillId="0" borderId="87" xfId="0" applyNumberFormat="1" applyFont="1" applyFill="1" applyBorder="1" applyAlignment="1" applyProtection="1">
      <alignment horizontal="center" vertical="center" readingOrder="1"/>
    </xf>
    <xf numFmtId="49" fontId="17" fillId="0" borderId="87" xfId="0" applyNumberFormat="1" applyFont="1" applyFill="1" applyBorder="1" applyAlignment="1" applyProtection="1">
      <alignment horizontal="right" vertical="center"/>
    </xf>
    <xf numFmtId="49" fontId="6" fillId="0" borderId="87" xfId="0" applyNumberFormat="1" applyFont="1" applyFill="1" applyBorder="1" applyAlignment="1" applyProtection="1">
      <alignment horizontal="left" vertical="center" wrapText="1" indent="2" readingOrder="1"/>
    </xf>
    <xf numFmtId="0" fontId="92" fillId="0" borderId="18" xfId="0" applyNumberFormat="1" applyFont="1" applyBorder="1" applyProtection="1">
      <alignment horizontal="left" wrapText="1"/>
    </xf>
    <xf numFmtId="49" fontId="22" fillId="0" borderId="101" xfId="0" applyNumberFormat="1" applyFont="1" applyBorder="1" applyAlignment="1" applyProtection="1">
      <alignment horizontal="left" vertical="top" readingOrder="1"/>
    </xf>
    <xf numFmtId="4" fontId="22" fillId="0" borderId="101" xfId="2" applyNumberFormat="1" applyFont="1" applyBorder="1" applyAlignment="1" applyProtection="1">
      <alignment vertical="top" wrapText="1"/>
    </xf>
    <xf numFmtId="2" fontId="36" fillId="0" borderId="101" xfId="0" applyNumberFormat="1" applyFont="1" applyBorder="1" applyAlignment="1" applyProtection="1">
      <alignment vertical="top" wrapText="1" readingOrder="1"/>
    </xf>
    <xf numFmtId="49" fontId="22" fillId="0" borderId="108" xfId="0" applyNumberFormat="1" applyFont="1" applyBorder="1" applyAlignment="1" applyProtection="1">
      <alignment horizontal="left" vertical="top"/>
    </xf>
    <xf numFmtId="43" fontId="22" fillId="0" borderId="101" xfId="0" applyNumberFormat="1" applyFont="1" applyBorder="1" applyAlignment="1" applyProtection="1">
      <alignment horizontal="left" vertical="top" readingOrder="1"/>
    </xf>
    <xf numFmtId="49" fontId="70" fillId="0" borderId="101" xfId="0" applyNumberFormat="1" applyFont="1" applyBorder="1" applyAlignment="1" applyProtection="1">
      <alignment horizontal="right" vertical="center" readingOrder="1"/>
    </xf>
    <xf numFmtId="49" fontId="70" fillId="0" borderId="101" xfId="0" applyNumberFormat="1" applyFont="1" applyBorder="1" applyAlignment="1" applyProtection="1">
      <alignment horizontal="right" vertical="top" readingOrder="1"/>
    </xf>
    <xf numFmtId="2" fontId="43" fillId="0" borderId="101" xfId="0" applyNumberFormat="1" applyFont="1" applyBorder="1" applyAlignment="1" applyProtection="1">
      <alignment horizontal="left" vertical="top" wrapText="1" readingOrder="1"/>
    </xf>
    <xf numFmtId="49" fontId="6" fillId="0" borderId="108" xfId="0" applyNumberFormat="1" applyFont="1" applyBorder="1" applyAlignment="1" applyProtection="1">
      <alignment horizontal="left" vertical="center" wrapText="1"/>
    </xf>
    <xf numFmtId="0" fontId="103" fillId="0" borderId="104" xfId="0" applyFont="1" applyBorder="1">
      <alignment horizontal="left" wrapText="1"/>
    </xf>
    <xf numFmtId="49" fontId="6" fillId="0" borderId="101" xfId="0" applyNumberFormat="1" applyFont="1" applyBorder="1" applyAlignment="1" applyProtection="1">
      <alignment horizontal="left" vertical="center" indent="2" readingOrder="1"/>
    </xf>
    <xf numFmtId="4" fontId="46" fillId="0" borderId="101" xfId="0" applyNumberFormat="1" applyFont="1" applyBorder="1" applyAlignment="1" applyProtection="1">
      <alignment vertical="center" wrapText="1" readingOrder="1"/>
      <protection locked="0"/>
    </xf>
    <xf numFmtId="2" fontId="22" fillId="0" borderId="101" xfId="0" applyNumberFormat="1" applyFont="1" applyBorder="1" applyAlignment="1" applyProtection="1">
      <alignment horizontal="center" vertical="center" wrapText="1" readingOrder="1"/>
    </xf>
    <xf numFmtId="2" fontId="46" fillId="0" borderId="101" xfId="0" applyNumberFormat="1" applyFont="1" applyBorder="1" applyAlignment="1" applyProtection="1">
      <alignment horizontal="center" vertical="center" wrapText="1" readingOrder="1"/>
      <protection locked="0"/>
    </xf>
    <xf numFmtId="167" fontId="6" fillId="0" borderId="101" xfId="0" applyNumberFormat="1" applyFont="1" applyBorder="1" applyAlignment="1" applyProtection="1">
      <alignment horizontal="center" vertical="center" wrapText="1" readingOrder="1"/>
    </xf>
    <xf numFmtId="10" fontId="62" fillId="0" borderId="101" xfId="0" applyNumberFormat="1" applyFont="1" applyBorder="1" applyAlignment="1" applyProtection="1">
      <alignment horizontal="center" vertical="center" wrapText="1" readingOrder="1"/>
    </xf>
    <xf numFmtId="4" fontId="6" fillId="0" borderId="101" xfId="0" applyNumberFormat="1" applyFont="1" applyBorder="1" applyAlignment="1" applyProtection="1">
      <alignment horizontal="right" vertical="center" readingOrder="1"/>
    </xf>
    <xf numFmtId="10" fontId="6" fillId="0" borderId="101" xfId="1" applyNumberFormat="1" applyFont="1" applyBorder="1" applyAlignment="1" applyProtection="1">
      <alignment horizontal="left" vertical="center" readingOrder="1"/>
    </xf>
    <xf numFmtId="49" fontId="6" fillId="0" borderId="104" xfId="0" applyNumberFormat="1" applyFont="1" applyBorder="1" applyAlignment="1" applyProtection="1">
      <alignment horizontal="left" vertical="center" indent="2" readingOrder="1"/>
    </xf>
    <xf numFmtId="4" fontId="46" fillId="0" borderId="104" xfId="0" applyNumberFormat="1" applyFont="1" applyBorder="1" applyAlignment="1" applyProtection="1">
      <alignment vertical="center" wrapText="1" readingOrder="1"/>
      <protection locked="0"/>
    </xf>
    <xf numFmtId="2" fontId="22" fillId="0" borderId="104" xfId="0" applyNumberFormat="1" applyFont="1" applyBorder="1" applyAlignment="1" applyProtection="1">
      <alignment horizontal="center" vertical="center" wrapText="1" readingOrder="1"/>
    </xf>
    <xf numFmtId="2" fontId="6" fillId="0" borderId="104" xfId="0" applyNumberFormat="1" applyFont="1" applyBorder="1" applyAlignment="1" applyProtection="1">
      <alignment horizontal="center" vertical="center" wrapText="1" readingOrder="1"/>
    </xf>
    <xf numFmtId="9" fontId="6" fillId="0" borderId="104" xfId="0" applyNumberFormat="1" applyFont="1" applyBorder="1" applyAlignment="1" applyProtection="1">
      <alignment horizontal="center" vertical="center" readingOrder="1"/>
    </xf>
    <xf numFmtId="9" fontId="6" fillId="0" borderId="104" xfId="0" applyNumberFormat="1" applyFont="1" applyBorder="1" applyAlignment="1" applyProtection="1">
      <alignment horizontal="center" vertical="center" wrapText="1" readingOrder="1"/>
    </xf>
    <xf numFmtId="9" fontId="6" fillId="0" borderId="104" xfId="0" applyNumberFormat="1" applyFont="1" applyBorder="1" applyAlignment="1" applyProtection="1">
      <alignment vertical="center" wrapText="1" readingOrder="1"/>
    </xf>
    <xf numFmtId="2" fontId="6" fillId="0" borderId="104" xfId="0" applyNumberFormat="1" applyFont="1" applyBorder="1" applyAlignment="1" applyProtection="1">
      <alignment horizontal="left" vertical="center" readingOrder="1"/>
    </xf>
    <xf numFmtId="49" fontId="22" fillId="0" borderId="107" xfId="0" applyNumberFormat="1" applyFont="1" applyBorder="1" applyAlignment="1" applyProtection="1">
      <alignment horizontal="left" vertical="center" indent="2" readingOrder="1"/>
    </xf>
    <xf numFmtId="0" fontId="44" fillId="0" borderId="107" xfId="0" applyNumberFormat="1" applyFont="1" applyBorder="1" applyProtection="1">
      <alignment horizontal="left" wrapText="1"/>
    </xf>
    <xf numFmtId="49" fontId="22" fillId="0" borderId="107" xfId="0" applyNumberFormat="1" applyFont="1" applyBorder="1" applyAlignment="1" applyProtection="1">
      <alignment horizontal="left" vertical="center" readingOrder="1"/>
    </xf>
    <xf numFmtId="4" fontId="22" fillId="0" borderId="107" xfId="0" applyNumberFormat="1" applyFont="1" applyBorder="1" applyAlignment="1" applyProtection="1">
      <alignment horizontal="right" vertical="center" readingOrder="1"/>
    </xf>
    <xf numFmtId="9" fontId="6" fillId="0" borderId="107" xfId="0" applyNumberFormat="1" applyFont="1" applyBorder="1" applyAlignment="1" applyProtection="1">
      <alignment vertical="center" wrapText="1" readingOrder="1"/>
    </xf>
    <xf numFmtId="2" fontId="6" fillId="0" borderId="107" xfId="0" applyNumberFormat="1" applyFont="1" applyBorder="1" applyAlignment="1" applyProtection="1">
      <alignment horizontal="left" vertical="center" readingOrder="1"/>
    </xf>
    <xf numFmtId="49" fontId="22" fillId="0" borderId="87" xfId="0" applyNumberFormat="1" applyFont="1" applyBorder="1" applyAlignment="1" applyProtection="1">
      <alignment horizontal="left" vertical="center" indent="2" readingOrder="1"/>
    </xf>
    <xf numFmtId="10" fontId="36" fillId="0" borderId="87" xfId="1" applyNumberFormat="1" applyFont="1" applyBorder="1" applyAlignment="1" applyProtection="1">
      <alignment horizontal="right" vertical="center" wrapText="1" readingOrder="1"/>
    </xf>
    <xf numFmtId="167" fontId="163" fillId="0" borderId="102" xfId="0" applyNumberFormat="1" applyFont="1" applyBorder="1" applyAlignment="1" applyProtection="1">
      <alignment horizontal="center" vertical="center" wrapText="1" readingOrder="1"/>
    </xf>
    <xf numFmtId="49" fontId="38" fillId="0" borderId="104" xfId="0" applyNumberFormat="1" applyFont="1" applyBorder="1" applyAlignment="1" applyProtection="1">
      <alignment horizontal="left" vertical="center" readingOrder="1"/>
    </xf>
    <xf numFmtId="0" fontId="65" fillId="11" borderId="109" xfId="0" applyFont="1" applyFill="1" applyBorder="1" applyAlignment="1">
      <alignment horizontal="left" vertical="center" wrapText="1"/>
    </xf>
    <xf numFmtId="49" fontId="22" fillId="11" borderId="109" xfId="0" applyNumberFormat="1" applyFont="1" applyFill="1" applyBorder="1" applyAlignment="1" applyProtection="1">
      <alignment horizontal="left" vertical="center"/>
    </xf>
    <xf numFmtId="2" fontId="36" fillId="11" borderId="109" xfId="0" applyNumberFormat="1" applyFont="1" applyFill="1" applyBorder="1" applyAlignment="1" applyProtection="1">
      <alignment horizontal="left" wrapText="1" readingOrder="1"/>
    </xf>
    <xf numFmtId="0" fontId="134" fillId="11" borderId="109" xfId="0" applyFont="1" applyFill="1" applyBorder="1" applyAlignment="1" applyProtection="1">
      <alignment horizontal="left" vertical="center" wrapText="1"/>
    </xf>
    <xf numFmtId="49" fontId="69" fillId="11" borderId="109" xfId="0" applyNumberFormat="1" applyFont="1" applyFill="1" applyBorder="1" applyAlignment="1" applyProtection="1">
      <alignment horizontal="right" vertical="center" wrapText="1" readingOrder="1"/>
    </xf>
    <xf numFmtId="0" fontId="44" fillId="11" borderId="109" xfId="0" applyNumberFormat="1" applyFont="1" applyFill="1" applyBorder="1" applyAlignment="1" applyProtection="1">
      <alignment horizontal="left" vertical="center" wrapText="1"/>
    </xf>
    <xf numFmtId="0" fontId="0" fillId="11" borderId="109" xfId="0" applyNumberFormat="1" applyFill="1" applyBorder="1" applyAlignment="1" applyProtection="1">
      <alignment horizontal="left" vertical="center" wrapText="1"/>
    </xf>
    <xf numFmtId="49" fontId="17" fillId="11" borderId="109" xfId="0" applyNumberFormat="1" applyFont="1" applyFill="1" applyBorder="1" applyAlignment="1" applyProtection="1">
      <alignment horizontal="center" vertical="center" wrapText="1" readingOrder="1"/>
    </xf>
    <xf numFmtId="49" fontId="17" fillId="11" borderId="109" xfId="0" applyNumberFormat="1" applyFont="1" applyFill="1" applyBorder="1" applyAlignment="1" applyProtection="1">
      <alignment horizontal="right" vertical="center" wrapText="1" readingOrder="1"/>
    </xf>
    <xf numFmtId="49" fontId="17" fillId="11" borderId="109" xfId="0" applyNumberFormat="1" applyFont="1" applyFill="1" applyBorder="1" applyAlignment="1" applyProtection="1">
      <alignment horizontal="left" vertical="center" wrapText="1" readingOrder="1"/>
    </xf>
    <xf numFmtId="49" fontId="112" fillId="11" borderId="109" xfId="0" applyNumberFormat="1" applyFont="1" applyFill="1" applyBorder="1" applyAlignment="1" applyProtection="1">
      <alignment horizontal="center" vertical="center" wrapText="1" readingOrder="1"/>
    </xf>
    <xf numFmtId="49" fontId="69" fillId="11" borderId="109" xfId="0" applyNumberFormat="1" applyFont="1" applyFill="1" applyBorder="1" applyAlignment="1" applyProtection="1">
      <alignment horizontal="center" vertical="center" wrapText="1" readingOrder="1"/>
    </xf>
    <xf numFmtId="0" fontId="90" fillId="11" borderId="109" xfId="0" applyFont="1" applyFill="1" applyBorder="1" applyAlignment="1" applyProtection="1">
      <alignment horizontal="left" vertical="center" wrapText="1"/>
    </xf>
    <xf numFmtId="0" fontId="134" fillId="11" borderId="109" xfId="0" applyFont="1" applyFill="1" applyBorder="1" applyAlignment="1" applyProtection="1">
      <alignment horizontal="left" vertical="center"/>
    </xf>
    <xf numFmtId="49" fontId="41" fillId="11" borderId="109" xfId="0" applyNumberFormat="1" applyFont="1" applyFill="1" applyBorder="1" applyAlignment="1" applyProtection="1">
      <alignment horizontal="right" vertical="center"/>
      <protection locked="0"/>
    </xf>
    <xf numFmtId="49" fontId="134" fillId="11" borderId="109" xfId="0" applyNumberFormat="1" applyFont="1" applyFill="1" applyBorder="1" applyAlignment="1" applyProtection="1">
      <alignment horizontal="left" vertical="center" wrapText="1"/>
    </xf>
    <xf numFmtId="49" fontId="36" fillId="11" borderId="109" xfId="0" applyNumberFormat="1" applyFont="1" applyFill="1" applyBorder="1" applyAlignment="1" applyProtection="1">
      <alignment horizontal="right" vertical="center" wrapText="1"/>
    </xf>
    <xf numFmtId="49" fontId="36" fillId="11" borderId="109" xfId="0" applyNumberFormat="1" applyFont="1" applyFill="1" applyBorder="1" applyAlignment="1" applyProtection="1">
      <alignment horizontal="center" vertical="center"/>
    </xf>
    <xf numFmtId="0" fontId="65" fillId="11" borderId="109" xfId="0" applyNumberFormat="1" applyFont="1" applyFill="1" applyBorder="1" applyAlignment="1" applyProtection="1">
      <alignment horizontal="left" vertical="center" wrapText="1"/>
    </xf>
    <xf numFmtId="0" fontId="22" fillId="11" borderId="109" xfId="0" applyFont="1" applyFill="1" applyBorder="1" applyAlignment="1" applyProtection="1">
      <alignment horizontal="left" vertical="center" wrapText="1"/>
    </xf>
    <xf numFmtId="49" fontId="80" fillId="11" borderId="109" xfId="0" applyNumberFormat="1" applyFont="1" applyFill="1" applyBorder="1" applyAlignment="1" applyProtection="1">
      <alignment horizontal="right" vertical="center"/>
    </xf>
    <xf numFmtId="49" fontId="134" fillId="11" borderId="109" xfId="0" applyNumberFormat="1" applyFont="1" applyFill="1" applyBorder="1" applyAlignment="1" applyProtection="1">
      <alignment horizontal="left" vertical="center"/>
    </xf>
    <xf numFmtId="49" fontId="134" fillId="11" borderId="110" xfId="0" applyNumberFormat="1" applyFont="1" applyFill="1" applyBorder="1" applyAlignment="1" applyProtection="1">
      <alignment horizontal="left" vertical="center"/>
    </xf>
    <xf numFmtId="49" fontId="201" fillId="11" borderId="110" xfId="0" applyNumberFormat="1" applyFont="1" applyFill="1" applyBorder="1" applyAlignment="1">
      <alignment horizontal="left" vertical="center" wrapText="1" readingOrder="1"/>
    </xf>
    <xf numFmtId="49" fontId="201" fillId="11" borderId="110" xfId="0" applyNumberFormat="1" applyFont="1" applyFill="1" applyBorder="1" applyAlignment="1" applyProtection="1">
      <alignment horizontal="right" vertical="center" wrapText="1" readingOrder="1"/>
    </xf>
    <xf numFmtId="49" fontId="14" fillId="11" borderId="109" xfId="0" applyNumberFormat="1" applyFont="1" applyFill="1" applyBorder="1" applyAlignment="1" applyProtection="1">
      <alignment horizontal="left" vertical="center" readingOrder="1"/>
    </xf>
    <xf numFmtId="49" fontId="17" fillId="11" borderId="109" xfId="0" applyNumberFormat="1" applyFont="1" applyFill="1" applyBorder="1" applyAlignment="1" applyProtection="1">
      <alignment horizontal="left" vertical="center" readingOrder="1"/>
    </xf>
    <xf numFmtId="49" fontId="17" fillId="11" borderId="109" xfId="0" applyNumberFormat="1" applyFont="1" applyFill="1" applyBorder="1" applyAlignment="1" applyProtection="1">
      <alignment vertical="center" wrapText="1" readingOrder="1"/>
    </xf>
    <xf numFmtId="0" fontId="6" fillId="0" borderId="18" xfId="0" applyNumberFormat="1" applyFont="1" applyBorder="1" applyAlignment="1">
      <alignment horizontal="left" vertical="center" wrapText="1"/>
    </xf>
    <xf numFmtId="0" fontId="105" fillId="0" borderId="18" xfId="0" applyNumberFormat="1" applyFont="1" applyFill="1" applyBorder="1">
      <alignment horizontal="left" wrapText="1"/>
    </xf>
    <xf numFmtId="49" fontId="6" fillId="0" borderId="18" xfId="0" applyNumberFormat="1" applyFont="1" applyBorder="1" applyAlignment="1">
      <alignment horizontal="left" vertical="center" wrapText="1" readingOrder="1"/>
    </xf>
    <xf numFmtId="49" fontId="134" fillId="11" borderId="113" xfId="0" applyNumberFormat="1" applyFont="1" applyFill="1" applyBorder="1" applyAlignment="1" applyProtection="1">
      <alignment horizontal="left" vertical="center" wrapText="1" readingOrder="1"/>
    </xf>
    <xf numFmtId="0" fontId="6" fillId="0" borderId="60" xfId="0" applyNumberFormat="1" applyFont="1" applyFill="1" applyBorder="1" applyAlignment="1">
      <alignment horizontal="center" vertical="center" wrapText="1" readingOrder="1"/>
    </xf>
    <xf numFmtId="0" fontId="41" fillId="0" borderId="60" xfId="0" applyNumberFormat="1" applyFont="1" applyFill="1" applyBorder="1" applyAlignment="1">
      <alignment horizontal="center" vertical="center" wrapText="1" readingOrder="1"/>
    </xf>
    <xf numFmtId="0" fontId="89" fillId="0" borderId="18" xfId="0" applyNumberFormat="1" applyFont="1" applyFill="1" applyBorder="1" applyAlignment="1">
      <alignment horizontal="left" vertical="center" wrapText="1" readingOrder="1"/>
    </xf>
    <xf numFmtId="0" fontId="89" fillId="0" borderId="18" xfId="0" applyFont="1" applyFill="1" applyBorder="1" applyAlignment="1">
      <alignment horizontal="left" vertical="center" wrapText="1" readingOrder="1"/>
    </xf>
    <xf numFmtId="0" fontId="6" fillId="0" borderId="29" xfId="0" applyNumberFormat="1" applyFont="1" applyBorder="1" applyAlignment="1" applyProtection="1">
      <alignment horizontal="right" vertical="center" wrapText="1"/>
    </xf>
    <xf numFmtId="0" fontId="103" fillId="0" borderId="29" xfId="0" applyFont="1" applyBorder="1">
      <alignment horizontal="left" wrapText="1"/>
    </xf>
    <xf numFmtId="49" fontId="17" fillId="11" borderId="109" xfId="0" applyNumberFormat="1" applyFont="1" applyFill="1" applyBorder="1" applyAlignment="1" applyProtection="1">
      <alignment horizontal="center" vertical="center"/>
    </xf>
    <xf numFmtId="49" fontId="70" fillId="0" borderId="18" xfId="0" applyNumberFormat="1" applyFont="1" applyBorder="1" applyAlignment="1" applyProtection="1">
      <alignment horizontal="right" vertical="center" readingOrder="1"/>
    </xf>
    <xf numFmtId="0" fontId="105" fillId="0" borderId="60" xfId="0" applyNumberFormat="1" applyFont="1" applyFill="1" applyBorder="1">
      <alignment horizontal="left" wrapText="1"/>
    </xf>
    <xf numFmtId="49" fontId="6" fillId="0" borderId="60" xfId="0" applyNumberFormat="1" applyFont="1" applyBorder="1" applyAlignment="1">
      <alignment horizontal="center" wrapText="1"/>
    </xf>
    <xf numFmtId="49" fontId="41" fillId="0" borderId="60" xfId="0" applyNumberFormat="1" applyFont="1" applyBorder="1" applyAlignment="1">
      <alignment horizontal="center" wrapText="1"/>
    </xf>
    <xf numFmtId="49" fontId="6" fillId="0" borderId="60" xfId="0" applyNumberFormat="1" applyFont="1" applyBorder="1" applyAlignment="1">
      <alignment horizontal="center" shrinkToFit="1"/>
    </xf>
    <xf numFmtId="49" fontId="9" fillId="0" borderId="60" xfId="0" applyNumberFormat="1" applyFont="1" applyBorder="1" applyAlignment="1">
      <alignment horizontal="center"/>
    </xf>
    <xf numFmtId="49" fontId="24" fillId="0" borderId="60" xfId="0" applyNumberFormat="1" applyFont="1" applyBorder="1" applyAlignment="1">
      <alignment horizontal="center"/>
    </xf>
    <xf numFmtId="49" fontId="189" fillId="0" borderId="60" xfId="0" applyNumberFormat="1" applyFont="1" applyBorder="1" applyAlignment="1">
      <alignment horizontal="center"/>
    </xf>
    <xf numFmtId="49" fontId="9" fillId="0" borderId="60" xfId="0" applyNumberFormat="1" applyFont="1" applyBorder="1" applyAlignment="1">
      <alignment horizontal="center" wrapText="1"/>
    </xf>
    <xf numFmtId="0" fontId="6" fillId="0" borderId="60" xfId="0" applyFont="1" applyBorder="1" applyAlignment="1">
      <alignment horizontal="center" vertical="center"/>
    </xf>
    <xf numFmtId="0" fontId="41" fillId="0" borderId="60" xfId="0" applyFont="1" applyBorder="1" applyAlignment="1">
      <alignment horizontal="center" vertical="center"/>
    </xf>
    <xf numFmtId="1" fontId="41" fillId="0" borderId="60" xfId="0" applyNumberFormat="1" applyFont="1" applyBorder="1" applyAlignment="1">
      <alignment horizontal="center" vertical="center"/>
    </xf>
    <xf numFmtId="0" fontId="14" fillId="0" borderId="60" xfId="0" applyFont="1" applyBorder="1" applyAlignment="1">
      <alignment horizontal="center" vertical="center" wrapText="1"/>
    </xf>
    <xf numFmtId="0" fontId="190" fillId="0" borderId="60" xfId="0" applyFont="1" applyBorder="1" applyAlignment="1">
      <alignment horizontal="center" vertical="center" wrapText="1"/>
    </xf>
    <xf numFmtId="0" fontId="21" fillId="0" borderId="60" xfId="0" applyNumberFormat="1" applyFont="1" applyBorder="1" applyAlignment="1">
      <alignment horizontal="center" vertical="center" wrapText="1"/>
    </xf>
    <xf numFmtId="0" fontId="41" fillId="0" borderId="60" xfId="0" applyNumberFormat="1" applyFont="1" applyBorder="1" applyAlignment="1">
      <alignment horizontal="center" vertical="center" wrapText="1"/>
    </xf>
    <xf numFmtId="49" fontId="6" fillId="0" borderId="60" xfId="0" applyNumberFormat="1" applyFont="1" applyBorder="1" applyAlignment="1">
      <alignment horizontal="center" vertical="center" wrapText="1"/>
    </xf>
    <xf numFmtId="0" fontId="6" fillId="0" borderId="60" xfId="0" applyNumberFormat="1" applyFont="1" applyBorder="1" applyAlignment="1">
      <alignment horizontal="center" vertical="center" wrapText="1"/>
    </xf>
    <xf numFmtId="0" fontId="6" fillId="0" borderId="60" xfId="0" applyFont="1" applyBorder="1" applyAlignment="1">
      <alignment horizontal="center" vertical="center" wrapText="1"/>
    </xf>
    <xf numFmtId="0" fontId="41" fillId="0" borderId="60" xfId="0" applyFont="1" applyBorder="1" applyAlignment="1">
      <alignment horizontal="center" vertical="center" wrapText="1"/>
    </xf>
    <xf numFmtId="49" fontId="41" fillId="0" borderId="60" xfId="0" applyNumberFormat="1" applyFont="1" applyBorder="1" applyAlignment="1">
      <alignment horizontal="center" vertical="center" wrapText="1"/>
    </xf>
    <xf numFmtId="49" fontId="14" fillId="0" borderId="60" xfId="0" applyNumberFormat="1" applyFont="1" applyBorder="1" applyAlignment="1">
      <alignment horizontal="center" vertical="center" wrapText="1"/>
    </xf>
    <xf numFmtId="49" fontId="190" fillId="0" borderId="60" xfId="0" applyNumberFormat="1" applyFont="1" applyBorder="1" applyAlignment="1">
      <alignment horizontal="center" vertical="center" wrapText="1"/>
    </xf>
    <xf numFmtId="9" fontId="6" fillId="0" borderId="60" xfId="1" applyFont="1" applyBorder="1" applyAlignment="1">
      <alignment horizontal="center" vertical="center" wrapText="1" readingOrder="1"/>
    </xf>
    <xf numFmtId="9" fontId="41" fillId="0" borderId="60" xfId="1" applyFont="1" applyBorder="1" applyAlignment="1">
      <alignment horizontal="center" vertical="center" wrapText="1" readingOrder="1"/>
    </xf>
    <xf numFmtId="10" fontId="63" fillId="0" borderId="60" xfId="1" applyNumberFormat="1" applyFont="1" applyBorder="1" applyAlignment="1" applyProtection="1">
      <alignment horizontal="right" vertical="center" readingOrder="1"/>
    </xf>
    <xf numFmtId="10" fontId="63" fillId="0" borderId="60" xfId="0" applyNumberFormat="1" applyFont="1" applyBorder="1" applyAlignment="1">
      <alignment horizontal="center" vertical="center" wrapText="1" readingOrder="1"/>
    </xf>
    <xf numFmtId="0" fontId="66" fillId="0" borderId="60" xfId="0" applyFont="1" applyBorder="1" applyAlignment="1">
      <alignment horizontal="center" vertical="center" wrapText="1" readingOrder="1"/>
    </xf>
    <xf numFmtId="0" fontId="41" fillId="0" borderId="60" xfId="0" applyFont="1" applyBorder="1" applyAlignment="1">
      <alignment horizontal="center" vertical="center" wrapText="1" readingOrder="1"/>
    </xf>
    <xf numFmtId="0" fontId="82" fillId="0" borderId="60" xfId="0" applyNumberFormat="1" applyFont="1" applyFill="1" applyBorder="1">
      <alignment horizontal="left" wrapText="1"/>
    </xf>
    <xf numFmtId="49" fontId="4" fillId="0" borderId="18" xfId="0" applyNumberFormat="1" applyFont="1" applyBorder="1" applyAlignment="1">
      <alignment horizontal="left" vertical="center" shrinkToFit="1"/>
    </xf>
    <xf numFmtId="0" fontId="0" fillId="0" borderId="18" xfId="0" applyNumberFormat="1" applyBorder="1" applyAlignment="1">
      <alignment horizontal="left" shrinkToFit="1"/>
    </xf>
    <xf numFmtId="0" fontId="19" fillId="0" borderId="18" xfId="0" applyNumberFormat="1" applyFont="1" applyBorder="1">
      <alignment horizontal="left" wrapText="1"/>
    </xf>
    <xf numFmtId="49" fontId="6" fillId="0" borderId="18" xfId="0" applyNumberFormat="1" applyFont="1" applyBorder="1">
      <alignment horizontal="left" wrapText="1"/>
    </xf>
    <xf numFmtId="49" fontId="11" fillId="0" borderId="18" xfId="0" applyNumberFormat="1" applyFont="1" applyBorder="1" applyAlignment="1">
      <alignment horizontal="right"/>
    </xf>
    <xf numFmtId="49" fontId="6" fillId="0" borderId="18" xfId="0" applyNumberFormat="1" applyFont="1" applyBorder="1" applyAlignment="1">
      <alignment horizontal="left" vertical="center"/>
    </xf>
    <xf numFmtId="49" fontId="43" fillId="0" borderId="18" xfId="0" applyNumberFormat="1" applyFont="1" applyBorder="1" applyAlignment="1">
      <alignment horizontal="center" wrapText="1"/>
    </xf>
    <xf numFmtId="0" fontId="9" fillId="0" borderId="18" xfId="0" applyFont="1" applyBorder="1">
      <alignment horizontal="left" wrapText="1"/>
    </xf>
    <xf numFmtId="0" fontId="14" fillId="0" borderId="18" xfId="0" applyFont="1" applyBorder="1" applyAlignment="1">
      <alignment horizontal="left" vertical="center"/>
    </xf>
    <xf numFmtId="0" fontId="6" fillId="0" borderId="18" xfId="0" applyFont="1" applyBorder="1" applyAlignment="1">
      <alignment horizontal="left" vertical="center"/>
    </xf>
    <xf numFmtId="1" fontId="6" fillId="0" borderId="18" xfId="0" applyNumberFormat="1" applyFont="1" applyBorder="1" applyAlignment="1">
      <alignment horizontal="left" vertical="center"/>
    </xf>
    <xf numFmtId="49" fontId="6" fillId="0" borderId="18" xfId="0" applyNumberFormat="1" applyFont="1" applyBorder="1" applyAlignment="1">
      <alignment horizontal="left" vertical="center" wrapText="1"/>
    </xf>
    <xf numFmtId="0" fontId="14" fillId="0" borderId="18" xfId="0" applyFont="1" applyBorder="1" applyAlignment="1">
      <alignment horizontal="left" vertical="center" wrapText="1" readingOrder="1"/>
    </xf>
    <xf numFmtId="0" fontId="66" fillId="0" borderId="18" xfId="0" applyFont="1" applyBorder="1" applyAlignment="1">
      <alignment horizontal="left" vertical="center" wrapText="1" readingOrder="1"/>
    </xf>
    <xf numFmtId="0" fontId="0" fillId="0" borderId="18" xfId="0" applyNumberFormat="1" applyFill="1" applyBorder="1">
      <alignment horizontal="left" wrapText="1"/>
    </xf>
    <xf numFmtId="0" fontId="10" fillId="0" borderId="18" xfId="0" applyFont="1" applyFill="1" applyBorder="1">
      <alignment horizontal="left" wrapText="1"/>
    </xf>
    <xf numFmtId="0" fontId="0" fillId="0" borderId="0" xfId="0" applyAlignment="1">
      <alignment horizontal="center" vertical="center" wrapText="1"/>
    </xf>
    <xf numFmtId="0" fontId="26" fillId="0" borderId="18" xfId="0" applyNumberFormat="1" applyFont="1" applyBorder="1" applyAlignment="1">
      <alignment horizontal="center" vertical="center" wrapText="1"/>
    </xf>
    <xf numFmtId="0" fontId="90" fillId="12" borderId="113" xfId="0" applyFont="1" applyFill="1" applyBorder="1" applyProtection="1">
      <alignment horizontal="left" wrapText="1"/>
    </xf>
    <xf numFmtId="0" fontId="134" fillId="12" borderId="113" xfId="0" applyFont="1" applyFill="1" applyBorder="1" applyAlignment="1" applyProtection="1">
      <alignment horizontal="left" vertical="center" wrapText="1"/>
    </xf>
    <xf numFmtId="0" fontId="90" fillId="12" borderId="113" xfId="0" applyFont="1" applyFill="1" applyBorder="1" applyAlignment="1" applyProtection="1">
      <alignment horizontal="left" vertical="center" wrapText="1"/>
    </xf>
    <xf numFmtId="0" fontId="134" fillId="12" borderId="113" xfId="0" applyFont="1" applyFill="1" applyBorder="1" applyAlignment="1" applyProtection="1">
      <alignment horizontal="left" vertical="center"/>
    </xf>
    <xf numFmtId="0" fontId="134" fillId="13" borderId="113" xfId="0" applyFont="1" applyFill="1" applyBorder="1" applyAlignment="1">
      <alignment horizontal="left" vertical="center" wrapText="1"/>
    </xf>
    <xf numFmtId="0" fontId="90" fillId="12" borderId="113" xfId="0" applyFont="1" applyFill="1" applyBorder="1" applyAlignment="1" applyProtection="1">
      <alignment horizontal="right" wrapText="1"/>
    </xf>
    <xf numFmtId="0" fontId="90" fillId="8" borderId="113" xfId="0" applyFont="1" applyFill="1" applyBorder="1" applyProtection="1">
      <alignment horizontal="left" wrapText="1"/>
    </xf>
    <xf numFmtId="0" fontId="104" fillId="8" borderId="113" xfId="0" applyFont="1" applyFill="1" applyBorder="1" applyAlignment="1" applyProtection="1">
      <alignment horizontal="left" vertical="center" wrapText="1"/>
    </xf>
    <xf numFmtId="0" fontId="137" fillId="8" borderId="113" xfId="0" applyFont="1" applyFill="1" applyBorder="1" applyAlignment="1" applyProtection="1">
      <alignment horizontal="left" vertical="center" wrapText="1"/>
    </xf>
    <xf numFmtId="0" fontId="104" fillId="8" borderId="113" xfId="0" applyFont="1" applyFill="1" applyBorder="1" applyAlignment="1" applyProtection="1">
      <alignment horizontal="left" vertical="center"/>
    </xf>
    <xf numFmtId="0" fontId="104" fillId="9" borderId="113" xfId="0" applyFont="1" applyFill="1" applyBorder="1" applyAlignment="1">
      <alignment horizontal="left" vertical="center" wrapText="1"/>
    </xf>
    <xf numFmtId="0" fontId="137" fillId="8" borderId="113" xfId="0" applyFont="1" applyFill="1" applyBorder="1" applyProtection="1">
      <alignment horizontal="left" wrapText="1"/>
    </xf>
    <xf numFmtId="0" fontId="137" fillId="8" borderId="113" xfId="0" applyFont="1" applyFill="1" applyBorder="1" applyAlignment="1" applyProtection="1">
      <alignment horizontal="right" wrapText="1"/>
    </xf>
    <xf numFmtId="49" fontId="104" fillId="10" borderId="90" xfId="0" applyNumberFormat="1" applyFont="1" applyFill="1" applyBorder="1" applyAlignment="1" applyProtection="1">
      <alignment horizontal="left"/>
    </xf>
    <xf numFmtId="49" fontId="211" fillId="10" borderId="90" xfId="0" applyNumberFormat="1" applyFont="1" applyFill="1" applyBorder="1" applyAlignment="1" applyProtection="1">
      <alignment horizontal="left" vertical="center"/>
    </xf>
    <xf numFmtId="177" fontId="212" fillId="10" borderId="90" xfId="0" applyNumberFormat="1" applyFont="1" applyFill="1" applyBorder="1" applyAlignment="1" applyProtection="1">
      <alignment horizontal="left" vertical="center"/>
    </xf>
    <xf numFmtId="169" fontId="213" fillId="10" borderId="90" xfId="0" applyNumberFormat="1" applyFont="1" applyFill="1" applyBorder="1" applyAlignment="1" applyProtection="1">
      <alignment horizontal="right" vertical="center"/>
    </xf>
    <xf numFmtId="169" fontId="214" fillId="10" borderId="90" xfId="0" applyNumberFormat="1" applyFont="1" applyFill="1" applyBorder="1" applyAlignment="1" applyProtection="1">
      <alignment horizontal="left" vertical="center"/>
    </xf>
    <xf numFmtId="49" fontId="215" fillId="10" borderId="90" xfId="0" applyNumberFormat="1" applyFont="1" applyFill="1" applyBorder="1" applyAlignment="1" applyProtection="1">
      <alignment horizontal="left" vertical="center"/>
    </xf>
    <xf numFmtId="169" fontId="216" fillId="10" borderId="90" xfId="0" applyNumberFormat="1" applyFont="1" applyFill="1" applyBorder="1" applyAlignment="1" applyProtection="1">
      <alignment horizontal="left" vertical="center"/>
    </xf>
    <xf numFmtId="168" fontId="104" fillId="10" borderId="90" xfId="1" applyNumberFormat="1" applyFont="1" applyFill="1" applyBorder="1" applyAlignment="1" applyProtection="1">
      <alignment horizontal="right" vertical="center" wrapText="1"/>
    </xf>
    <xf numFmtId="49" fontId="104" fillId="10" borderId="110" xfId="0" applyNumberFormat="1" applyFont="1" applyFill="1" applyBorder="1" applyAlignment="1" applyProtection="1">
      <alignment horizontal="left" vertical="center"/>
    </xf>
    <xf numFmtId="49" fontId="132" fillId="10" borderId="110" xfId="0" applyNumberFormat="1" applyFont="1" applyFill="1" applyBorder="1" applyAlignment="1">
      <alignment horizontal="left" vertical="center" wrapText="1" readingOrder="1"/>
    </xf>
    <xf numFmtId="49" fontId="132" fillId="10" borderId="110" xfId="0" applyNumberFormat="1" applyFont="1" applyFill="1" applyBorder="1" applyAlignment="1" applyProtection="1">
      <alignment horizontal="right" vertical="center" wrapText="1" readingOrder="1"/>
    </xf>
    <xf numFmtId="49" fontId="104" fillId="10" borderId="109" xfId="0" applyNumberFormat="1" applyFont="1" applyFill="1" applyBorder="1" applyAlignment="1" applyProtection="1">
      <alignment horizontal="left" vertical="center"/>
    </xf>
    <xf numFmtId="0" fontId="105" fillId="10" borderId="109" xfId="0" applyNumberFormat="1" applyFont="1" applyFill="1" applyBorder="1" applyAlignment="1" applyProtection="1">
      <alignment horizontal="left" vertical="center" wrapText="1"/>
    </xf>
    <xf numFmtId="49" fontId="89" fillId="10" borderId="109" xfId="0" applyNumberFormat="1" applyFont="1" applyFill="1" applyBorder="1" applyAlignment="1" applyProtection="1">
      <alignment horizontal="left" vertical="center"/>
    </xf>
    <xf numFmtId="9" fontId="104" fillId="10" borderId="109" xfId="0" applyNumberFormat="1" applyFont="1" applyFill="1" applyBorder="1" applyAlignment="1" applyProtection="1">
      <alignment horizontal="right" vertical="center" wrapText="1"/>
    </xf>
    <xf numFmtId="49" fontId="104" fillId="10" borderId="109" xfId="0" applyNumberFormat="1" applyFont="1" applyFill="1" applyBorder="1" applyAlignment="1" applyProtection="1">
      <alignment horizontal="left" vertical="center" wrapText="1"/>
    </xf>
    <xf numFmtId="49" fontId="89" fillId="10" borderId="109" xfId="0" applyNumberFormat="1"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center" vertical="center"/>
    </xf>
    <xf numFmtId="49" fontId="108" fillId="10" borderId="109" xfId="0" applyNumberFormat="1" applyFont="1" applyFill="1" applyBorder="1" applyAlignment="1" applyProtection="1">
      <alignment horizontal="right" vertical="center"/>
      <protection locked="0"/>
    </xf>
    <xf numFmtId="49" fontId="108" fillId="10" borderId="109" xfId="0" applyNumberFormat="1" applyFont="1" applyFill="1" applyBorder="1" applyAlignment="1" applyProtection="1">
      <alignment horizontal="right" vertical="center" wrapText="1"/>
    </xf>
    <xf numFmtId="49" fontId="108" fillId="10" borderId="109" xfId="0" applyNumberFormat="1" applyFont="1" applyFill="1" applyBorder="1" applyAlignment="1" applyProtection="1">
      <alignment horizontal="center" vertical="center"/>
    </xf>
    <xf numFmtId="0" fontId="89" fillId="10" borderId="109" xfId="0"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right" vertical="center"/>
    </xf>
    <xf numFmtId="0" fontId="104" fillId="10" borderId="109" xfId="0" applyFont="1" applyFill="1" applyBorder="1" applyAlignment="1" applyProtection="1">
      <alignment horizontal="left" vertical="center" wrapText="1"/>
    </xf>
    <xf numFmtId="0" fontId="137" fillId="10" borderId="109" xfId="0" applyFont="1" applyFill="1" applyBorder="1" applyAlignment="1" applyProtection="1">
      <alignment horizontal="left" vertical="center" wrapText="1"/>
    </xf>
    <xf numFmtId="0" fontId="104" fillId="10" borderId="109" xfId="0" applyFont="1" applyFill="1" applyBorder="1" applyAlignment="1" applyProtection="1">
      <alignment horizontal="left" vertical="center"/>
    </xf>
    <xf numFmtId="49" fontId="132" fillId="10" borderId="109" xfId="0" applyNumberFormat="1" applyFont="1" applyFill="1" applyBorder="1" applyAlignment="1" applyProtection="1">
      <alignment horizontal="right" vertical="center" wrapText="1" readingOrder="1"/>
    </xf>
    <xf numFmtId="0" fontId="217" fillId="10" borderId="109" xfId="0" applyNumberFormat="1" applyFont="1" applyFill="1" applyBorder="1" applyAlignment="1" applyProtection="1">
      <alignment horizontal="left" vertical="center" wrapText="1"/>
    </xf>
    <xf numFmtId="49" fontId="135" fillId="10" borderId="109" xfId="0" applyNumberFormat="1" applyFont="1" applyFill="1" applyBorder="1" applyAlignment="1" applyProtection="1">
      <alignment horizontal="center" vertical="center" wrapText="1" readingOrder="1"/>
    </xf>
    <xf numFmtId="49" fontId="135" fillId="10" borderId="109" xfId="0" applyNumberFormat="1" applyFont="1" applyFill="1" applyBorder="1" applyAlignment="1" applyProtection="1">
      <alignment horizontal="right" vertical="center" wrapText="1" readingOrder="1"/>
    </xf>
    <xf numFmtId="49" fontId="135" fillId="10" borderId="109" xfId="0" applyNumberFormat="1" applyFont="1" applyFill="1" applyBorder="1" applyAlignment="1" applyProtection="1">
      <alignment horizontal="left" vertical="center" wrapText="1" readingOrder="1"/>
    </xf>
    <xf numFmtId="49" fontId="133" fillId="10" borderId="109" xfId="0" applyNumberFormat="1" applyFont="1" applyFill="1" applyBorder="1" applyAlignment="1" applyProtection="1">
      <alignment horizontal="center" vertical="center" wrapText="1" readingOrder="1"/>
    </xf>
    <xf numFmtId="49" fontId="132" fillId="10" borderId="109" xfId="0" applyNumberFormat="1" applyFont="1" applyFill="1" applyBorder="1" applyAlignment="1" applyProtection="1">
      <alignment horizontal="center" vertical="center" wrapText="1" readingOrder="1"/>
    </xf>
    <xf numFmtId="49" fontId="135" fillId="10" borderId="109" xfId="0" applyNumberFormat="1" applyFont="1" applyFill="1" applyBorder="1" applyAlignment="1" applyProtection="1">
      <alignment horizontal="left" vertical="center" readingOrder="1"/>
    </xf>
    <xf numFmtId="49" fontId="135" fillId="10" borderId="109" xfId="0" applyNumberFormat="1" applyFont="1" applyFill="1" applyBorder="1" applyAlignment="1" applyProtection="1">
      <alignment vertical="center" wrapText="1" readingOrder="1"/>
    </xf>
    <xf numFmtId="49" fontId="104" fillId="10" borderId="109" xfId="0" applyNumberFormat="1" applyFont="1" applyFill="1" applyBorder="1" applyAlignment="1" applyProtection="1">
      <alignment horizontal="left" vertical="center" wrapText="1" readingOrder="1"/>
    </xf>
    <xf numFmtId="49" fontId="104" fillId="10" borderId="109" xfId="0" applyNumberFormat="1" applyFont="1" applyFill="1" applyBorder="1" applyAlignment="1" applyProtection="1">
      <alignment horizontal="left" vertical="center" readingOrder="1"/>
    </xf>
    <xf numFmtId="49" fontId="104" fillId="10" borderId="109" xfId="0" applyNumberFormat="1" applyFont="1" applyFill="1" applyBorder="1" applyAlignment="1" applyProtection="1">
      <alignment horizontal="right" vertical="center" readingOrder="1"/>
    </xf>
    <xf numFmtId="49" fontId="89" fillId="10" borderId="109" xfId="0" applyNumberFormat="1" applyFont="1" applyFill="1" applyBorder="1" applyAlignment="1" applyProtection="1">
      <alignment horizontal="left" vertical="center" wrapText="1" readingOrder="1"/>
    </xf>
    <xf numFmtId="0" fontId="89" fillId="10" borderId="109" xfId="0" applyNumberFormat="1" applyFont="1" applyFill="1" applyBorder="1" applyAlignment="1" applyProtection="1">
      <alignment horizontal="left" readingOrder="1"/>
    </xf>
    <xf numFmtId="0" fontId="105" fillId="10" borderId="109" xfId="0" applyNumberFormat="1" applyFont="1" applyFill="1" applyBorder="1" applyProtection="1">
      <alignment horizontal="left" wrapText="1"/>
    </xf>
    <xf numFmtId="49" fontId="106" fillId="10" borderId="95" xfId="0" applyNumberFormat="1" applyFont="1" applyFill="1" applyBorder="1" applyAlignment="1" applyProtection="1">
      <alignment horizontal="left" vertical="center" wrapText="1" readingOrder="1"/>
    </xf>
    <xf numFmtId="0" fontId="105" fillId="10" borderId="90" xfId="0" applyFont="1" applyFill="1" applyBorder="1" applyAlignment="1">
      <alignment horizontal="left" vertical="center" wrapText="1"/>
    </xf>
    <xf numFmtId="0" fontId="105" fillId="10" borderId="109" xfId="0" applyFont="1" applyFill="1" applyBorder="1" applyAlignment="1">
      <alignment horizontal="left" vertical="center" wrapText="1"/>
    </xf>
    <xf numFmtId="2" fontId="108" fillId="10" borderId="109" xfId="0" applyNumberFormat="1" applyFont="1" applyFill="1" applyBorder="1" applyAlignment="1" applyProtection="1">
      <alignment horizontal="left" wrapText="1" readingOrder="1"/>
    </xf>
    <xf numFmtId="3" fontId="22" fillId="0" borderId="18" xfId="0" applyNumberFormat="1" applyFont="1" applyFill="1" applyBorder="1" applyAlignment="1">
      <alignment horizontal="left" vertical="center" wrapText="1"/>
    </xf>
    <xf numFmtId="4" fontId="63" fillId="0" borderId="89" xfId="2" applyNumberFormat="1" applyFont="1" applyFill="1" applyBorder="1" applyAlignment="1" applyProtection="1">
      <alignment horizontal="right" vertical="center" wrapText="1"/>
    </xf>
    <xf numFmtId="4" fontId="63" fillId="0" borderId="80" xfId="2" applyNumberFormat="1" applyFont="1" applyFill="1" applyBorder="1" applyAlignment="1" applyProtection="1">
      <alignment horizontal="right" vertical="center" wrapText="1"/>
    </xf>
    <xf numFmtId="0" fontId="63" fillId="0" borderId="21" xfId="0" applyNumberFormat="1" applyFont="1" applyBorder="1" applyAlignment="1" applyProtection="1">
      <alignment vertical="center" wrapText="1" readingOrder="1"/>
    </xf>
    <xf numFmtId="4" fontId="36" fillId="0" borderId="92" xfId="0" applyNumberFormat="1" applyFont="1" applyBorder="1" applyAlignment="1" applyProtection="1">
      <alignment vertical="center" wrapText="1" readingOrder="1"/>
    </xf>
    <xf numFmtId="0" fontId="36" fillId="0" borderId="80" xfId="0" applyNumberFormat="1" applyFont="1" applyBorder="1" applyAlignment="1" applyProtection="1">
      <alignment horizontal="right" vertical="center" wrapText="1"/>
    </xf>
    <xf numFmtId="4" fontId="36" fillId="0" borderId="101" xfId="0" applyNumberFormat="1" applyFont="1" applyBorder="1" applyAlignment="1" applyProtection="1">
      <alignment vertical="center" wrapText="1" readingOrder="1"/>
    </xf>
    <xf numFmtId="4" fontId="36" fillId="0" borderId="104" xfId="0" applyNumberFormat="1" applyFont="1" applyBorder="1" applyAlignment="1" applyProtection="1">
      <alignment vertical="center" wrapText="1" readingOrder="1"/>
    </xf>
    <xf numFmtId="10" fontId="59" fillId="0" borderId="107" xfId="1" applyNumberFormat="1" applyFont="1" applyBorder="1" applyAlignment="1" applyProtection="1">
      <alignment horizontal="left" vertical="center" readingOrder="1"/>
    </xf>
    <xf numFmtId="0" fontId="63" fillId="0" borderId="81" xfId="0" applyFont="1" applyBorder="1" applyAlignment="1" applyProtection="1">
      <alignment horizontal="right" vertical="center" wrapText="1"/>
      <protection locked="0"/>
    </xf>
    <xf numFmtId="4" fontId="36" fillId="0" borderId="87" xfId="0" applyNumberFormat="1" applyFont="1" applyFill="1" applyBorder="1" applyAlignment="1" applyProtection="1">
      <alignment vertical="center" wrapText="1" readingOrder="1"/>
    </xf>
    <xf numFmtId="0" fontId="6" fillId="0" borderId="18" xfId="0" applyFont="1" applyFill="1" applyBorder="1" applyAlignment="1">
      <alignment horizontal="left" vertical="center" wrapText="1"/>
    </xf>
    <xf numFmtId="49" fontId="89" fillId="0" borderId="18" xfId="0" applyNumberFormat="1" applyFont="1" applyFill="1" applyBorder="1">
      <alignment horizontal="left" wrapText="1"/>
    </xf>
    <xf numFmtId="0" fontId="105" fillId="0" borderId="111" xfId="0" applyNumberFormat="1" applyFont="1" applyFill="1" applyBorder="1">
      <alignment horizontal="left" wrapText="1"/>
    </xf>
    <xf numFmtId="49" fontId="22" fillId="0" borderId="18" xfId="0" applyNumberFormat="1" applyFont="1" applyFill="1" applyBorder="1" applyAlignment="1">
      <alignment horizontal="left" vertical="center" wrapText="1"/>
    </xf>
    <xf numFmtId="0" fontId="65" fillId="0" borderId="18" xfId="0" applyNumberFormat="1" applyFont="1" applyFill="1" applyBorder="1">
      <alignment horizontal="left" wrapText="1"/>
    </xf>
    <xf numFmtId="0" fontId="65" fillId="0" borderId="111" xfId="0" applyNumberFormat="1" applyFont="1" applyFill="1" applyBorder="1">
      <alignment horizontal="left" wrapText="1"/>
    </xf>
    <xf numFmtId="0" fontId="134" fillId="0" borderId="18" xfId="0" applyFont="1" applyFill="1" applyBorder="1" applyAlignment="1">
      <alignment horizontal="left" vertical="center" wrapText="1"/>
    </xf>
    <xf numFmtId="0" fontId="104" fillId="0" borderId="18" xfId="0" applyFont="1" applyFill="1" applyBorder="1" applyAlignment="1">
      <alignment horizontal="left" vertical="center" wrapText="1"/>
    </xf>
    <xf numFmtId="0" fontId="137" fillId="0" borderId="18" xfId="0" applyFont="1" applyFill="1" applyBorder="1">
      <alignment horizontal="left" wrapText="1"/>
    </xf>
    <xf numFmtId="0" fontId="6" fillId="0" borderId="18" xfId="0" applyFont="1" applyFill="1" applyBorder="1" applyAlignment="1">
      <alignment horizontal="left" vertical="center" wrapText="1" readingOrder="1"/>
    </xf>
    <xf numFmtId="0" fontId="0" fillId="0" borderId="111" xfId="0" applyNumberFormat="1" applyFill="1" applyBorder="1">
      <alignment horizontal="left" wrapText="1"/>
    </xf>
    <xf numFmtId="0" fontId="10" fillId="0" borderId="18" xfId="0" applyFont="1" applyFill="1" applyBorder="1" applyProtection="1">
      <alignment horizontal="left" wrapText="1"/>
    </xf>
    <xf numFmtId="49" fontId="5" fillId="0" borderId="18" xfId="0" applyNumberFormat="1" applyFont="1" applyBorder="1" applyAlignment="1" applyProtection="1">
      <alignment horizontal="left"/>
    </xf>
    <xf numFmtId="0" fontId="82" fillId="0" borderId="18" xfId="0" applyNumberFormat="1" applyFont="1" applyBorder="1">
      <alignment horizontal="left" wrapText="1"/>
    </xf>
    <xf numFmtId="0" fontId="11" fillId="0" borderId="18" xfId="0" applyFont="1" applyBorder="1" applyAlignment="1">
      <alignment horizontal="center" wrapText="1"/>
    </xf>
    <xf numFmtId="0" fontId="186" fillId="0" borderId="18" xfId="0" applyFont="1" applyBorder="1" applyAlignment="1">
      <alignment horizontal="center" wrapText="1"/>
    </xf>
    <xf numFmtId="49" fontId="175" fillId="0" borderId="18" xfId="0" applyNumberFormat="1" applyFont="1" applyBorder="1" applyAlignment="1" applyProtection="1">
      <alignment horizontal="left" vertical="center"/>
    </xf>
    <xf numFmtId="0" fontId="6" fillId="0" borderId="18" xfId="0" applyFont="1" applyBorder="1">
      <alignment horizontal="left" wrapText="1"/>
    </xf>
    <xf numFmtId="0" fontId="41" fillId="0" borderId="18" xfId="0" applyFont="1" applyBorder="1">
      <alignment horizontal="left" wrapText="1"/>
    </xf>
    <xf numFmtId="0" fontId="0" fillId="0" borderId="18" xfId="0" applyBorder="1">
      <alignment horizontal="left" wrapText="1"/>
    </xf>
    <xf numFmtId="0" fontId="156" fillId="0" borderId="18" xfId="0" applyFont="1" applyBorder="1">
      <alignment horizontal="left" wrapText="1"/>
    </xf>
    <xf numFmtId="177" fontId="102" fillId="0" borderId="18" xfId="0" applyNumberFormat="1" applyFont="1" applyBorder="1" applyAlignment="1" applyProtection="1">
      <alignment horizontal="left" vertical="center"/>
    </xf>
    <xf numFmtId="49" fontId="11" fillId="0" borderId="18" xfId="0" applyNumberFormat="1" applyFont="1" applyBorder="1" applyAlignment="1">
      <alignment horizontal="left"/>
    </xf>
    <xf numFmtId="0" fontId="188" fillId="0" borderId="18" xfId="0" applyFont="1" applyBorder="1">
      <alignment horizontal="left" wrapText="1"/>
    </xf>
    <xf numFmtId="49" fontId="9" fillId="0" borderId="18" xfId="0" applyNumberFormat="1" applyFont="1" applyBorder="1" applyAlignment="1">
      <alignment horizontal="center"/>
    </xf>
    <xf numFmtId="49" fontId="24" fillId="0" borderId="18" xfId="0" applyNumberFormat="1" applyFont="1" applyBorder="1" applyAlignment="1">
      <alignment horizontal="center"/>
    </xf>
    <xf numFmtId="49" fontId="189" fillId="0" borderId="18" xfId="0" applyNumberFormat="1" applyFont="1" applyBorder="1" applyAlignment="1">
      <alignment horizontal="center"/>
    </xf>
    <xf numFmtId="49" fontId="9" fillId="0" borderId="18" xfId="0" applyNumberFormat="1" applyFont="1" applyBorder="1" applyAlignment="1">
      <alignment horizontal="center" wrapText="1"/>
    </xf>
    <xf numFmtId="0" fontId="14" fillId="0" borderId="18" xfId="0" applyFont="1" applyBorder="1" applyAlignment="1">
      <alignment horizontal="center" vertical="center" wrapText="1"/>
    </xf>
    <xf numFmtId="0" fontId="190" fillId="0" borderId="18" xfId="0" applyFont="1" applyBorder="1" applyAlignment="1">
      <alignment horizontal="center" vertical="center" wrapText="1"/>
    </xf>
    <xf numFmtId="0" fontId="39" fillId="0" borderId="18" xfId="0" applyFont="1" applyBorder="1" applyAlignment="1" applyProtection="1">
      <alignment horizontal="left" vertical="center"/>
    </xf>
    <xf numFmtId="0" fontId="6" fillId="0" borderId="18" xfId="0" applyFont="1" applyBorder="1" applyAlignment="1" applyProtection="1">
      <alignment horizontal="right" vertical="center" wrapText="1"/>
    </xf>
    <xf numFmtId="0" fontId="14" fillId="0" borderId="18" xfId="0" applyNumberFormat="1" applyFont="1" applyBorder="1" applyAlignment="1">
      <alignment horizontal="center" vertical="center" wrapText="1"/>
    </xf>
    <xf numFmtId="0" fontId="190" fillId="0" borderId="18" xfId="0" applyNumberFormat="1" applyFont="1" applyBorder="1" applyAlignment="1">
      <alignment horizontal="center" vertical="center" wrapText="1"/>
    </xf>
    <xf numFmtId="0" fontId="6" fillId="0" borderId="18" xfId="0" applyNumberFormat="1" applyFont="1" applyBorder="1" applyAlignment="1">
      <alignment horizontal="center" vertical="center" wrapText="1" readingOrder="1"/>
    </xf>
    <xf numFmtId="0" fontId="41" fillId="0" borderId="18" xfId="0" applyNumberFormat="1" applyFont="1" applyBorder="1" applyAlignment="1">
      <alignment horizontal="center" vertical="center" wrapText="1" readingOrder="1"/>
    </xf>
    <xf numFmtId="49" fontId="4" fillId="0" borderId="60" xfId="0" applyNumberFormat="1" applyFont="1" applyBorder="1" applyAlignment="1">
      <alignment horizontal="center" vertical="center" shrinkToFit="1"/>
    </xf>
    <xf numFmtId="49" fontId="185" fillId="0" borderId="60" xfId="0" applyNumberFormat="1" applyFont="1" applyBorder="1" applyAlignment="1">
      <alignment horizontal="center" vertical="center" shrinkToFit="1"/>
    </xf>
    <xf numFmtId="49" fontId="6" fillId="0" borderId="60" xfId="0" applyNumberFormat="1" applyFont="1" applyBorder="1" applyAlignment="1" applyProtection="1">
      <alignment horizontal="left" vertical="center" wrapText="1" indent="2"/>
    </xf>
    <xf numFmtId="49" fontId="6" fillId="0" borderId="60" xfId="0" applyNumberFormat="1" applyFont="1" applyBorder="1" applyAlignment="1" applyProtection="1">
      <alignment horizontal="left" vertical="center"/>
      <protection locked="0"/>
    </xf>
    <xf numFmtId="49" fontId="6" fillId="0" borderId="60" xfId="0" applyNumberFormat="1" applyFont="1" applyBorder="1" applyAlignment="1" applyProtection="1">
      <alignment horizontal="left" vertical="center" indent="2"/>
    </xf>
    <xf numFmtId="49" fontId="6" fillId="0" borderId="60" xfId="0" applyNumberFormat="1" applyFont="1" applyBorder="1" applyAlignment="1">
      <alignment horizontal="left" vertical="center"/>
    </xf>
    <xf numFmtId="0" fontId="6" fillId="0" borderId="60" xfId="0" applyFont="1" applyBorder="1" applyAlignment="1" applyProtection="1">
      <alignment horizontal="left" vertical="center" indent="2"/>
    </xf>
    <xf numFmtId="0" fontId="8" fillId="0" borderId="60" xfId="0" applyNumberFormat="1" applyFont="1" applyBorder="1" applyAlignment="1" applyProtection="1">
      <alignment horizontal="left" vertical="top" wrapText="1"/>
      <protection locked="0"/>
    </xf>
    <xf numFmtId="49" fontId="6" fillId="0" borderId="60" xfId="0" applyNumberFormat="1" applyFont="1" applyBorder="1" applyAlignment="1" applyProtection="1">
      <alignment horizontal="left" vertical="center" wrapText="1"/>
    </xf>
    <xf numFmtId="4" fontId="6" fillId="0" borderId="60" xfId="0" applyNumberFormat="1" applyFont="1" applyBorder="1" applyAlignment="1" applyProtection="1">
      <alignment horizontal="left" vertical="center" wrapText="1"/>
    </xf>
    <xf numFmtId="49" fontId="6" fillId="0" borderId="60" xfId="0" applyNumberFormat="1" applyFont="1" applyBorder="1" applyAlignment="1" applyProtection="1">
      <alignment horizontal="left" vertical="center"/>
    </xf>
    <xf numFmtId="4" fontId="36" fillId="0" borderId="60" xfId="0" applyNumberFormat="1" applyFont="1" applyBorder="1" applyAlignment="1" applyProtection="1">
      <alignment vertical="center" wrapText="1" readingOrder="1"/>
    </xf>
    <xf numFmtId="43" fontId="6" fillId="0" borderId="60" xfId="2" applyFont="1" applyBorder="1" applyAlignment="1" applyProtection="1">
      <alignment horizontal="right" vertical="center" wrapText="1" readingOrder="1"/>
    </xf>
    <xf numFmtId="49" fontId="22" fillId="0" borderId="60" xfId="3" applyNumberFormat="1" applyFont="1" applyBorder="1" applyAlignment="1" applyProtection="1">
      <alignment horizontal="left" vertical="center" readingOrder="1"/>
    </xf>
    <xf numFmtId="49" fontId="22" fillId="0" borderId="60" xfId="3" applyNumberFormat="1" applyFont="1" applyBorder="1" applyAlignment="1" applyProtection="1">
      <alignment horizontal="left" vertical="top" readingOrder="1"/>
    </xf>
    <xf numFmtId="0" fontId="44" fillId="0" borderId="60" xfId="0" applyNumberFormat="1" applyFont="1" applyBorder="1" applyProtection="1">
      <alignment horizontal="left" wrapText="1"/>
    </xf>
    <xf numFmtId="49" fontId="6" fillId="0" borderId="60" xfId="0" applyNumberFormat="1" applyFont="1" applyBorder="1" applyAlignment="1" applyProtection="1">
      <alignment horizontal="left" vertical="center" readingOrder="1"/>
    </xf>
    <xf numFmtId="4" fontId="22" fillId="0" borderId="60" xfId="0" applyNumberFormat="1" applyFont="1" applyBorder="1" applyAlignment="1" applyProtection="1">
      <alignment horizontal="left" vertical="center" readingOrder="1"/>
    </xf>
    <xf numFmtId="49" fontId="6" fillId="0" borderId="60" xfId="0" applyNumberFormat="1" applyFont="1" applyBorder="1" applyAlignment="1" applyProtection="1">
      <alignment horizontal="left" vertical="center" shrinkToFit="1" readingOrder="1"/>
    </xf>
    <xf numFmtId="0" fontId="6" fillId="0" borderId="60" xfId="0" applyNumberFormat="1" applyFont="1" applyBorder="1" applyAlignment="1" applyProtection="1">
      <alignment horizontal="left" vertical="center" wrapText="1"/>
    </xf>
    <xf numFmtId="49" fontId="22" fillId="0" borderId="60" xfId="0" applyNumberFormat="1" applyFont="1" applyBorder="1" applyAlignment="1" applyProtection="1">
      <alignment horizontal="left" vertical="center"/>
    </xf>
    <xf numFmtId="49" fontId="6" fillId="0" borderId="60" xfId="0" applyNumberFormat="1" applyFont="1" applyBorder="1" applyAlignment="1">
      <alignment horizontal="center" wrapText="1" shrinkToFit="1"/>
    </xf>
    <xf numFmtId="49" fontId="66" fillId="0" borderId="60" xfId="0" applyNumberFormat="1" applyFont="1" applyBorder="1" applyAlignment="1">
      <alignment horizontal="center" wrapText="1" shrinkToFit="1"/>
    </xf>
    <xf numFmtId="0" fontId="0" fillId="0" borderId="91" xfId="0" applyNumberFormat="1" applyBorder="1">
      <alignment horizontal="left" wrapText="1"/>
    </xf>
    <xf numFmtId="0" fontId="82" fillId="0" borderId="91" xfId="0" applyNumberFormat="1" applyFont="1" applyBorder="1">
      <alignment horizontal="left" wrapText="1"/>
    </xf>
    <xf numFmtId="0" fontId="6" fillId="0" borderId="56" xfId="0" applyNumberFormat="1" applyFont="1" applyBorder="1" applyAlignment="1" applyProtection="1">
      <alignment horizontal="left" vertical="top"/>
    </xf>
    <xf numFmtId="0" fontId="0" fillId="0" borderId="56" xfId="0" applyNumberFormat="1" applyBorder="1">
      <alignment horizontal="left" wrapText="1"/>
    </xf>
    <xf numFmtId="0" fontId="82" fillId="0" borderId="56" xfId="0" applyNumberFormat="1" applyFont="1" applyBorder="1">
      <alignment horizontal="left" wrapText="1"/>
    </xf>
    <xf numFmtId="49" fontId="6" fillId="0" borderId="56" xfId="0" applyNumberFormat="1" applyFont="1" applyBorder="1" applyAlignment="1" applyProtection="1">
      <alignment horizontal="left" vertical="center"/>
    </xf>
    <xf numFmtId="0" fontId="6" fillId="0" borderId="56" xfId="0" applyNumberFormat="1" applyFont="1" applyBorder="1" applyAlignment="1">
      <alignment horizontal="center" vertical="center" wrapText="1" readingOrder="1"/>
    </xf>
    <xf numFmtId="0" fontId="41" fillId="0" borderId="56" xfId="0" applyNumberFormat="1" applyFont="1" applyBorder="1" applyAlignment="1">
      <alignment horizontal="center" vertical="center" wrapText="1" readingOrder="1"/>
    </xf>
    <xf numFmtId="0" fontId="6" fillId="0" borderId="91" xfId="0" applyNumberFormat="1" applyFont="1" applyBorder="1" applyAlignment="1">
      <alignment horizontal="center" vertical="center" wrapText="1" readingOrder="1"/>
    </xf>
    <xf numFmtId="49" fontId="6" fillId="0" borderId="56" xfId="0" applyNumberFormat="1" applyFont="1" applyBorder="1" applyAlignment="1" applyProtection="1">
      <alignment horizontal="left" vertical="center" readingOrder="1"/>
    </xf>
    <xf numFmtId="0" fontId="41" fillId="0" borderId="91" xfId="0" applyNumberFormat="1" applyFont="1" applyBorder="1" applyAlignment="1">
      <alignment horizontal="center" vertical="center" wrapText="1" readingOrder="1"/>
    </xf>
    <xf numFmtId="49" fontId="6" fillId="0" borderId="56" xfId="0" applyNumberFormat="1" applyFont="1" applyBorder="1" applyAlignment="1" applyProtection="1">
      <alignment horizontal="left" vertical="center" wrapText="1" indent="2"/>
    </xf>
    <xf numFmtId="49" fontId="22" fillId="0" borderId="56" xfId="3" applyNumberFormat="1" applyFont="1" applyBorder="1" applyAlignment="1" applyProtection="1">
      <alignment horizontal="left" vertical="top" readingOrder="1"/>
    </xf>
    <xf numFmtId="49" fontId="6" fillId="0" borderId="91" xfId="0" applyNumberFormat="1" applyFont="1" applyBorder="1" applyAlignment="1" applyProtection="1">
      <alignment horizontal="left" vertical="center"/>
    </xf>
    <xf numFmtId="49" fontId="22" fillId="0" borderId="56" xfId="3" applyNumberFormat="1" applyFont="1" applyBorder="1" applyAlignment="1" applyProtection="1">
      <alignment horizontal="left" vertical="center" readingOrder="1"/>
    </xf>
    <xf numFmtId="49" fontId="6" fillId="0" borderId="56" xfId="0" applyNumberFormat="1" applyFont="1" applyBorder="1" applyAlignment="1" applyProtection="1">
      <alignment horizontal="left" vertical="center" wrapText="1"/>
    </xf>
    <xf numFmtId="49" fontId="6" fillId="0" borderId="91" xfId="0" applyNumberFormat="1" applyFont="1" applyBorder="1" applyAlignment="1" applyProtection="1">
      <alignment horizontal="left" vertical="center" wrapText="1" indent="2"/>
    </xf>
    <xf numFmtId="49" fontId="22" fillId="0" borderId="56" xfId="0" applyNumberFormat="1" applyFont="1" applyFill="1" applyBorder="1" applyAlignment="1" applyProtection="1">
      <alignment horizontal="left" vertical="center"/>
    </xf>
    <xf numFmtId="2" fontId="22" fillId="0" borderId="56" xfId="0" applyNumberFormat="1" applyFont="1" applyFill="1" applyBorder="1" applyAlignment="1">
      <alignment horizontal="center" vertical="center" wrapText="1"/>
    </xf>
    <xf numFmtId="49" fontId="175" fillId="0" borderId="111" xfId="0" applyNumberFormat="1" applyFont="1" applyBorder="1" applyAlignment="1" applyProtection="1">
      <alignment horizontal="left" vertical="center"/>
    </xf>
    <xf numFmtId="0" fontId="44" fillId="0" borderId="111" xfId="0" applyFont="1" applyBorder="1" applyAlignment="1" applyProtection="1">
      <alignment horizontal="left" vertical="center" wrapText="1"/>
    </xf>
    <xf numFmtId="49" fontId="12" fillId="0" borderId="111" xfId="0" applyNumberFormat="1" applyFont="1" applyBorder="1" applyAlignment="1">
      <alignment horizontal="center" wrapText="1"/>
    </xf>
    <xf numFmtId="2" fontId="15" fillId="0" borderId="56" xfId="0" applyNumberFormat="1" applyFont="1" applyBorder="1" applyAlignment="1">
      <alignment horizontal="center" vertical="center"/>
    </xf>
    <xf numFmtId="2" fontId="41" fillId="0" borderId="56" xfId="0" applyNumberFormat="1" applyFont="1" applyBorder="1" applyAlignment="1">
      <alignment horizontal="center" vertical="center"/>
    </xf>
    <xf numFmtId="0" fontId="10" fillId="11" borderId="109" xfId="0" applyFont="1" applyFill="1" applyBorder="1" applyProtection="1">
      <alignment horizontal="left" wrapText="1"/>
    </xf>
    <xf numFmtId="49" fontId="6" fillId="0" borderId="91" xfId="0" applyNumberFormat="1" applyFont="1" applyBorder="1" applyAlignment="1" applyProtection="1">
      <alignment horizontal="left" vertical="center"/>
      <protection locked="0"/>
    </xf>
    <xf numFmtId="49" fontId="21" fillId="0" borderId="91" xfId="0" applyNumberFormat="1" applyFont="1" applyBorder="1" applyAlignment="1">
      <alignment horizontal="center" wrapText="1"/>
    </xf>
    <xf numFmtId="49" fontId="41" fillId="0" borderId="91" xfId="0" applyNumberFormat="1" applyFont="1" applyBorder="1" applyAlignment="1">
      <alignment horizontal="center" wrapText="1"/>
    </xf>
    <xf numFmtId="49" fontId="6" fillId="0" borderId="91" xfId="0" applyNumberFormat="1" applyFont="1" applyBorder="1" applyAlignment="1">
      <alignment horizontal="center" wrapText="1"/>
    </xf>
    <xf numFmtId="4" fontId="6" fillId="0" borderId="56" xfId="0" applyNumberFormat="1" applyFont="1" applyBorder="1" applyAlignment="1" applyProtection="1">
      <alignment horizontal="left" vertical="center" wrapText="1"/>
    </xf>
    <xf numFmtId="49" fontId="104" fillId="11" borderId="109" xfId="0" applyNumberFormat="1" applyFont="1" applyFill="1" applyBorder="1" applyAlignment="1" applyProtection="1">
      <alignment horizontal="left"/>
    </xf>
    <xf numFmtId="49" fontId="89" fillId="11" borderId="109" xfId="0" applyNumberFormat="1" applyFont="1" applyFill="1" applyBorder="1" applyAlignment="1">
      <alignment horizontal="center" wrapText="1"/>
    </xf>
    <xf numFmtId="49" fontId="41" fillId="11" borderId="109" xfId="0" applyNumberFormat="1" applyFont="1" applyFill="1" applyBorder="1" applyAlignment="1">
      <alignment horizontal="center" wrapText="1"/>
    </xf>
    <xf numFmtId="0" fontId="14" fillId="0" borderId="91" xfId="0" applyFont="1" applyBorder="1" applyAlignment="1">
      <alignment horizontal="center" vertical="center" wrapText="1"/>
    </xf>
    <xf numFmtId="0" fontId="190" fillId="0" borderId="91" xfId="0" applyFont="1" applyBorder="1" applyAlignment="1">
      <alignment horizontal="center" vertical="center" wrapText="1"/>
    </xf>
    <xf numFmtId="49" fontId="6" fillId="0" borderId="56" xfId="0" applyNumberFormat="1" applyFont="1" applyBorder="1" applyAlignment="1">
      <alignment horizontal="left" vertical="center"/>
    </xf>
    <xf numFmtId="49" fontId="6" fillId="0" borderId="56" xfId="0" applyNumberFormat="1" applyFont="1" applyBorder="1" applyAlignment="1">
      <alignment horizontal="center" vertical="center" wrapText="1"/>
    </xf>
    <xf numFmtId="0" fontId="6" fillId="0" borderId="56" xfId="0" applyNumberFormat="1" applyFont="1" applyBorder="1" applyAlignment="1">
      <alignment horizontal="center" vertical="center" wrapText="1"/>
    </xf>
    <xf numFmtId="0" fontId="41" fillId="0" borderId="56" xfId="0" applyNumberFormat="1" applyFont="1" applyBorder="1" applyAlignment="1">
      <alignment horizontal="center" vertical="center" wrapText="1"/>
    </xf>
    <xf numFmtId="0" fontId="105" fillId="11" borderId="109" xfId="0" applyNumberFormat="1" applyFont="1" applyFill="1" applyBorder="1">
      <alignment horizontal="left" wrapText="1"/>
    </xf>
    <xf numFmtId="0" fontId="82" fillId="11" borderId="109" xfId="0" applyNumberFormat="1" applyFont="1" applyFill="1" applyBorder="1">
      <alignment horizontal="left" wrapText="1"/>
    </xf>
    <xf numFmtId="49" fontId="108" fillId="11" borderId="109" xfId="0" applyNumberFormat="1" applyFont="1" applyFill="1" applyBorder="1" applyAlignment="1" applyProtection="1">
      <alignment horizontal="right" wrapText="1"/>
      <protection locked="0"/>
    </xf>
    <xf numFmtId="0" fontId="104" fillId="11" borderId="109" xfId="0" applyFont="1" applyFill="1" applyBorder="1" applyAlignment="1">
      <alignment horizontal="center" vertical="center" wrapText="1"/>
    </xf>
    <xf numFmtId="0" fontId="190" fillId="11" borderId="109" xfId="0" applyFont="1" applyFill="1" applyBorder="1" applyAlignment="1">
      <alignment horizontal="center" vertical="center" wrapText="1"/>
    </xf>
    <xf numFmtId="0" fontId="21" fillId="0" borderId="56" xfId="0" applyNumberFormat="1" applyFont="1" applyBorder="1" applyAlignment="1">
      <alignment horizontal="center" vertical="center" wrapText="1"/>
    </xf>
    <xf numFmtId="49" fontId="42" fillId="0" borderId="116" xfId="0" applyNumberFormat="1" applyFont="1" applyBorder="1" applyAlignment="1" applyProtection="1">
      <alignment horizontal="left" vertical="top" indent="2" readingOrder="1"/>
    </xf>
    <xf numFmtId="49" fontId="22" fillId="0" borderId="105" xfId="3" applyNumberFormat="1" applyFont="1" applyBorder="1" applyAlignment="1" applyProtection="1">
      <alignment horizontal="left" vertical="top" readingOrder="1"/>
    </xf>
    <xf numFmtId="0" fontId="6" fillId="0" borderId="105" xfId="0" applyNumberFormat="1" applyFont="1" applyBorder="1" applyAlignment="1">
      <alignment horizontal="center" vertical="center" wrapText="1" readingOrder="1"/>
    </xf>
    <xf numFmtId="0" fontId="41" fillId="0" borderId="105" xfId="0" applyNumberFormat="1" applyFont="1" applyBorder="1" applyAlignment="1">
      <alignment horizontal="center" vertical="center" wrapText="1" readingOrder="1"/>
    </xf>
    <xf numFmtId="49" fontId="22" fillId="11" borderId="109" xfId="3" applyNumberFormat="1" applyFont="1" applyFill="1" applyBorder="1" applyAlignment="1" applyProtection="1">
      <alignment horizontal="left" vertical="top" readingOrder="1"/>
    </xf>
    <xf numFmtId="0" fontId="6" fillId="11" borderId="109" xfId="0" applyNumberFormat="1" applyFont="1" applyFill="1" applyBorder="1" applyAlignment="1">
      <alignment horizontal="center" vertical="center" wrapText="1" readingOrder="1"/>
    </xf>
    <xf numFmtId="0" fontId="41" fillId="11" borderId="109" xfId="0" applyNumberFormat="1" applyFont="1" applyFill="1" applyBorder="1" applyAlignment="1">
      <alignment horizontal="center" vertical="center" wrapText="1" readingOrder="1"/>
    </xf>
    <xf numFmtId="0" fontId="156" fillId="11" borderId="109" xfId="0" applyFont="1" applyFill="1" applyBorder="1" applyProtection="1">
      <alignment horizontal="left" wrapText="1"/>
    </xf>
    <xf numFmtId="49" fontId="14" fillId="0" borderId="116" xfId="0" applyNumberFormat="1" applyFont="1" applyFill="1" applyBorder="1" applyAlignment="1" applyProtection="1">
      <alignment horizontal="left" vertical="top" wrapText="1" readingOrder="1"/>
    </xf>
    <xf numFmtId="2" fontId="108" fillId="0" borderId="91" xfId="0" applyNumberFormat="1" applyFont="1" applyFill="1" applyBorder="1" applyAlignment="1" applyProtection="1">
      <alignment horizontal="right" vertical="top" wrapText="1"/>
    </xf>
    <xf numFmtId="0" fontId="89" fillId="0" borderId="91" xfId="0" applyNumberFormat="1" applyFont="1" applyFill="1" applyBorder="1" applyAlignment="1">
      <alignment horizontal="center" vertical="center" wrapText="1" readingOrder="1"/>
    </xf>
    <xf numFmtId="0" fontId="41" fillId="0" borderId="91" xfId="0" applyNumberFormat="1" applyFont="1" applyFill="1" applyBorder="1" applyAlignment="1">
      <alignment horizontal="center" vertical="center" wrapText="1" readingOrder="1"/>
    </xf>
    <xf numFmtId="49" fontId="89" fillId="0" borderId="105" xfId="0" applyNumberFormat="1" applyFont="1" applyFill="1" applyBorder="1" applyAlignment="1" applyProtection="1">
      <alignment horizontal="left" vertical="center" readingOrder="1"/>
    </xf>
    <xf numFmtId="0" fontId="104" fillId="0" borderId="105" xfId="0" applyNumberFormat="1" applyFont="1" applyFill="1" applyBorder="1" applyAlignment="1">
      <alignment horizontal="center" vertical="center" wrapText="1" readingOrder="1"/>
    </xf>
    <xf numFmtId="0" fontId="106" fillId="0" borderId="105" xfId="0" applyNumberFormat="1" applyFont="1" applyFill="1" applyBorder="1" applyAlignment="1">
      <alignment horizontal="center" vertical="center" wrapText="1" readingOrder="1"/>
    </xf>
    <xf numFmtId="4" fontId="46" fillId="11" borderId="109" xfId="0" applyNumberFormat="1" applyFont="1" applyFill="1" applyBorder="1" applyAlignment="1" applyProtection="1">
      <alignment vertical="center" readingOrder="1"/>
    </xf>
    <xf numFmtId="0" fontId="0" fillId="11" borderId="109" xfId="0" applyNumberFormat="1" applyFill="1" applyBorder="1">
      <alignment horizontal="left" wrapText="1"/>
    </xf>
    <xf numFmtId="49" fontId="6" fillId="0" borderId="91" xfId="0" applyNumberFormat="1" applyFont="1" applyBorder="1" applyAlignment="1" applyProtection="1">
      <alignment horizontal="left" vertical="center" readingOrder="1"/>
    </xf>
    <xf numFmtId="0" fontId="0" fillId="0" borderId="105" xfId="0" applyNumberFormat="1" applyBorder="1" applyProtection="1">
      <alignment horizontal="left" wrapText="1"/>
    </xf>
    <xf numFmtId="2" fontId="6" fillId="0" borderId="105" xfId="0" applyNumberFormat="1" applyFont="1" applyBorder="1" applyAlignment="1" applyProtection="1">
      <alignment horizontal="left" vertical="center" readingOrder="1"/>
    </xf>
    <xf numFmtId="0" fontId="0" fillId="0" borderId="105" xfId="0" applyNumberFormat="1" applyBorder="1">
      <alignment horizontal="left" wrapText="1"/>
    </xf>
    <xf numFmtId="0" fontId="82" fillId="0" borderId="105" xfId="0" applyNumberFormat="1" applyFont="1" applyBorder="1">
      <alignment horizontal="left" wrapText="1"/>
    </xf>
    <xf numFmtId="49" fontId="6" fillId="11" borderId="109" xfId="0" applyNumberFormat="1" applyFont="1" applyFill="1" applyBorder="1" applyAlignment="1" applyProtection="1">
      <alignment horizontal="left" vertical="center"/>
    </xf>
    <xf numFmtId="49" fontId="22" fillId="0" borderId="117" xfId="0" applyNumberFormat="1" applyFont="1" applyBorder="1" applyAlignment="1" applyProtection="1">
      <alignment horizontal="left" vertical="center" wrapText="1" readingOrder="1"/>
    </xf>
    <xf numFmtId="49" fontId="6" fillId="11" borderId="115" xfId="0" applyNumberFormat="1" applyFont="1" applyFill="1" applyBorder="1" applyAlignment="1" applyProtection="1">
      <alignment horizontal="left" vertical="center"/>
    </xf>
    <xf numFmtId="49" fontId="6" fillId="0" borderId="104" xfId="0" applyNumberFormat="1" applyFont="1" applyBorder="1" applyAlignment="1" applyProtection="1">
      <alignment horizontal="left" vertical="center"/>
    </xf>
    <xf numFmtId="0" fontId="0" fillId="0" borderId="104" xfId="0" applyNumberFormat="1" applyBorder="1">
      <alignment horizontal="left" wrapText="1"/>
    </xf>
    <xf numFmtId="0" fontId="82" fillId="0" borderId="104" xfId="0" applyNumberFormat="1" applyFont="1" applyBorder="1">
      <alignment horizontal="left" wrapText="1"/>
    </xf>
    <xf numFmtId="2" fontId="22" fillId="0" borderId="60" xfId="0" applyNumberFormat="1" applyFont="1" applyBorder="1" applyAlignment="1" applyProtection="1">
      <alignment vertical="center" wrapText="1" readingOrder="1"/>
    </xf>
    <xf numFmtId="0" fontId="12" fillId="0" borderId="117" xfId="0" applyFont="1" applyBorder="1" applyAlignment="1">
      <alignment horizontal="center" vertical="center" shrinkToFit="1"/>
    </xf>
    <xf numFmtId="0" fontId="0" fillId="0" borderId="117" xfId="0" applyBorder="1" applyAlignment="1">
      <alignment horizontal="center" vertical="center" wrapText="1"/>
    </xf>
    <xf numFmtId="0" fontId="8" fillId="0" borderId="117" xfId="0" applyNumberFormat="1" applyFont="1" applyBorder="1" applyAlignment="1">
      <alignment horizontal="center" vertical="center" wrapText="1"/>
    </xf>
    <xf numFmtId="0" fontId="0" fillId="0" borderId="117" xfId="0" applyNumberFormat="1" applyBorder="1" applyAlignment="1">
      <alignment horizontal="center" vertical="center" wrapText="1"/>
    </xf>
    <xf numFmtId="0" fontId="162" fillId="0" borderId="117" xfId="0" applyFont="1" applyBorder="1" applyAlignment="1">
      <alignment horizontal="center" vertical="center" wrapText="1"/>
    </xf>
    <xf numFmtId="0" fontId="8" fillId="0" borderId="117" xfId="0" applyNumberFormat="1" applyFont="1" applyFill="1" applyBorder="1" applyAlignment="1">
      <alignment horizontal="center" vertical="center" wrapText="1"/>
    </xf>
    <xf numFmtId="0" fontId="108" fillId="0" borderId="117" xfId="0" applyNumberFormat="1" applyFont="1" applyFill="1" applyBorder="1" applyAlignment="1">
      <alignment horizontal="center" vertical="center" wrapText="1"/>
    </xf>
    <xf numFmtId="0" fontId="65" fillId="0" borderId="117" xfId="0" applyNumberFormat="1" applyFont="1" applyFill="1" applyBorder="1" applyAlignment="1">
      <alignment horizontal="center" vertical="center" wrapText="1"/>
    </xf>
    <xf numFmtId="0" fontId="36" fillId="0" borderId="117" xfId="0" applyNumberFormat="1" applyFont="1" applyFill="1" applyBorder="1" applyAlignment="1">
      <alignment horizontal="center" vertical="center" wrapText="1"/>
    </xf>
    <xf numFmtId="0" fontId="105" fillId="0" borderId="117" xfId="0" applyNumberFormat="1" applyFont="1" applyFill="1" applyBorder="1" applyAlignment="1">
      <alignment horizontal="center" vertical="center" wrapText="1"/>
    </xf>
    <xf numFmtId="0" fontId="162" fillId="0" borderId="117" xfId="0" applyNumberFormat="1" applyFont="1" applyBorder="1" applyAlignment="1">
      <alignment horizontal="center" vertical="center" wrapText="1"/>
    </xf>
    <xf numFmtId="10" fontId="63" fillId="0" borderId="117" xfId="1" applyNumberFormat="1" applyFont="1" applyBorder="1" applyAlignment="1">
      <alignment horizontal="center" vertical="center" wrapText="1"/>
    </xf>
    <xf numFmtId="0" fontId="0" fillId="0" borderId="117" xfId="0" applyNumberFormat="1" applyFill="1" applyBorder="1" applyAlignment="1">
      <alignment horizontal="center" vertical="center" wrapText="1"/>
    </xf>
    <xf numFmtId="0" fontId="63" fillId="0" borderId="117" xfId="0" applyNumberFormat="1" applyFont="1" applyFill="1" applyBorder="1" applyAlignment="1">
      <alignment horizontal="center" vertical="center" wrapText="1"/>
    </xf>
    <xf numFmtId="49" fontId="7" fillId="0" borderId="18" xfId="0" applyNumberFormat="1" applyFont="1" applyBorder="1" applyAlignment="1">
      <alignment horizontal="left" vertical="center" shrinkToFit="1" readingOrder="1"/>
    </xf>
    <xf numFmtId="0" fontId="22" fillId="0" borderId="18" xfId="0" applyNumberFormat="1" applyFont="1" applyFill="1" applyBorder="1" applyAlignment="1">
      <alignment horizontal="left" vertical="center" wrapText="1" readingOrder="1"/>
    </xf>
    <xf numFmtId="0" fontId="22" fillId="0" borderId="18" xfId="0" applyFont="1" applyFill="1" applyBorder="1" applyAlignment="1">
      <alignment horizontal="left" vertical="center" wrapText="1"/>
    </xf>
    <xf numFmtId="49" fontId="89" fillId="0" borderId="18" xfId="0" applyNumberFormat="1" applyFont="1" applyFill="1" applyBorder="1" applyAlignment="1">
      <alignment horizontal="left" vertical="center" wrapText="1" readingOrder="1"/>
    </xf>
    <xf numFmtId="0" fontId="0" fillId="0" borderId="18" xfId="0" applyNumberFormat="1" applyBorder="1" applyAlignment="1" applyProtection="1">
      <alignment horizontal="center" wrapText="1"/>
    </xf>
    <xf numFmtId="0" fontId="0" fillId="2" borderId="60" xfId="0" applyFill="1" applyBorder="1" applyAlignment="1"/>
    <xf numFmtId="0" fontId="127" fillId="2" borderId="60" xfId="0" applyFont="1" applyFill="1" applyBorder="1" applyAlignment="1">
      <alignment horizontal="left"/>
    </xf>
    <xf numFmtId="0" fontId="139" fillId="2" borderId="18" xfId="0" applyFont="1" applyFill="1" applyBorder="1" applyAlignment="1"/>
    <xf numFmtId="1" fontId="77" fillId="0" borderId="60" xfId="0" applyNumberFormat="1" applyFont="1" applyBorder="1" applyAlignment="1">
      <alignment horizontal="center"/>
    </xf>
    <xf numFmtId="1" fontId="77" fillId="0" borderId="60" xfId="0" applyNumberFormat="1" applyFont="1" applyBorder="1" applyAlignment="1">
      <alignment horizontal="left"/>
    </xf>
    <xf numFmtId="4" fontId="0" fillId="2" borderId="0" xfId="0" applyNumberFormat="1" applyFill="1" applyAlignment="1">
      <alignment horizontal="right" wrapText="1"/>
    </xf>
    <xf numFmtId="4" fontId="36" fillId="0" borderId="89" xfId="0" applyNumberFormat="1" applyFont="1" applyBorder="1" applyAlignment="1" applyProtection="1">
      <alignment horizontal="right" vertical="center" wrapText="1"/>
    </xf>
    <xf numFmtId="4" fontId="36" fillId="0" borderId="37" xfId="0" applyNumberFormat="1" applyFont="1" applyBorder="1" applyAlignment="1" applyProtection="1">
      <alignment horizontal="right" vertical="center" wrapText="1"/>
    </xf>
    <xf numFmtId="1" fontId="36" fillId="0" borderId="89" xfId="0" applyNumberFormat="1" applyFont="1" applyBorder="1" applyAlignment="1" applyProtection="1">
      <alignment horizontal="right" vertical="center" wrapText="1"/>
    </xf>
    <xf numFmtId="3" fontId="36" fillId="0" borderId="5" xfId="0" applyNumberFormat="1" applyFont="1" applyBorder="1" applyAlignment="1" applyProtection="1">
      <alignment horizontal="right" vertical="center" wrapText="1"/>
    </xf>
    <xf numFmtId="2" fontId="63" fillId="0" borderId="86" xfId="0" applyNumberFormat="1" applyFont="1" applyBorder="1" applyAlignment="1" applyProtection="1">
      <alignment horizontal="center" vertical="center" wrapText="1" readingOrder="1"/>
    </xf>
    <xf numFmtId="2" fontId="63" fillId="0" borderId="92" xfId="0" applyNumberFormat="1" applyFont="1" applyBorder="1" applyAlignment="1" applyProtection="1">
      <alignment horizontal="center" vertical="center" wrapText="1" readingOrder="1"/>
    </xf>
    <xf numFmtId="2" fontId="63" fillId="0" borderId="101" xfId="0" applyNumberFormat="1" applyFont="1" applyBorder="1" applyAlignment="1" applyProtection="1">
      <alignment horizontal="center" vertical="center" wrapText="1" readingOrder="1"/>
    </xf>
    <xf numFmtId="167" fontId="63" fillId="0" borderId="92" xfId="0" applyNumberFormat="1" applyFont="1" applyBorder="1" applyAlignment="1" applyProtection="1">
      <alignment horizontal="center" vertical="center" wrapText="1" readingOrder="1"/>
    </xf>
    <xf numFmtId="49" fontId="69" fillId="0" borderId="18" xfId="0" applyNumberFormat="1" applyFont="1" applyBorder="1" applyAlignment="1" applyProtection="1">
      <alignment horizontal="center" vertical="center" wrapText="1" readingOrder="1"/>
    </xf>
    <xf numFmtId="167" fontId="41" fillId="0" borderId="18" xfId="0" applyNumberFormat="1" applyFont="1" applyBorder="1" applyAlignment="1" applyProtection="1">
      <alignment horizontal="center" vertical="center" wrapText="1" readingOrder="1"/>
      <protection locked="0"/>
    </xf>
    <xf numFmtId="44" fontId="41" fillId="0" borderId="18" xfId="4" applyFont="1" applyBorder="1" applyAlignment="1" applyProtection="1">
      <alignment horizontal="center" vertical="center" wrapText="1" readingOrder="1"/>
      <protection locked="0"/>
    </xf>
    <xf numFmtId="44" fontId="6" fillId="0" borderId="18" xfId="4" applyFont="1" applyBorder="1" applyAlignment="1" applyProtection="1">
      <alignment horizontal="right" vertical="center" readingOrder="1"/>
    </xf>
    <xf numFmtId="9" fontId="6" fillId="0" borderId="18" xfId="1" applyFont="1" applyBorder="1" applyAlignment="1" applyProtection="1">
      <alignment horizontal="center" vertical="center" readingOrder="1"/>
    </xf>
    <xf numFmtId="2" fontId="6" fillId="0" borderId="18" xfId="4" applyNumberFormat="1" applyFont="1" applyBorder="1" applyAlignment="1" applyProtection="1">
      <alignment horizontal="center" vertical="center" readingOrder="1"/>
    </xf>
    <xf numFmtId="0" fontId="6" fillId="0" borderId="26" xfId="0" applyFont="1" applyBorder="1" applyAlignment="1" applyProtection="1">
      <alignment horizontal="left" vertical="center" indent="2"/>
    </xf>
    <xf numFmtId="0" fontId="6" fillId="0" borderId="99" xfId="0" applyFont="1" applyBorder="1" applyAlignment="1" applyProtection="1">
      <alignment horizontal="left" vertical="center" indent="2"/>
    </xf>
    <xf numFmtId="0" fontId="66" fillId="0" borderId="99" xfId="0" applyFont="1" applyBorder="1" applyAlignment="1" applyProtection="1">
      <alignment horizontal="left" vertical="center" indent="2"/>
    </xf>
    <xf numFmtId="0" fontId="6" fillId="0" borderId="0" xfId="0" applyFont="1" applyAlignment="1">
      <alignment horizontal="left" vertical="center" wrapText="1"/>
    </xf>
    <xf numFmtId="0" fontId="15" fillId="0" borderId="0" xfId="0" applyFont="1" applyAlignment="1">
      <alignment horizontal="left" vertical="center" wrapText="1"/>
    </xf>
    <xf numFmtId="0" fontId="22" fillId="0" borderId="89" xfId="0" applyFont="1" applyBorder="1" applyAlignment="1" applyProtection="1">
      <alignment horizontal="left" vertical="center" indent="2"/>
    </xf>
    <xf numFmtId="0" fontId="95" fillId="0" borderId="0" xfId="0" applyFont="1">
      <alignment horizontal="left" wrapText="1"/>
    </xf>
    <xf numFmtId="0" fontId="41" fillId="0" borderId="0" xfId="0" applyFont="1" applyAlignment="1">
      <alignment horizontal="center" vertical="center" wrapText="1"/>
    </xf>
    <xf numFmtId="0" fontId="36" fillId="0" borderId="89" xfId="0" applyNumberFormat="1" applyFont="1" applyBorder="1" applyAlignment="1" applyProtection="1">
      <alignment horizontal="left" vertical="center" wrapText="1"/>
    </xf>
    <xf numFmtId="2" fontId="36" fillId="0" borderId="88" xfId="0" applyNumberFormat="1" applyFont="1" applyBorder="1" applyAlignment="1" applyProtection="1">
      <alignment horizontal="right" vertical="center" wrapText="1" readingOrder="1"/>
    </xf>
    <xf numFmtId="4" fontId="22" fillId="0" borderId="61" xfId="0" applyNumberFormat="1" applyFont="1" applyFill="1" applyBorder="1" applyAlignment="1" applyProtection="1">
      <alignment horizontal="left" vertical="center" readingOrder="1"/>
    </xf>
    <xf numFmtId="0" fontId="12" fillId="0" borderId="111" xfId="0" applyNumberFormat="1" applyFont="1" applyBorder="1" applyAlignment="1">
      <alignment horizontal="center" wrapText="1"/>
    </xf>
    <xf numFmtId="0" fontId="187" fillId="0" borderId="111" xfId="0" applyNumberFormat="1" applyFont="1" applyBorder="1" applyAlignment="1">
      <alignment horizontal="center" wrapText="1"/>
    </xf>
    <xf numFmtId="0" fontId="39" fillId="0" borderId="0" xfId="0" applyNumberFormat="1" applyFont="1" applyAlignment="1" applyProtection="1">
      <alignment horizontal="left" vertical="center"/>
    </xf>
    <xf numFmtId="10" fontId="6" fillId="0" borderId="105" xfId="1" applyNumberFormat="1" applyFont="1" applyBorder="1" applyAlignment="1" applyProtection="1">
      <alignment horizontal="left" vertical="center" indent="2" readingOrder="1"/>
    </xf>
    <xf numFmtId="10" fontId="59" fillId="0" borderId="104" xfId="1" applyNumberFormat="1" applyFont="1" applyBorder="1" applyAlignment="1" applyProtection="1">
      <alignment horizontal="left" vertical="center" indent="2" readingOrder="1"/>
    </xf>
    <xf numFmtId="10" fontId="59" fillId="0" borderId="105" xfId="1" applyNumberFormat="1" applyFont="1" applyBorder="1" applyAlignment="1" applyProtection="1">
      <alignment horizontal="left" vertical="center" indent="2" readingOrder="1"/>
    </xf>
    <xf numFmtId="180" fontId="22" fillId="0" borderId="102" xfId="0" applyNumberFormat="1" applyFont="1" applyBorder="1" applyAlignment="1" applyProtection="1">
      <alignment horizontal="left" vertical="center" readingOrder="1"/>
    </xf>
    <xf numFmtId="4" fontId="22" fillId="0" borderId="105" xfId="0" applyNumberFormat="1" applyFont="1" applyBorder="1" applyAlignment="1" applyProtection="1">
      <alignment vertical="center" wrapText="1" readingOrder="1"/>
    </xf>
    <xf numFmtId="0" fontId="41" fillId="0" borderId="104" xfId="0" applyNumberFormat="1" applyFont="1" applyBorder="1" applyAlignment="1" applyProtection="1">
      <alignment horizontal="right" vertical="center"/>
      <protection locked="0"/>
    </xf>
    <xf numFmtId="0" fontId="44" fillId="0" borderId="18" xfId="0" applyNumberFormat="1" applyFont="1" applyBorder="1" applyProtection="1">
      <alignment horizontal="left" wrapText="1"/>
    </xf>
    <xf numFmtId="10" fontId="6" fillId="0" borderId="88" xfId="1" applyNumberFormat="1" applyFont="1" applyBorder="1" applyAlignment="1" applyProtection="1">
      <alignment horizontal="left" vertical="center" readingOrder="1"/>
    </xf>
    <xf numFmtId="0" fontId="22" fillId="0" borderId="68" xfId="0" applyNumberFormat="1" applyFont="1" applyBorder="1" applyAlignment="1" applyProtection="1">
      <alignment horizontal="left" vertical="center" readingOrder="1"/>
    </xf>
    <xf numFmtId="0" fontId="0" fillId="0" borderId="68" xfId="0" applyNumberFormat="1" applyBorder="1">
      <alignment horizontal="left" wrapText="1"/>
    </xf>
    <xf numFmtId="0" fontId="66" fillId="0" borderId="68" xfId="0" applyNumberFormat="1" applyFont="1" applyBorder="1" applyAlignment="1">
      <alignment horizontal="left" vertical="center" readingOrder="1"/>
    </xf>
    <xf numFmtId="4" fontId="22" fillId="0" borderId="62" xfId="0" applyNumberFormat="1" applyFont="1" applyBorder="1" applyAlignment="1" applyProtection="1">
      <alignment horizontal="left" vertical="center" wrapText="1" readingOrder="1"/>
    </xf>
    <xf numFmtId="9" fontId="219" fillId="0" borderId="11" xfId="1" applyFont="1" applyFill="1" applyBorder="1" applyAlignment="1" applyProtection="1">
      <alignment horizontal="left"/>
    </xf>
    <xf numFmtId="49" fontId="182" fillId="0" borderId="11" xfId="0" applyNumberFormat="1" applyFont="1" applyFill="1" applyBorder="1" applyAlignment="1" applyProtection="1">
      <alignment horizontal="right"/>
    </xf>
    <xf numFmtId="9" fontId="220" fillId="0" borderId="18" xfId="1" applyFont="1" applyFill="1" applyBorder="1" applyAlignment="1" applyProtection="1">
      <alignment horizontal="left" wrapText="1"/>
    </xf>
    <xf numFmtId="49" fontId="193" fillId="0" borderId="5" xfId="0" applyNumberFormat="1" applyFont="1" applyBorder="1" applyAlignment="1" applyProtection="1">
      <alignment horizontal="left" vertical="center"/>
    </xf>
    <xf numFmtId="43" fontId="193" fillId="0" borderId="22" xfId="0" applyNumberFormat="1" applyFont="1" applyBorder="1" applyAlignment="1" applyProtection="1">
      <alignment horizontal="left" vertical="center" readingOrder="1"/>
    </xf>
    <xf numFmtId="2" fontId="43" fillId="0" borderId="21" xfId="0" applyNumberFormat="1" applyFont="1" applyBorder="1" applyAlignment="1" applyProtection="1">
      <alignment horizontal="left" vertical="center" readingOrder="1"/>
    </xf>
    <xf numFmtId="4" fontId="22" fillId="0" borderId="22" xfId="2" applyNumberFormat="1" applyFont="1" applyBorder="1" applyAlignment="1" applyProtection="1">
      <alignment vertical="center"/>
    </xf>
    <xf numFmtId="4" fontId="36" fillId="0" borderId="22" xfId="2" applyNumberFormat="1" applyFont="1" applyBorder="1" applyAlignment="1" applyProtection="1">
      <alignment vertical="center"/>
    </xf>
    <xf numFmtId="43" fontId="22" fillId="0" borderId="6" xfId="2" applyFont="1" applyBorder="1" applyAlignment="1" applyProtection="1">
      <alignment horizontal="left" vertical="center"/>
    </xf>
    <xf numFmtId="43" fontId="6" fillId="0" borderId="89" xfId="2" applyFont="1" applyBorder="1" applyAlignment="1" applyProtection="1">
      <alignment horizontal="left" vertical="center"/>
    </xf>
    <xf numFmtId="2" fontId="36" fillId="0" borderId="86" xfId="0" applyNumberFormat="1" applyFont="1" applyBorder="1" applyAlignment="1" applyProtection="1">
      <alignment vertical="center" readingOrder="1"/>
    </xf>
    <xf numFmtId="2" fontId="36" fillId="0" borderId="21" xfId="0" applyNumberFormat="1" applyFont="1" applyBorder="1" applyAlignment="1" applyProtection="1">
      <alignment vertical="center" wrapText="1" readingOrder="1"/>
    </xf>
    <xf numFmtId="49" fontId="73" fillId="0" borderId="101" xfId="0" applyNumberFormat="1" applyFont="1" applyBorder="1" applyAlignment="1" applyProtection="1">
      <alignment horizontal="right" vertical="center" readingOrder="1"/>
    </xf>
    <xf numFmtId="2" fontId="43" fillId="0" borderId="101" xfId="0" applyNumberFormat="1" applyFont="1" applyBorder="1" applyAlignment="1" applyProtection="1">
      <alignment horizontal="left" vertical="center" readingOrder="1"/>
    </xf>
    <xf numFmtId="10" fontId="6" fillId="0" borderId="107" xfId="1" applyNumberFormat="1" applyFont="1" applyBorder="1" applyAlignment="1" applyProtection="1">
      <alignment horizontal="left" vertical="center" readingOrder="1"/>
    </xf>
    <xf numFmtId="4" fontId="6" fillId="0" borderId="108" xfId="2" applyNumberFormat="1" applyFont="1" applyFill="1" applyBorder="1" applyAlignment="1" applyProtection="1">
      <alignment horizontal="left" vertical="center" wrapText="1"/>
    </xf>
    <xf numFmtId="4" fontId="6" fillId="0" borderId="108" xfId="2" applyNumberFormat="1" applyFont="1" applyFill="1" applyBorder="1" applyAlignment="1" applyProtection="1">
      <alignment horizontal="right" vertical="center"/>
    </xf>
    <xf numFmtId="4" fontId="15" fillId="0" borderId="120" xfId="2" applyNumberFormat="1" applyFont="1" applyFill="1" applyBorder="1" applyAlignment="1" applyProtection="1">
      <alignment horizontal="left" vertical="center"/>
    </xf>
    <xf numFmtId="4" fontId="15" fillId="0" borderId="120" xfId="2" applyNumberFormat="1" applyFont="1" applyFill="1" applyBorder="1" applyAlignment="1" applyProtection="1">
      <alignment horizontal="right" vertical="center"/>
    </xf>
    <xf numFmtId="4" fontId="15" fillId="0" borderId="80" xfId="0" applyNumberFormat="1" applyFont="1" applyBorder="1" applyAlignment="1" applyProtection="1">
      <alignment horizontal="right" vertical="center" wrapText="1"/>
    </xf>
    <xf numFmtId="0" fontId="0" fillId="0" borderId="100" xfId="0" applyNumberFormat="1" applyBorder="1" applyAlignment="1" applyProtection="1">
      <alignment horizontal="left" vertical="center" wrapText="1"/>
    </xf>
    <xf numFmtId="4" fontId="22" fillId="0" borderId="100" xfId="0" applyNumberFormat="1" applyFont="1" applyBorder="1" applyAlignment="1" applyProtection="1">
      <alignment vertical="center" readingOrder="1"/>
    </xf>
    <xf numFmtId="44" fontId="59" fillId="0" borderId="0" xfId="4" applyFont="1" applyAlignment="1" applyProtection="1">
      <alignment horizontal="right" vertical="center"/>
    </xf>
    <xf numFmtId="44" fontId="59" fillId="0" borderId="18" xfId="4" applyFont="1" applyBorder="1" applyAlignment="1" applyProtection="1">
      <alignment horizontal="right" vertical="center"/>
    </xf>
    <xf numFmtId="44" fontId="59" fillId="0" borderId="49" xfId="4" applyFont="1" applyBorder="1" applyAlignment="1" applyProtection="1">
      <alignment horizontal="right" vertical="center"/>
    </xf>
    <xf numFmtId="44" fontId="63" fillId="0" borderId="0" xfId="4" applyFont="1" applyAlignment="1" applyProtection="1">
      <alignment horizontal="right"/>
    </xf>
    <xf numFmtId="4" fontId="63" fillId="0" borderId="18" xfId="0" applyNumberFormat="1" applyFont="1" applyBorder="1" applyAlignment="1" applyProtection="1">
      <alignment horizontal="right" vertical="center" wrapText="1"/>
    </xf>
    <xf numFmtId="4" fontId="47" fillId="0" borderId="18" xfId="0" applyNumberFormat="1" applyFont="1" applyBorder="1" applyAlignment="1" applyProtection="1">
      <alignment horizontal="left" vertical="center"/>
    </xf>
    <xf numFmtId="44" fontId="84" fillId="0" borderId="18" xfId="4" applyFont="1" applyBorder="1" applyAlignment="1" applyProtection="1">
      <alignment horizontal="right" vertical="center" wrapText="1"/>
    </xf>
    <xf numFmtId="0" fontId="0" fillId="2" borderId="0" xfId="0" applyNumberFormat="1" applyFill="1" applyAlignment="1" applyProtection="1">
      <alignment horizontal="center" wrapText="1"/>
    </xf>
    <xf numFmtId="0" fontId="0" fillId="2" borderId="18" xfId="0" applyFill="1" applyBorder="1" applyAlignment="1" applyProtection="1">
      <alignment horizontal="center" wrapText="1"/>
    </xf>
    <xf numFmtId="0" fontId="0" fillId="2" borderId="18" xfId="0" applyFill="1" applyBorder="1" applyAlignment="1" applyProtection="1">
      <alignment horizontal="center" vertical="center" wrapText="1"/>
    </xf>
    <xf numFmtId="49" fontId="6" fillId="0" borderId="18" xfId="0" applyNumberFormat="1" applyFont="1" applyBorder="1" applyAlignment="1" applyProtection="1">
      <alignment horizontal="center" vertical="center"/>
    </xf>
    <xf numFmtId="0" fontId="103" fillId="0" borderId="18" xfId="0" applyFont="1" applyBorder="1" applyAlignment="1">
      <alignment horizontal="center" vertical="center" wrapText="1"/>
    </xf>
    <xf numFmtId="44" fontId="66" fillId="2" borderId="18" xfId="0" applyNumberFormat="1" applyFont="1" applyFill="1" applyBorder="1" applyAlignment="1" applyProtection="1">
      <alignment horizontal="center"/>
    </xf>
    <xf numFmtId="0" fontId="0" fillId="0" borderId="18" xfId="0" applyFill="1" applyBorder="1" applyAlignment="1" applyProtection="1">
      <alignment horizontal="center" wrapText="1"/>
    </xf>
    <xf numFmtId="0" fontId="10" fillId="2" borderId="18" xfId="0" applyFont="1" applyFill="1" applyBorder="1" applyAlignment="1" applyProtection="1">
      <alignment horizontal="center"/>
    </xf>
    <xf numFmtId="44" fontId="6" fillId="2" borderId="0" xfId="4" applyFont="1" applyFill="1" applyAlignment="1" applyProtection="1">
      <alignment horizontal="center"/>
    </xf>
    <xf numFmtId="44" fontId="15" fillId="2" borderId="18" xfId="4" applyFont="1" applyFill="1" applyBorder="1" applyAlignment="1" applyProtection="1">
      <alignment horizontal="center" vertical="top" wrapText="1"/>
    </xf>
    <xf numFmtId="44" fontId="47" fillId="2" borderId="18" xfId="0" applyNumberFormat="1" applyFont="1" applyFill="1" applyBorder="1" applyAlignment="1" applyProtection="1">
      <alignment horizontal="center"/>
    </xf>
    <xf numFmtId="0" fontId="0" fillId="2" borderId="0" xfId="0" applyNumberFormat="1" applyFill="1" applyAlignment="1" applyProtection="1">
      <alignment horizontal="center" vertical="center" wrapText="1"/>
    </xf>
    <xf numFmtId="2" fontId="84" fillId="0" borderId="18" xfId="4" applyNumberFormat="1" applyFont="1" applyBorder="1" applyAlignment="1" applyProtection="1">
      <alignment horizontal="left" vertical="center"/>
    </xf>
    <xf numFmtId="43" fontId="63" fillId="0" borderId="60" xfId="2" applyFont="1" applyBorder="1" applyAlignment="1" applyProtection="1">
      <alignment horizontal="right" vertical="center"/>
    </xf>
    <xf numFmtId="43" fontId="23" fillId="0" borderId="0" xfId="2" applyFont="1" applyAlignment="1" applyProtection="1">
      <alignment horizontal="right" vertical="center"/>
    </xf>
    <xf numFmtId="0" fontId="23" fillId="0" borderId="0" xfId="0" applyNumberFormat="1" applyFont="1" applyAlignment="1" applyProtection="1">
      <alignment horizontal="right" vertical="center"/>
    </xf>
    <xf numFmtId="43" fontId="23" fillId="0" borderId="0" xfId="2" applyFont="1" applyFill="1" applyAlignment="1" applyProtection="1">
      <alignment horizontal="right" vertical="center"/>
    </xf>
    <xf numFmtId="0" fontId="63" fillId="0" borderId="60" xfId="0" applyNumberFormat="1" applyFont="1" applyBorder="1" applyAlignment="1">
      <alignment horizontal="right" vertical="center"/>
    </xf>
    <xf numFmtId="0" fontId="209" fillId="0" borderId="60" xfId="0" applyFont="1" applyBorder="1" applyAlignment="1">
      <alignment horizontal="right" vertical="center"/>
    </xf>
    <xf numFmtId="0" fontId="63" fillId="0" borderId="112" xfId="0" applyNumberFormat="1" applyFont="1" applyBorder="1" applyAlignment="1">
      <alignment horizontal="right"/>
    </xf>
    <xf numFmtId="0" fontId="63" fillId="0" borderId="60" xfId="0" applyNumberFormat="1" applyFont="1" applyBorder="1" applyAlignment="1">
      <alignment horizontal="right"/>
    </xf>
    <xf numFmtId="0" fontId="63" fillId="11" borderId="60" xfId="0" applyNumberFormat="1" applyFont="1" applyFill="1" applyBorder="1" applyAlignment="1">
      <alignment horizontal="right"/>
    </xf>
    <xf numFmtId="0" fontId="0" fillId="0" borderId="18" xfId="0" applyNumberFormat="1" applyBorder="1" applyAlignment="1" applyProtection="1">
      <alignment horizontal="right" vertical="center"/>
    </xf>
    <xf numFmtId="0" fontId="63" fillId="0" borderId="114" xfId="0" applyNumberFormat="1" applyFont="1" applyFill="1" applyBorder="1" applyAlignment="1">
      <alignment horizontal="right" vertical="center"/>
    </xf>
    <xf numFmtId="0" fontId="63" fillId="0" borderId="23" xfId="0" applyNumberFormat="1" applyFont="1" applyBorder="1" applyAlignment="1">
      <alignment horizontal="right"/>
    </xf>
    <xf numFmtId="0" fontId="63" fillId="0" borderId="23" xfId="0" applyNumberFormat="1" applyFont="1" applyBorder="1" applyAlignment="1">
      <alignment horizontal="right" vertical="center"/>
    </xf>
    <xf numFmtId="0" fontId="63" fillId="0" borderId="114" xfId="0" applyNumberFormat="1" applyFont="1" applyBorder="1" applyAlignment="1">
      <alignment horizontal="right"/>
    </xf>
    <xf numFmtId="0" fontId="63" fillId="0" borderId="18" xfId="0" applyNumberFormat="1" applyFont="1" applyBorder="1" applyAlignment="1">
      <alignment horizontal="right"/>
    </xf>
    <xf numFmtId="0" fontId="63" fillId="0" borderId="60" xfId="0" applyNumberFormat="1" applyFont="1" applyFill="1" applyBorder="1" applyAlignment="1">
      <alignment horizontal="right"/>
    </xf>
    <xf numFmtId="0" fontId="0" fillId="0" borderId="0" xfId="0" applyNumberFormat="1" applyAlignment="1" applyProtection="1">
      <alignment horizontal="right" vertical="center"/>
    </xf>
    <xf numFmtId="0" fontId="63" fillId="0" borderId="18" xfId="0" applyFont="1" applyBorder="1" applyAlignment="1">
      <alignment horizontal="right"/>
    </xf>
    <xf numFmtId="0" fontId="63" fillId="0" borderId="36" xfId="0" applyFont="1" applyBorder="1" applyAlignment="1">
      <alignment horizontal="right"/>
    </xf>
    <xf numFmtId="49" fontId="69" fillId="0" borderId="19" xfId="0" applyNumberFormat="1" applyFont="1" applyBorder="1" applyAlignment="1" applyProtection="1">
      <alignment horizontal="left" vertical="center" wrapText="1" readingOrder="1"/>
    </xf>
    <xf numFmtId="49" fontId="210" fillId="0" borderId="19" xfId="0" applyNumberFormat="1" applyFont="1" applyBorder="1" applyAlignment="1" applyProtection="1">
      <alignment horizontal="left" vertical="center" wrapText="1" readingOrder="1"/>
    </xf>
    <xf numFmtId="49" fontId="59" fillId="0" borderId="80" xfId="0" applyNumberFormat="1" applyFont="1" applyBorder="1" applyAlignment="1" applyProtection="1">
      <alignment horizontal="left" vertical="center" indent="2"/>
    </xf>
    <xf numFmtId="4" fontId="6" fillId="0" borderId="68" xfId="0" applyNumberFormat="1" applyFont="1" applyFill="1" applyBorder="1" applyAlignment="1" applyProtection="1">
      <alignment horizontal="left" vertical="top" readingOrder="1"/>
    </xf>
    <xf numFmtId="43" fontId="22" fillId="0" borderId="22" xfId="0" applyNumberFormat="1" applyFont="1" applyBorder="1" applyAlignment="1" applyProtection="1">
      <alignment horizontal="right" vertical="center" readingOrder="1"/>
    </xf>
    <xf numFmtId="0" fontId="193" fillId="0" borderId="68" xfId="0" applyNumberFormat="1" applyFont="1" applyFill="1" applyBorder="1" applyAlignment="1" applyProtection="1">
      <alignment horizontal="left" vertical="center" readingOrder="1"/>
    </xf>
    <xf numFmtId="4" fontId="6" fillId="0" borderId="73" xfId="0" applyNumberFormat="1" applyFont="1" applyFill="1" applyBorder="1" applyAlignment="1" applyProtection="1">
      <alignment horizontal="right" vertical="center" readingOrder="1"/>
    </xf>
    <xf numFmtId="4" fontId="0" fillId="0" borderId="77" xfId="0" applyNumberFormat="1" applyFill="1" applyBorder="1" applyAlignment="1">
      <alignment horizontal="right" wrapText="1"/>
    </xf>
    <xf numFmtId="0" fontId="0" fillId="0" borderId="77" xfId="0" applyFill="1" applyBorder="1">
      <alignment horizontal="left" wrapText="1"/>
    </xf>
    <xf numFmtId="49" fontId="6" fillId="0" borderId="123" xfId="0" applyNumberFormat="1" applyFont="1" applyBorder="1" applyAlignment="1" applyProtection="1">
      <alignment horizontal="left" vertical="center" wrapText="1" readingOrder="1"/>
    </xf>
    <xf numFmtId="49" fontId="6" fillId="0" borderId="124" xfId="0" applyNumberFormat="1" applyFont="1" applyBorder="1" applyAlignment="1" applyProtection="1">
      <alignment horizontal="left" vertical="center" wrapText="1" readingOrder="1"/>
    </xf>
    <xf numFmtId="49" fontId="6" fillId="0" borderId="125" xfId="0" applyNumberFormat="1" applyFont="1" applyBorder="1" applyAlignment="1" applyProtection="1">
      <alignment horizontal="left" vertical="center" wrapText="1" readingOrder="1"/>
    </xf>
    <xf numFmtId="0" fontId="22" fillId="0" borderId="62" xfId="0" applyNumberFormat="1" applyFont="1" applyFill="1" applyBorder="1" applyAlignment="1" applyProtection="1">
      <alignment horizontal="left" vertical="center" readingOrder="1"/>
    </xf>
    <xf numFmtId="4" fontId="22" fillId="0" borderId="64" xfId="0" applyNumberFormat="1" applyFont="1" applyFill="1" applyBorder="1" applyAlignment="1" applyProtection="1">
      <alignment horizontal="right" vertical="center" readingOrder="1"/>
    </xf>
    <xf numFmtId="49" fontId="38" fillId="2" borderId="18" xfId="0" applyNumberFormat="1" applyFont="1" applyFill="1" applyBorder="1" applyAlignment="1" applyProtection="1">
      <alignment horizontal="left" vertical="center" readingOrder="1"/>
    </xf>
    <xf numFmtId="43" fontId="39" fillId="2" borderId="18" xfId="2" applyFont="1" applyFill="1" applyBorder="1" applyAlignment="1" applyProtection="1">
      <alignment horizontal="right" vertical="center" readingOrder="1"/>
    </xf>
    <xf numFmtId="4" fontId="41" fillId="0" borderId="93" xfId="0" applyNumberFormat="1" applyFont="1" applyBorder="1" applyAlignment="1" applyProtection="1">
      <alignment horizontal="left" vertical="center"/>
      <protection locked="0"/>
    </xf>
    <xf numFmtId="4" fontId="22" fillId="0" borderId="21" xfId="2" applyNumberFormat="1" applyFont="1" applyBorder="1" applyAlignment="1" applyProtection="1">
      <alignment vertical="center" readingOrder="1"/>
    </xf>
    <xf numFmtId="169" fontId="183" fillId="0" borderId="14" xfId="0" applyNumberFormat="1" applyFont="1" applyFill="1" applyBorder="1" applyAlignment="1" applyProtection="1">
      <alignment horizontal="right" vertical="center" wrapText="1"/>
    </xf>
    <xf numFmtId="169" fontId="184" fillId="0" borderId="106" xfId="0" applyNumberFormat="1" applyFont="1" applyFill="1" applyBorder="1" applyAlignment="1" applyProtection="1">
      <alignment horizontal="right" vertical="center"/>
    </xf>
    <xf numFmtId="169" fontId="176" fillId="0" borderId="14" xfId="0" applyNumberFormat="1" applyFont="1" applyFill="1" applyBorder="1" applyAlignment="1" applyProtection="1">
      <alignment horizontal="right" vertical="center" wrapText="1"/>
    </xf>
    <xf numFmtId="169" fontId="177" fillId="0" borderId="106" xfId="0" applyNumberFormat="1" applyFont="1" applyFill="1" applyBorder="1" applyAlignment="1" applyProtection="1">
      <alignment horizontal="right" vertical="center"/>
    </xf>
    <xf numFmtId="169" fontId="176" fillId="0" borderId="14" xfId="0" applyNumberFormat="1" applyFont="1" applyBorder="1" applyAlignment="1" applyProtection="1">
      <alignment horizontal="right" vertical="center"/>
    </xf>
    <xf numFmtId="169" fontId="176" fillId="0" borderId="106" xfId="0" applyNumberFormat="1" applyFont="1" applyBorder="1" applyAlignment="1" applyProtection="1">
      <alignment horizontal="right" vertical="center"/>
    </xf>
    <xf numFmtId="4" fontId="36" fillId="0" borderId="93" xfId="0" applyNumberFormat="1" applyFont="1" applyBorder="1" applyAlignment="1" applyProtection="1">
      <alignment horizontal="left" vertical="center"/>
    </xf>
    <xf numFmtId="4" fontId="84" fillId="0" borderId="18" xfId="4" applyNumberFormat="1" applyFont="1" applyBorder="1" applyAlignment="1" applyProtection="1">
      <alignment horizontal="right" vertical="center" wrapText="1"/>
    </xf>
    <xf numFmtId="4" fontId="6" fillId="0" borderId="28" xfId="0" applyNumberFormat="1" applyFont="1" applyBorder="1" applyAlignment="1" applyProtection="1">
      <alignment horizontal="right" vertical="center"/>
    </xf>
    <xf numFmtId="4" fontId="22" fillId="0" borderId="49" xfId="0" applyNumberFormat="1" applyFont="1" applyBorder="1" applyAlignment="1" applyProtection="1">
      <alignment horizontal="right" vertical="center" readingOrder="1"/>
    </xf>
    <xf numFmtId="49" fontId="6" fillId="0" borderId="126" xfId="0" applyNumberFormat="1" applyFont="1" applyBorder="1" applyAlignment="1" applyProtection="1">
      <alignment horizontal="left" vertical="center" wrapText="1" indent="2" readingOrder="1"/>
    </xf>
    <xf numFmtId="4" fontId="46" fillId="0" borderId="126" xfId="0" applyNumberFormat="1" applyFont="1" applyBorder="1" applyAlignment="1" applyProtection="1">
      <alignment vertical="center" wrapText="1" readingOrder="1"/>
      <protection locked="0"/>
    </xf>
    <xf numFmtId="4" fontId="41" fillId="0" borderId="126" xfId="0" applyNumberFormat="1" applyFont="1" applyBorder="1" applyAlignment="1" applyProtection="1">
      <alignment horizontal="center" vertical="center" readingOrder="1"/>
      <protection locked="0"/>
    </xf>
    <xf numFmtId="9" fontId="41" fillId="0" borderId="122" xfId="0" applyNumberFormat="1" applyFont="1" applyBorder="1" applyAlignment="1" applyProtection="1">
      <alignment horizontal="center" vertical="center" wrapText="1" readingOrder="1"/>
      <protection locked="0"/>
    </xf>
    <xf numFmtId="9" fontId="41" fillId="0" borderId="104" xfId="0" applyNumberFormat="1" applyFont="1" applyBorder="1" applyAlignment="1" applyProtection="1">
      <alignment horizontal="center" vertical="center" wrapText="1" readingOrder="1"/>
      <protection locked="0"/>
    </xf>
    <xf numFmtId="4" fontId="22" fillId="0" borderId="122" xfId="0" applyNumberFormat="1" applyFont="1" applyBorder="1" applyAlignment="1" applyProtection="1">
      <alignment horizontal="right" vertical="center" wrapText="1" readingOrder="1"/>
    </xf>
    <xf numFmtId="10" fontId="6" fillId="0" borderId="122" xfId="1" applyNumberFormat="1" applyFont="1" applyBorder="1" applyAlignment="1" applyProtection="1">
      <alignment horizontal="left" vertical="center" readingOrder="1"/>
    </xf>
    <xf numFmtId="4" fontId="22" fillId="0" borderId="126" xfId="0" applyNumberFormat="1" applyFont="1" applyBorder="1" applyAlignment="1" applyProtection="1">
      <alignment horizontal="right" vertical="center" readingOrder="1"/>
    </xf>
    <xf numFmtId="4" fontId="36" fillId="0" borderId="122" xfId="0" applyNumberFormat="1" applyFont="1" applyBorder="1" applyAlignment="1" applyProtection="1">
      <alignment horizontal="center" vertical="center" wrapText="1" readingOrder="1"/>
    </xf>
    <xf numFmtId="49" fontId="6" fillId="0" borderId="104" xfId="0" applyNumberFormat="1" applyFont="1" applyBorder="1" applyAlignment="1" applyProtection="1">
      <alignment horizontal="left" vertical="center" wrapText="1" indent="2" readingOrder="1"/>
    </xf>
    <xf numFmtId="4" fontId="41" fillId="0" borderId="104" xfId="0" applyNumberFormat="1" applyFont="1" applyBorder="1" applyAlignment="1" applyProtection="1">
      <alignment horizontal="center" vertical="center" readingOrder="1"/>
      <protection locked="0"/>
    </xf>
    <xf numFmtId="4" fontId="36" fillId="0" borderId="104" xfId="0" applyNumberFormat="1" applyFont="1" applyBorder="1" applyAlignment="1" applyProtection="1">
      <alignment horizontal="center" vertical="center" wrapText="1" readingOrder="1"/>
    </xf>
    <xf numFmtId="4" fontId="22" fillId="0" borderId="107" xfId="0" applyNumberFormat="1" applyFont="1" applyBorder="1" applyAlignment="1" applyProtection="1">
      <alignment horizontal="right" vertical="center" wrapText="1" readingOrder="1"/>
    </xf>
    <xf numFmtId="49" fontId="6" fillId="0" borderId="127" xfId="0" applyNumberFormat="1" applyFont="1" applyBorder="1" applyAlignment="1" applyProtection="1">
      <alignment horizontal="left" vertical="center" wrapText="1" indent="2" readingOrder="1"/>
    </xf>
    <xf numFmtId="4" fontId="22" fillId="0" borderId="127" xfId="0" applyNumberFormat="1" applyFont="1" applyBorder="1" applyAlignment="1" applyProtection="1">
      <alignment horizontal="right" vertical="center" readingOrder="1"/>
    </xf>
    <xf numFmtId="49" fontId="193" fillId="2" borderId="128" xfId="0" applyNumberFormat="1" applyFont="1" applyFill="1" applyBorder="1" applyAlignment="1" applyProtection="1">
      <alignment horizontal="left" vertical="center" wrapText="1" readingOrder="1"/>
    </xf>
    <xf numFmtId="49" fontId="193" fillId="2" borderId="77" xfId="0" applyNumberFormat="1" applyFont="1" applyFill="1" applyBorder="1" applyAlignment="1" applyProtection="1">
      <alignment horizontal="left" vertical="center" wrapText="1" readingOrder="1"/>
    </xf>
    <xf numFmtId="4" fontId="22" fillId="0" borderId="129" xfId="0" applyNumberFormat="1" applyFont="1" applyFill="1" applyBorder="1" applyAlignment="1" applyProtection="1">
      <alignment horizontal="right" vertical="center" wrapText="1" readingOrder="1"/>
    </xf>
    <xf numFmtId="0" fontId="22" fillId="0" borderId="129" xfId="0" applyNumberFormat="1" applyFont="1" applyBorder="1" applyAlignment="1" applyProtection="1">
      <alignment horizontal="left" vertical="center" readingOrder="1"/>
    </xf>
    <xf numFmtId="4" fontId="22" fillId="2" borderId="129" xfId="0" applyNumberFormat="1" applyFont="1" applyFill="1" applyBorder="1" applyAlignment="1" applyProtection="1">
      <alignment horizontal="right" vertical="center" wrapText="1" readingOrder="1"/>
    </xf>
    <xf numFmtId="0" fontId="22" fillId="0" borderId="129" xfId="0" applyNumberFormat="1" applyFont="1" applyBorder="1" applyAlignment="1" applyProtection="1">
      <alignment horizontal="left" vertical="top" wrapText="1" readingOrder="1"/>
    </xf>
    <xf numFmtId="0" fontId="14" fillId="0" borderId="7" xfId="0" applyFont="1" applyBorder="1" applyAlignment="1" applyProtection="1">
      <alignment horizontal="left" vertical="top" wrapText="1"/>
    </xf>
    <xf numFmtId="0" fontId="6" fillId="0" borderId="8" xfId="0" applyFont="1" applyBorder="1" applyAlignment="1" applyProtection="1">
      <alignment horizontal="right" vertical="top" wrapText="1"/>
    </xf>
    <xf numFmtId="0" fontId="6" fillId="0" borderId="9" xfId="0" applyFont="1" applyBorder="1" applyAlignment="1" applyProtection="1">
      <alignment horizontal="right" vertical="top" wrapText="1"/>
    </xf>
    <xf numFmtId="0" fontId="6" fillId="0" borderId="9" xfId="0" applyFont="1" applyBorder="1" applyAlignment="1" applyProtection="1">
      <alignment horizontal="left" vertical="top" wrapText="1"/>
    </xf>
    <xf numFmtId="0" fontId="0" fillId="2" borderId="0" xfId="0" applyNumberFormat="1" applyFill="1">
      <alignment horizontal="left" wrapText="1"/>
    </xf>
    <xf numFmtId="4" fontId="22" fillId="0" borderId="60" xfId="0" applyNumberFormat="1" applyFont="1" applyFill="1" applyBorder="1" applyAlignment="1" applyProtection="1">
      <alignment horizontal="right" vertical="center" wrapText="1" readingOrder="1"/>
    </xf>
    <xf numFmtId="0" fontId="224" fillId="2" borderId="18" xfId="0" applyNumberFormat="1" applyFont="1" applyFill="1" applyBorder="1" applyProtection="1">
      <alignment horizontal="left" wrapText="1"/>
    </xf>
    <xf numFmtId="0" fontId="225" fillId="2" borderId="18" xfId="0" applyNumberFormat="1" applyFont="1" applyFill="1" applyBorder="1" applyAlignment="1" applyProtection="1">
      <alignment horizontal="right"/>
    </xf>
    <xf numFmtId="0" fontId="36" fillId="2" borderId="18" xfId="0" applyNumberFormat="1" applyFont="1" applyFill="1" applyBorder="1" applyAlignment="1" applyProtection="1">
      <alignment horizontal="left" vertical="center" readingOrder="1"/>
    </xf>
    <xf numFmtId="4" fontId="15" fillId="2" borderId="18" xfId="0" applyNumberFormat="1" applyFont="1" applyFill="1" applyBorder="1" applyAlignment="1" applyProtection="1">
      <alignment horizontal="right" vertical="center" readingOrder="1"/>
    </xf>
    <xf numFmtId="4" fontId="22" fillId="0" borderId="130" xfId="0" applyNumberFormat="1" applyFont="1" applyBorder="1" applyAlignment="1" applyProtection="1">
      <alignment horizontal="left" vertical="center" wrapText="1" readingOrder="1"/>
    </xf>
    <xf numFmtId="4" fontId="6" fillId="2" borderId="130" xfId="0" applyNumberFormat="1" applyFont="1" applyFill="1" applyBorder="1" applyAlignment="1" applyProtection="1">
      <alignment horizontal="right" vertical="center" readingOrder="1"/>
    </xf>
    <xf numFmtId="4" fontId="22" fillId="2" borderId="130" xfId="0" applyNumberFormat="1" applyFont="1" applyFill="1" applyBorder="1" applyAlignment="1" applyProtection="1">
      <alignment horizontal="right" vertical="center" wrapText="1" readingOrder="1"/>
    </xf>
    <xf numFmtId="0" fontId="20" fillId="2" borderId="18" xfId="0" applyFont="1" applyFill="1" applyBorder="1" applyAlignment="1" applyProtection="1">
      <alignment horizontal="left" vertical="center" wrapText="1"/>
    </xf>
    <xf numFmtId="0" fontId="20" fillId="2" borderId="3" xfId="0" applyFont="1" applyFill="1" applyBorder="1" applyAlignment="1" applyProtection="1">
      <alignment horizontal="left" vertical="center" wrapText="1"/>
    </xf>
    <xf numFmtId="0" fontId="10" fillId="2" borderId="18" xfId="0" applyFont="1" applyFill="1" applyBorder="1" applyAlignment="1" applyProtection="1">
      <alignment horizontal="center" vertical="center" wrapText="1"/>
    </xf>
    <xf numFmtId="0" fontId="10" fillId="2" borderId="18" xfId="0" applyFont="1" applyFill="1" applyBorder="1" applyAlignment="1" applyProtection="1">
      <alignment horizontal="right" vertical="top" wrapText="1"/>
    </xf>
    <xf numFmtId="0" fontId="10" fillId="2" borderId="18" xfId="0" applyFont="1" applyFill="1" applyBorder="1" applyAlignment="1" applyProtection="1">
      <alignment horizontal="right" vertical="top"/>
    </xf>
    <xf numFmtId="0" fontId="10" fillId="2" borderId="18" xfId="0" applyFont="1" applyFill="1" applyBorder="1" applyAlignment="1" applyProtection="1">
      <alignment horizontal="left" vertical="top"/>
    </xf>
    <xf numFmtId="0" fontId="22" fillId="2" borderId="18" xfId="0" applyFont="1" applyFill="1" applyBorder="1" applyAlignment="1" applyProtection="1">
      <alignment vertical="center"/>
    </xf>
    <xf numFmtId="0" fontId="11" fillId="2" borderId="18" xfId="0" applyFont="1" applyFill="1" applyBorder="1" applyAlignment="1" applyProtection="1">
      <alignment vertical="center"/>
    </xf>
    <xf numFmtId="9" fontId="22" fillId="2" borderId="122" xfId="8" applyFont="1" applyFill="1" applyBorder="1" applyAlignment="1" applyProtection="1">
      <alignment horizontal="right" vertical="center" wrapText="1" readingOrder="1"/>
    </xf>
    <xf numFmtId="49" fontId="22" fillId="0" borderId="18" xfId="7" applyNumberFormat="1" applyFont="1" applyBorder="1" applyAlignment="1" applyProtection="1">
      <alignment horizontal="left" vertical="center" readingOrder="1"/>
    </xf>
    <xf numFmtId="4" fontId="22" fillId="2" borderId="18" xfId="7" applyNumberFormat="1" applyFont="1" applyFill="1" applyBorder="1" applyAlignment="1" applyProtection="1">
      <alignment horizontal="right" vertical="center" wrapText="1" readingOrder="1"/>
    </xf>
    <xf numFmtId="49" fontId="22" fillId="0" borderId="131" xfId="0" applyNumberFormat="1" applyFont="1" applyBorder="1" applyAlignment="1" applyProtection="1">
      <alignment horizontal="left" vertical="center" readingOrder="1"/>
    </xf>
    <xf numFmtId="4" fontId="22" fillId="2" borderId="131" xfId="0" applyNumberFormat="1" applyFont="1" applyFill="1" applyBorder="1" applyAlignment="1" applyProtection="1">
      <alignment horizontal="right" vertical="center" wrapText="1" readingOrder="1"/>
    </xf>
    <xf numFmtId="49" fontId="22" fillId="2" borderId="122" xfId="7" applyNumberFormat="1" applyFont="1" applyFill="1" applyBorder="1" applyAlignment="1" applyProtection="1">
      <alignment horizontal="left" vertical="center" readingOrder="1"/>
    </xf>
    <xf numFmtId="0" fontId="6" fillId="0" borderId="0" xfId="0" applyFont="1" applyAlignment="1">
      <alignment horizontal="center" wrapText="1"/>
    </xf>
    <xf numFmtId="9" fontId="15" fillId="2" borderId="88" xfId="1" applyFont="1" applyFill="1" applyBorder="1" applyAlignment="1" applyProtection="1">
      <alignment horizontal="left" vertical="center" readingOrder="1"/>
    </xf>
    <xf numFmtId="0" fontId="6" fillId="2" borderId="0" xfId="0" applyFont="1" applyFill="1" applyAlignment="1">
      <alignment horizontal="center"/>
    </xf>
    <xf numFmtId="9" fontId="6" fillId="2" borderId="49" xfId="1" applyFont="1" applyFill="1" applyBorder="1" applyAlignment="1" applyProtection="1">
      <alignment horizontal="left" vertical="center" readingOrder="1"/>
    </xf>
    <xf numFmtId="9" fontId="6" fillId="2" borderId="18" xfId="1" applyFont="1" applyFill="1" applyBorder="1" applyAlignment="1" applyProtection="1">
      <alignment horizontal="left" readingOrder="1"/>
    </xf>
    <xf numFmtId="9" fontId="6" fillId="2" borderId="18" xfId="1" applyFont="1" applyFill="1" applyBorder="1" applyAlignment="1" applyProtection="1">
      <alignment horizontal="left" vertical="center" readingOrder="1"/>
    </xf>
    <xf numFmtId="0" fontId="112" fillId="0" borderId="0" xfId="0" applyFont="1" applyAlignment="1">
      <alignment horizontal="center"/>
    </xf>
    <xf numFmtId="0" fontId="112" fillId="0" borderId="0" xfId="0" applyFont="1" applyAlignment="1"/>
    <xf numFmtId="0" fontId="112" fillId="2" borderId="0" xfId="0" applyFont="1" applyFill="1" applyAlignment="1"/>
    <xf numFmtId="0" fontId="6" fillId="2" borderId="0" xfId="0" applyFont="1" applyFill="1" applyAlignment="1"/>
    <xf numFmtId="2" fontId="41" fillId="2" borderId="81" xfId="1" applyNumberFormat="1" applyFont="1" applyFill="1" applyBorder="1" applyAlignment="1" applyProtection="1">
      <alignment horizontal="center" vertical="center" readingOrder="1"/>
      <protection locked="0"/>
    </xf>
    <xf numFmtId="0" fontId="118" fillId="2" borderId="0" xfId="0" applyFont="1" applyFill="1" applyAlignment="1" applyProtection="1">
      <alignment horizontal="center" wrapText="1"/>
    </xf>
    <xf numFmtId="0" fontId="6" fillId="2" borderId="0" xfId="0" applyFont="1" applyFill="1" applyProtection="1">
      <alignment horizontal="left" wrapText="1"/>
    </xf>
    <xf numFmtId="9" fontId="6" fillId="2" borderId="81" xfId="1" applyFont="1" applyFill="1" applyBorder="1" applyAlignment="1" applyProtection="1">
      <alignment horizontal="center" wrapText="1"/>
    </xf>
    <xf numFmtId="0" fontId="6" fillId="2" borderId="81" xfId="0" applyFont="1" applyFill="1" applyBorder="1" applyProtection="1">
      <alignment horizontal="left" wrapText="1"/>
    </xf>
    <xf numFmtId="0" fontId="6" fillId="2" borderId="81" xfId="0" applyFont="1" applyFill="1" applyBorder="1" applyAlignment="1" applyProtection="1">
      <alignment horizontal="center" wrapText="1"/>
    </xf>
    <xf numFmtId="3" fontId="6" fillId="2" borderId="81" xfId="0" applyNumberFormat="1" applyFont="1" applyFill="1" applyBorder="1" applyAlignment="1" applyProtection="1">
      <alignment horizontal="right" wrapText="1"/>
    </xf>
    <xf numFmtId="10" fontId="6" fillId="2" borderId="81" xfId="1" applyNumberFormat="1" applyFont="1" applyFill="1" applyBorder="1" applyAlignment="1" applyProtection="1">
      <alignment horizontal="center" wrapText="1"/>
    </xf>
    <xf numFmtId="0" fontId="6" fillId="2" borderId="81" xfId="0" applyFont="1" applyFill="1" applyBorder="1" applyAlignment="1" applyProtection="1">
      <alignment horizontal="right" wrapText="1"/>
    </xf>
    <xf numFmtId="4" fontId="6" fillId="2" borderId="81" xfId="0" applyNumberFormat="1" applyFont="1" applyFill="1" applyBorder="1" applyAlignment="1" applyProtection="1">
      <alignment horizontal="center" wrapText="1"/>
    </xf>
    <xf numFmtId="2" fontId="15" fillId="2" borderId="81" xfId="0" applyNumberFormat="1" applyFont="1" applyFill="1" applyBorder="1" applyAlignment="1" applyProtection="1">
      <alignment horizontal="center" wrapText="1"/>
    </xf>
    <xf numFmtId="0" fontId="193" fillId="2" borderId="81" xfId="0" applyFont="1" applyFill="1" applyBorder="1" applyAlignment="1" applyProtection="1">
      <alignment horizontal="center" wrapText="1"/>
    </xf>
    <xf numFmtId="0" fontId="6" fillId="0" borderId="81" xfId="0" applyFont="1" applyBorder="1" applyProtection="1">
      <alignment horizontal="left" wrapText="1"/>
    </xf>
    <xf numFmtId="0" fontId="15" fillId="2" borderId="81" xfId="0" applyFont="1" applyFill="1" applyBorder="1" applyProtection="1">
      <alignment horizontal="left" wrapText="1"/>
    </xf>
    <xf numFmtId="2" fontId="6" fillId="2" borderId="81" xfId="0" applyNumberFormat="1" applyFont="1" applyFill="1" applyBorder="1" applyAlignment="1" applyProtection="1">
      <alignment horizontal="right" wrapText="1"/>
    </xf>
    <xf numFmtId="0" fontId="15" fillId="2" borderId="81" xfId="0" applyFont="1" applyFill="1" applyBorder="1" applyAlignment="1" applyProtection="1">
      <alignment horizontal="center" wrapText="1"/>
    </xf>
    <xf numFmtId="0" fontId="39" fillId="2" borderId="0" xfId="0" applyFont="1" applyFill="1" applyAlignment="1" applyProtection="1">
      <alignment horizontal="left" vertical="top"/>
    </xf>
    <xf numFmtId="0" fontId="6" fillId="2" borderId="0" xfId="0" applyFont="1" applyFill="1" applyAlignment="1" applyProtection="1">
      <alignment horizontal="center" wrapText="1"/>
    </xf>
    <xf numFmtId="0" fontId="6" fillId="2" borderId="18" xfId="0" applyFont="1" applyFill="1" applyBorder="1" applyAlignment="1" applyProtection="1">
      <alignment horizontal="center" wrapText="1"/>
    </xf>
    <xf numFmtId="0" fontId="6" fillId="2" borderId="18" xfId="0" applyFont="1" applyFill="1" applyBorder="1" applyProtection="1">
      <alignment horizontal="left" wrapText="1"/>
    </xf>
    <xf numFmtId="0" fontId="6" fillId="2" borderId="0" xfId="0" applyFont="1" applyFill="1" applyAlignment="1" applyProtection="1">
      <alignment horizontal="center" vertical="top" wrapText="1"/>
    </xf>
    <xf numFmtId="0" fontId="6" fillId="2" borderId="57" xfId="0" applyFont="1" applyFill="1" applyBorder="1" applyProtection="1">
      <alignment horizontal="left" wrapText="1"/>
    </xf>
    <xf numFmtId="0" fontId="15" fillId="2" borderId="57" xfId="0" applyFont="1" applyFill="1" applyBorder="1" applyProtection="1">
      <alignment horizontal="left" wrapText="1"/>
    </xf>
    <xf numFmtId="3" fontId="6" fillId="2" borderId="18" xfId="0" applyNumberFormat="1" applyFont="1" applyFill="1" applyBorder="1" applyAlignment="1" applyProtection="1">
      <alignment horizontal="right" wrapText="1"/>
    </xf>
    <xf numFmtId="0" fontId="6" fillId="2" borderId="0" xfId="0" applyFont="1" applyFill="1" applyAlignment="1" applyProtection="1">
      <alignment horizontal="right" wrapText="1"/>
    </xf>
    <xf numFmtId="3" fontId="15" fillId="2" borderId="49" xfId="0" applyNumberFormat="1" applyFont="1" applyFill="1" applyBorder="1" applyAlignment="1" applyProtection="1">
      <alignment horizontal="right" wrapText="1"/>
    </xf>
    <xf numFmtId="2" fontId="6" fillId="2" borderId="18" xfId="0" applyNumberFormat="1" applyFont="1" applyFill="1" applyBorder="1" applyAlignment="1" applyProtection="1">
      <alignment horizontal="right" wrapText="1"/>
    </xf>
    <xf numFmtId="0" fontId="6" fillId="14" borderId="0" xfId="0" applyFont="1" applyFill="1" applyProtection="1">
      <alignment horizontal="left" wrapText="1"/>
    </xf>
    <xf numFmtId="0" fontId="6" fillId="14" borderId="0" xfId="0" applyFont="1" applyFill="1" applyAlignment="1" applyProtection="1">
      <alignment horizontal="right" wrapText="1"/>
    </xf>
    <xf numFmtId="0" fontId="15" fillId="14" borderId="0" xfId="0" applyFont="1" applyFill="1" applyAlignment="1" applyProtection="1">
      <alignment horizontal="left"/>
    </xf>
    <xf numFmtId="0" fontId="6" fillId="0" borderId="0" xfId="0" applyFont="1" applyProtection="1">
      <alignment horizontal="left" wrapText="1"/>
    </xf>
    <xf numFmtId="0" fontId="15" fillId="2" borderId="18" xfId="0" applyFont="1" applyFill="1" applyBorder="1" applyAlignment="1" applyProtection="1">
      <alignment vertical="center"/>
    </xf>
    <xf numFmtId="0" fontId="15" fillId="2" borderId="18" xfId="0" applyFont="1" applyFill="1" applyBorder="1" applyAlignment="1" applyProtection="1">
      <alignment horizontal="center" vertical="center"/>
    </xf>
    <xf numFmtId="0" fontId="15" fillId="2" borderId="0" xfId="0" applyFont="1" applyFill="1" applyAlignment="1" applyProtection="1">
      <alignment horizontal="center"/>
    </xf>
    <xf numFmtId="0" fontId="6" fillId="2" borderId="81" xfId="0" applyFont="1" applyFill="1" applyBorder="1" applyAlignment="1" applyProtection="1"/>
    <xf numFmtId="0" fontId="6" fillId="2" borderId="81" xfId="0" applyFont="1" applyFill="1" applyBorder="1" applyAlignment="1" applyProtection="1">
      <alignment horizontal="center" vertical="center"/>
    </xf>
    <xf numFmtId="0" fontId="6" fillId="2" borderId="81" xfId="0" applyFont="1" applyFill="1" applyBorder="1" applyAlignment="1" applyProtection="1">
      <alignment horizontal="center"/>
    </xf>
    <xf numFmtId="0" fontId="41" fillId="2" borderId="81" xfId="0" applyFont="1" applyFill="1" applyBorder="1" applyAlignment="1" applyProtection="1">
      <alignment horizontal="center"/>
    </xf>
    <xf numFmtId="171" fontId="6" fillId="2" borderId="81" xfId="0" applyNumberFormat="1" applyFont="1" applyFill="1" applyBorder="1" applyAlignment="1" applyProtection="1">
      <alignment horizontal="center"/>
    </xf>
    <xf numFmtId="0" fontId="6" fillId="2" borderId="81" xfId="0" applyFont="1" applyFill="1" applyBorder="1" applyAlignment="1" applyProtection="1">
      <alignment vertical="center"/>
    </xf>
    <xf numFmtId="0" fontId="6" fillId="2" borderId="18" xfId="0" applyFont="1" applyFill="1" applyBorder="1" applyAlignment="1" applyProtection="1">
      <alignment vertical="center"/>
    </xf>
    <xf numFmtId="0" fontId="69" fillId="0" borderId="19" xfId="0" applyNumberFormat="1" applyFont="1" applyBorder="1" applyAlignment="1" applyProtection="1">
      <alignment horizontal="left" vertical="center" wrapText="1" readingOrder="1"/>
    </xf>
    <xf numFmtId="3" fontId="36" fillId="2" borderId="18" xfId="7" applyNumberFormat="1" applyFont="1" applyFill="1" applyBorder="1" applyAlignment="1" applyProtection="1">
      <alignment horizontal="center" vertical="center" wrapText="1" readingOrder="1"/>
    </xf>
    <xf numFmtId="0" fontId="112" fillId="2" borderId="0" xfId="0" applyFont="1" applyFill="1" applyAlignment="1">
      <alignment horizontal="center"/>
    </xf>
    <xf numFmtId="49" fontId="145" fillId="0" borderId="18" xfId="0" applyNumberFormat="1" applyFont="1" applyBorder="1" applyAlignment="1" applyProtection="1">
      <alignment vertical="center"/>
    </xf>
    <xf numFmtId="0" fontId="112" fillId="2" borderId="18" xfId="0" applyFont="1" applyFill="1" applyBorder="1" applyAlignment="1"/>
    <xf numFmtId="0" fontId="77" fillId="0" borderId="0" xfId="0" applyFont="1">
      <alignment horizontal="left" wrapText="1"/>
    </xf>
    <xf numFmtId="0" fontId="105" fillId="0" borderId="132" xfId="0" applyNumberFormat="1" applyFont="1" applyFill="1" applyBorder="1" applyAlignment="1">
      <alignment horizontal="center" vertical="center" wrapText="1"/>
    </xf>
    <xf numFmtId="0" fontId="63" fillId="0" borderId="18" xfId="0" applyNumberFormat="1" applyFont="1" applyFill="1" applyBorder="1" applyAlignment="1">
      <alignment horizontal="right" vertical="center"/>
    </xf>
    <xf numFmtId="4" fontId="22" fillId="0" borderId="133" xfId="0" applyNumberFormat="1" applyFont="1" applyBorder="1" applyAlignment="1" applyProtection="1">
      <alignment vertical="center" wrapText="1" readingOrder="1"/>
    </xf>
    <xf numFmtId="49" fontId="6" fillId="0" borderId="135" xfId="0" applyNumberFormat="1" applyFont="1" applyBorder="1" applyAlignment="1" applyProtection="1">
      <alignment horizontal="left" vertical="center"/>
    </xf>
    <xf numFmtId="49" fontId="22" fillId="0" borderId="102" xfId="0" applyNumberFormat="1" applyFont="1" applyBorder="1" applyAlignment="1" applyProtection="1">
      <alignment horizontal="left" vertical="center" indent="2" readingOrder="1"/>
    </xf>
    <xf numFmtId="9" fontId="134" fillId="0" borderId="102" xfId="0" applyNumberFormat="1" applyFont="1" applyFill="1" applyBorder="1" applyAlignment="1" applyProtection="1">
      <alignment horizontal="right" vertical="center" wrapText="1"/>
    </xf>
    <xf numFmtId="49" fontId="22" fillId="0" borderId="136" xfId="0" applyNumberFormat="1" applyFont="1" applyBorder="1" applyAlignment="1" applyProtection="1">
      <alignment horizontal="left" vertical="center" indent="2" readingOrder="1"/>
    </xf>
    <xf numFmtId="9" fontId="134" fillId="0" borderId="136" xfId="0" applyNumberFormat="1" applyFont="1" applyFill="1" applyBorder="1" applyAlignment="1" applyProtection="1">
      <alignment horizontal="right" vertical="center" wrapText="1"/>
    </xf>
    <xf numFmtId="0" fontId="6" fillId="0" borderId="17" xfId="0" applyNumberFormat="1" applyFont="1" applyBorder="1" applyAlignment="1" applyProtection="1">
      <alignment horizontal="left" vertical="center" wrapText="1"/>
    </xf>
    <xf numFmtId="0" fontId="44" fillId="2" borderId="0" xfId="0" applyFont="1" applyFill="1" applyAlignment="1">
      <alignment horizontal="right" wrapText="1"/>
    </xf>
    <xf numFmtId="0" fontId="44" fillId="2" borderId="0" xfId="0" applyFont="1" applyFill="1" applyAlignment="1">
      <alignment horizontal="center" wrapText="1"/>
    </xf>
    <xf numFmtId="0" fontId="44" fillId="0" borderId="131" xfId="0" applyFont="1" applyBorder="1" applyAlignment="1">
      <alignment horizontal="right" wrapText="1"/>
    </xf>
    <xf numFmtId="1" fontId="44" fillId="0" borderId="131" xfId="0" applyNumberFormat="1" applyFont="1" applyBorder="1" applyAlignment="1">
      <alignment horizontal="center" wrapText="1"/>
    </xf>
    <xf numFmtId="2" fontId="44" fillId="0" borderId="55" xfId="0" applyNumberFormat="1" applyFont="1" applyBorder="1" applyAlignment="1">
      <alignment horizontal="center"/>
    </xf>
    <xf numFmtId="0" fontId="86" fillId="3" borderId="55" xfId="0" applyFont="1" applyFill="1" applyBorder="1" applyAlignment="1">
      <alignment horizontal="center" vertical="center" wrapText="1"/>
    </xf>
    <xf numFmtId="4" fontId="86" fillId="3" borderId="55" xfId="0" applyNumberFormat="1" applyFont="1" applyFill="1" applyBorder="1" applyAlignment="1">
      <alignment horizontal="center" vertical="center" wrapText="1"/>
    </xf>
    <xf numFmtId="4" fontId="44" fillId="0" borderId="55" xfId="0" applyNumberFormat="1" applyFont="1" applyBorder="1" applyAlignment="1">
      <alignment horizontal="center"/>
    </xf>
    <xf numFmtId="2" fontId="44" fillId="2" borderId="18" xfId="0" applyNumberFormat="1" applyFont="1" applyFill="1" applyBorder="1" applyAlignment="1">
      <alignment horizontal="center"/>
    </xf>
    <xf numFmtId="4" fontId="44" fillId="2" borderId="18" xfId="0" applyNumberFormat="1" applyFont="1" applyFill="1" applyBorder="1" applyAlignment="1">
      <alignment horizontal="center"/>
    </xf>
    <xf numFmtId="1" fontId="44" fillId="2" borderId="18" xfId="0" applyNumberFormat="1" applyFont="1" applyFill="1" applyBorder="1" applyAlignment="1">
      <alignment horizontal="center"/>
    </xf>
    <xf numFmtId="2" fontId="44" fillId="0" borderId="131" xfId="0" applyNumberFormat="1" applyFont="1" applyBorder="1" applyAlignment="1">
      <alignment horizontal="center"/>
    </xf>
    <xf numFmtId="4" fontId="44" fillId="0" borderId="131" xfId="0" applyNumberFormat="1" applyFont="1" applyBorder="1" applyAlignment="1">
      <alignment horizontal="center"/>
    </xf>
    <xf numFmtId="1" fontId="44" fillId="0" borderId="131" xfId="0" applyNumberFormat="1" applyFont="1" applyBorder="1" applyAlignment="1">
      <alignment horizontal="center"/>
    </xf>
    <xf numFmtId="2" fontId="227" fillId="2" borderId="18" xfId="0" applyNumberFormat="1" applyFont="1" applyFill="1" applyBorder="1" applyAlignment="1">
      <alignment horizontal="left"/>
    </xf>
    <xf numFmtId="2" fontId="127" fillId="2" borderId="131" xfId="0" applyNumberFormat="1" applyFont="1" applyFill="1" applyBorder="1" applyAlignment="1">
      <alignment horizontal="center"/>
    </xf>
    <xf numFmtId="2" fontId="127" fillId="0" borderId="131" xfId="0" applyNumberFormat="1" applyFont="1" applyBorder="1" applyAlignment="1">
      <alignment horizontal="center"/>
    </xf>
    <xf numFmtId="1" fontId="127" fillId="2" borderId="131" xfId="0" applyNumberFormat="1" applyFont="1" applyFill="1" applyBorder="1" applyAlignment="1">
      <alignment horizontal="center"/>
    </xf>
    <xf numFmtId="2" fontId="44" fillId="6" borderId="55" xfId="0" applyNumberFormat="1" applyFont="1" applyFill="1" applyBorder="1" applyAlignment="1">
      <alignment horizontal="center"/>
    </xf>
    <xf numFmtId="4" fontId="44" fillId="6" borderId="55" xfId="0" applyNumberFormat="1" applyFont="1" applyFill="1" applyBorder="1" applyAlignment="1">
      <alignment horizontal="center"/>
    </xf>
    <xf numFmtId="1" fontId="44" fillId="6" borderId="55" xfId="0" applyNumberFormat="1" applyFont="1" applyFill="1" applyBorder="1" applyAlignment="1">
      <alignment horizontal="center"/>
    </xf>
    <xf numFmtId="2" fontId="188" fillId="2" borderId="131" xfId="0" applyNumberFormat="1" applyFont="1" applyFill="1" applyBorder="1" applyAlignment="1">
      <alignment horizontal="center"/>
    </xf>
    <xf numFmtId="4" fontId="86" fillId="0" borderId="131" xfId="0" applyNumberFormat="1" applyFont="1" applyBorder="1" applyAlignment="1">
      <alignment horizontal="center"/>
    </xf>
    <xf numFmtId="2" fontId="188" fillId="0" borderId="131" xfId="0" applyNumberFormat="1" applyFont="1" applyBorder="1" applyAlignment="1">
      <alignment horizontal="center"/>
    </xf>
    <xf numFmtId="0" fontId="77" fillId="2" borderId="0" xfId="0" applyFont="1" applyFill="1" applyAlignment="1"/>
    <xf numFmtId="4" fontId="127" fillId="15" borderId="131" xfId="0" applyNumberFormat="1" applyFont="1" applyFill="1" applyBorder="1" applyAlignment="1">
      <alignment horizontal="center"/>
    </xf>
    <xf numFmtId="169" fontId="127" fillId="6" borderId="55" xfId="0" applyNumberFormat="1" applyFont="1" applyFill="1" applyBorder="1" applyAlignment="1">
      <alignment horizontal="center"/>
    </xf>
    <xf numFmtId="1" fontId="127" fillId="6" borderId="55" xfId="0" applyNumberFormat="1" applyFont="1" applyFill="1" applyBorder="1" applyAlignment="1">
      <alignment horizontal="center"/>
    </xf>
    <xf numFmtId="2" fontId="228" fillId="2" borderId="131" xfId="0" applyNumberFormat="1" applyFont="1" applyFill="1" applyBorder="1" applyAlignment="1">
      <alignment horizontal="center"/>
    </xf>
    <xf numFmtId="2" fontId="228" fillId="0" borderId="131" xfId="0" applyNumberFormat="1" applyFont="1" applyBorder="1" applyAlignment="1">
      <alignment horizontal="center"/>
    </xf>
    <xf numFmtId="4" fontId="228" fillId="2" borderId="131" xfId="0" applyNumberFormat="1" applyFont="1" applyFill="1" applyBorder="1" applyAlignment="1">
      <alignment horizontal="center"/>
    </xf>
    <xf numFmtId="1" fontId="228" fillId="2" borderId="131" xfId="0" applyNumberFormat="1" applyFont="1" applyFill="1" applyBorder="1" applyAlignment="1">
      <alignment horizontal="center"/>
    </xf>
    <xf numFmtId="4" fontId="15" fillId="0" borderId="18" xfId="2" applyNumberFormat="1" applyFont="1" applyFill="1" applyBorder="1" applyAlignment="1" applyProtection="1">
      <alignment vertical="center"/>
    </xf>
    <xf numFmtId="2" fontId="47" fillId="0" borderId="122" xfId="0" applyNumberFormat="1" applyFont="1" applyBorder="1" applyAlignment="1">
      <alignment horizontal="right" vertical="center"/>
    </xf>
    <xf numFmtId="2" fontId="36" fillId="0" borderId="25" xfId="0" applyNumberFormat="1" applyFont="1" applyBorder="1" applyAlignment="1" applyProtection="1">
      <alignment horizontal="right" vertical="center"/>
    </xf>
    <xf numFmtId="0" fontId="138" fillId="3" borderId="55" xfId="0" applyFont="1" applyFill="1" applyBorder="1" applyAlignment="1">
      <alignment horizontal="left" vertical="top" wrapText="1"/>
    </xf>
    <xf numFmtId="0" fontId="96" fillId="3" borderId="55" xfId="0" applyFont="1" applyFill="1" applyBorder="1" applyAlignment="1">
      <alignment horizontal="left" vertical="top" wrapText="1"/>
    </xf>
    <xf numFmtId="0" fontId="131" fillId="3" borderId="24" xfId="0" applyFont="1" applyFill="1" applyBorder="1" applyAlignment="1">
      <alignment vertical="top" wrapText="1"/>
    </xf>
    <xf numFmtId="0" fontId="229" fillId="2" borderId="0" xfId="0" applyFont="1" applyFill="1" applyAlignment="1"/>
    <xf numFmtId="4" fontId="22" fillId="0" borderId="22" xfId="0" applyNumberFormat="1" applyFont="1" applyBorder="1" applyAlignment="1" applyProtection="1">
      <alignment vertical="center" readingOrder="1"/>
    </xf>
    <xf numFmtId="43" fontId="41" fillId="0" borderId="139" xfId="2" applyFont="1" applyFill="1" applyBorder="1" applyAlignment="1" applyProtection="1">
      <alignment horizontal="right" vertical="center"/>
      <protection locked="0"/>
    </xf>
    <xf numFmtId="49" fontId="22" fillId="0" borderId="104" xfId="0" applyNumberFormat="1" applyFont="1" applyBorder="1" applyAlignment="1" applyProtection="1">
      <alignment horizontal="right" vertical="center" readingOrder="1"/>
    </xf>
    <xf numFmtId="4" fontId="41" fillId="0" borderId="140" xfId="0" applyNumberFormat="1" applyFont="1" applyBorder="1" applyAlignment="1" applyProtection="1">
      <alignment vertical="center" wrapText="1" readingOrder="1"/>
      <protection locked="0"/>
    </xf>
    <xf numFmtId="49" fontId="104" fillId="0" borderId="18" xfId="0" applyNumberFormat="1" applyFont="1" applyFill="1" applyBorder="1" applyAlignment="1" applyProtection="1">
      <alignment horizontal="left" vertical="top"/>
    </xf>
    <xf numFmtId="3" fontId="89" fillId="0" borderId="18" xfId="0" applyNumberFormat="1" applyFont="1" applyFill="1" applyBorder="1" applyAlignment="1" applyProtection="1">
      <alignment horizontal="right" vertical="top" wrapText="1"/>
    </xf>
    <xf numFmtId="49" fontId="89" fillId="0" borderId="18" xfId="0" applyNumberFormat="1" applyFont="1" applyFill="1" applyBorder="1" applyAlignment="1" applyProtection="1">
      <alignment horizontal="left" vertical="top"/>
    </xf>
    <xf numFmtId="0" fontId="105" fillId="0" borderId="18" xfId="0" applyFont="1" applyFill="1" applyBorder="1" applyAlignment="1">
      <alignment horizontal="left" vertical="top" wrapText="1"/>
    </xf>
    <xf numFmtId="9" fontId="104" fillId="0" borderId="18" xfId="0" applyNumberFormat="1" applyFont="1" applyFill="1" applyBorder="1" applyAlignment="1" applyProtection="1">
      <alignment horizontal="right" vertical="top" wrapText="1"/>
    </xf>
    <xf numFmtId="4" fontId="22" fillId="0" borderId="105" xfId="0" applyNumberFormat="1" applyFont="1" applyFill="1" applyBorder="1" applyAlignment="1" applyProtection="1">
      <alignment vertical="center" wrapText="1" readingOrder="1"/>
    </xf>
    <xf numFmtId="4" fontId="22" fillId="2" borderId="141" xfId="0" applyNumberFormat="1" applyFont="1" applyFill="1" applyBorder="1" applyAlignment="1" applyProtection="1">
      <alignment horizontal="right" vertical="center" wrapText="1" readingOrder="1"/>
    </xf>
    <xf numFmtId="0" fontId="22" fillId="0" borderId="141" xfId="0" applyNumberFormat="1" applyFont="1" applyBorder="1" applyAlignment="1" applyProtection="1">
      <alignment horizontal="left" vertical="top" wrapText="1" readingOrder="1"/>
    </xf>
    <xf numFmtId="49" fontId="66" fillId="0" borderId="141" xfId="0" applyNumberFormat="1" applyFont="1" applyBorder="1" applyAlignment="1">
      <alignment horizontal="left" vertical="center" readingOrder="1"/>
    </xf>
    <xf numFmtId="49" fontId="22" fillId="2" borderId="69" xfId="0" applyNumberFormat="1" applyFont="1" applyFill="1" applyBorder="1" applyAlignment="1" applyProtection="1">
      <alignment horizontal="left" vertical="center" wrapText="1" readingOrder="1"/>
    </xf>
    <xf numFmtId="0" fontId="0" fillId="0" borderId="0" xfId="0" applyNumberFormat="1" applyFill="1" applyAlignment="1" applyProtection="1">
      <alignment horizontal="left" vertical="top" wrapText="1"/>
    </xf>
    <xf numFmtId="0" fontId="14" fillId="0" borderId="18" xfId="0" applyFont="1" applyFill="1" applyBorder="1" applyAlignment="1" applyProtection="1">
      <alignment horizontal="left" vertical="top" wrapText="1"/>
    </xf>
    <xf numFmtId="0" fontId="0" fillId="0" borderId="18" xfId="0" applyFill="1" applyBorder="1" applyAlignment="1" applyProtection="1">
      <alignment horizontal="left" vertical="top" wrapText="1"/>
    </xf>
    <xf numFmtId="0" fontId="0" fillId="0" borderId="18" xfId="0" applyFill="1" applyBorder="1" applyAlignment="1" applyProtection="1">
      <alignment horizontal="left" vertical="top" wrapText="1"/>
      <protection locked="0"/>
    </xf>
    <xf numFmtId="49" fontId="6" fillId="0" borderId="18" xfId="0" applyNumberFormat="1" applyFont="1" applyFill="1" applyBorder="1" applyAlignment="1" applyProtection="1">
      <alignment horizontal="left" vertical="top" wrapText="1" readingOrder="1"/>
    </xf>
    <xf numFmtId="43" fontId="23" fillId="0" borderId="0" xfId="2" applyFont="1" applyFill="1" applyAlignment="1" applyProtection="1">
      <alignment horizontal="right" vertical="top"/>
    </xf>
    <xf numFmtId="49" fontId="29" fillId="0" borderId="18" xfId="0" applyNumberFormat="1" applyFont="1" applyFill="1" applyBorder="1" applyAlignment="1" applyProtection="1">
      <alignment horizontal="left" vertical="top" wrapText="1" readingOrder="1"/>
    </xf>
    <xf numFmtId="0" fontId="0" fillId="0" borderId="136" xfId="0" applyNumberFormat="1" applyBorder="1" applyProtection="1">
      <alignment horizontal="left" wrapText="1"/>
    </xf>
    <xf numFmtId="0" fontId="0" fillId="0" borderId="138" xfId="0" applyNumberFormat="1" applyBorder="1" applyProtection="1">
      <alignment horizontal="left" wrapText="1"/>
    </xf>
    <xf numFmtId="49" fontId="59" fillId="0" borderId="138" xfId="0" applyNumberFormat="1" applyFont="1" applyBorder="1" applyAlignment="1" applyProtection="1">
      <alignment horizontal="left" vertical="top" readingOrder="1"/>
    </xf>
    <xf numFmtId="9" fontId="134" fillId="0" borderId="18" xfId="0" applyNumberFormat="1" applyFont="1" applyFill="1" applyBorder="1" applyAlignment="1" applyProtection="1">
      <alignment horizontal="right" vertical="center" wrapText="1"/>
    </xf>
    <xf numFmtId="3" fontId="22" fillId="0" borderId="18" xfId="0" applyNumberFormat="1" applyFont="1" applyFill="1" applyBorder="1" applyAlignment="1" applyProtection="1">
      <alignment horizontal="right" vertical="center"/>
    </xf>
    <xf numFmtId="2" fontId="36" fillId="0" borderId="18" xfId="0" applyNumberFormat="1" applyFont="1" applyFill="1" applyBorder="1" applyAlignment="1" applyProtection="1">
      <alignment horizontal="right" vertical="center"/>
    </xf>
    <xf numFmtId="43" fontId="63" fillId="0" borderId="18" xfId="2" applyFont="1" applyFill="1" applyBorder="1" applyAlignment="1" applyProtection="1">
      <alignment vertical="center" wrapText="1" readingOrder="1"/>
    </xf>
    <xf numFmtId="4" fontId="22" fillId="0" borderId="133" xfId="0" applyNumberFormat="1" applyFont="1" applyBorder="1" applyAlignment="1" applyProtection="1">
      <alignment vertical="center" readingOrder="1"/>
    </xf>
    <xf numFmtId="49" fontId="22" fillId="0" borderId="138" xfId="0" applyNumberFormat="1" applyFont="1" applyFill="1" applyBorder="1" applyAlignment="1" applyProtection="1">
      <alignment horizontal="left" vertical="top" indent="2" readingOrder="1"/>
    </xf>
    <xf numFmtId="2" fontId="63" fillId="0" borderId="138" xfId="0" applyNumberFormat="1" applyFont="1" applyFill="1" applyBorder="1" applyAlignment="1" applyProtection="1">
      <alignment horizontal="right" vertical="top"/>
    </xf>
    <xf numFmtId="49" fontId="6" fillId="0" borderId="99" xfId="0" applyNumberFormat="1" applyFont="1" applyBorder="1" applyAlignment="1" applyProtection="1">
      <alignment horizontal="left" vertical="center"/>
    </xf>
    <xf numFmtId="4" fontId="36" fillId="0" borderId="18" xfId="2" applyNumberFormat="1" applyFont="1" applyFill="1" applyBorder="1" applyAlignment="1" applyProtection="1">
      <alignment horizontal="right" vertical="center" wrapText="1"/>
    </xf>
    <xf numFmtId="4" fontId="6" fillId="0" borderId="18" xfId="0" applyNumberFormat="1" applyFont="1" applyFill="1" applyBorder="1" applyAlignment="1" applyProtection="1">
      <alignment horizontal="left" vertical="center" wrapText="1"/>
    </xf>
    <xf numFmtId="4" fontId="6" fillId="0" borderId="18" xfId="2" applyNumberFormat="1" applyFont="1" applyFill="1" applyBorder="1" applyAlignment="1" applyProtection="1">
      <alignment horizontal="left" vertical="center" wrapText="1"/>
    </xf>
    <xf numFmtId="4" fontId="6" fillId="0" borderId="18" xfId="2" applyNumberFormat="1" applyFont="1" applyFill="1" applyBorder="1" applyAlignment="1" applyProtection="1">
      <alignment horizontal="right" vertical="center"/>
    </xf>
    <xf numFmtId="4" fontId="15" fillId="0" borderId="18" xfId="2" applyNumberFormat="1" applyFont="1" applyFill="1" applyBorder="1" applyAlignment="1" applyProtection="1">
      <alignment horizontal="left" vertical="center"/>
    </xf>
    <xf numFmtId="4" fontId="15" fillId="0" borderId="18" xfId="2" applyNumberFormat="1" applyFont="1" applyFill="1" applyBorder="1" applyAlignment="1" applyProtection="1">
      <alignment horizontal="right" vertical="center"/>
    </xf>
    <xf numFmtId="4" fontId="22" fillId="0" borderId="18" xfId="2" applyNumberFormat="1" applyFont="1" applyFill="1" applyBorder="1" applyAlignment="1" applyProtection="1">
      <alignment horizontal="left" vertical="center" wrapText="1"/>
    </xf>
    <xf numFmtId="2" fontId="36" fillId="0" borderId="18" xfId="0" applyNumberFormat="1" applyFont="1" applyFill="1" applyBorder="1" applyAlignment="1" applyProtection="1">
      <alignment horizontal="right" vertical="center" wrapText="1"/>
    </xf>
    <xf numFmtId="49" fontId="6" fillId="0" borderId="18" xfId="0" applyNumberFormat="1" applyFont="1" applyFill="1" applyBorder="1" applyAlignment="1" applyProtection="1">
      <alignment horizontal="left" vertical="center" wrapText="1"/>
    </xf>
    <xf numFmtId="4" fontId="36" fillId="0" borderId="18" xfId="0" applyNumberFormat="1" applyFont="1" applyFill="1" applyBorder="1" applyAlignment="1" applyProtection="1">
      <alignment horizontal="right" vertical="center" wrapText="1"/>
    </xf>
    <xf numFmtId="49" fontId="6" fillId="0" borderId="18" xfId="0" applyNumberFormat="1" applyFont="1" applyFill="1" applyBorder="1" applyAlignment="1" applyProtection="1">
      <alignment horizontal="left" vertical="center"/>
    </xf>
    <xf numFmtId="2" fontId="47" fillId="0" borderId="18" xfId="0" applyNumberFormat="1" applyFont="1" applyFill="1" applyBorder="1" applyAlignment="1">
      <alignment horizontal="right" vertical="center" wrapText="1"/>
    </xf>
    <xf numFmtId="49" fontId="66" fillId="0" borderId="18" xfId="0" applyNumberFormat="1" applyFont="1" applyFill="1" applyBorder="1" applyAlignment="1">
      <alignment horizontal="left" vertical="center" wrapText="1"/>
    </xf>
    <xf numFmtId="49" fontId="22" fillId="0" borderId="18" xfId="0" applyNumberFormat="1" applyFont="1" applyFill="1" applyBorder="1" applyAlignment="1" applyProtection="1">
      <alignment horizontal="right" vertical="top" readingOrder="1"/>
    </xf>
    <xf numFmtId="2" fontId="63" fillId="0" borderId="18" xfId="0" applyNumberFormat="1" applyFont="1" applyFill="1" applyBorder="1" applyAlignment="1" applyProtection="1">
      <alignment horizontal="left" vertical="top"/>
    </xf>
    <xf numFmtId="0" fontId="0" fillId="0" borderId="18" xfId="0" applyNumberFormat="1" applyFill="1" applyBorder="1" applyProtection="1">
      <alignment horizontal="left" wrapText="1"/>
    </xf>
    <xf numFmtId="0" fontId="6" fillId="0" borderId="18" xfId="0" applyFont="1" applyFill="1" applyBorder="1">
      <alignment horizontal="left" wrapText="1"/>
    </xf>
    <xf numFmtId="49" fontId="134" fillId="0" borderId="18" xfId="0" applyNumberFormat="1" applyFont="1" applyFill="1" applyBorder="1" applyAlignment="1" applyProtection="1">
      <alignment horizontal="left" vertical="center"/>
    </xf>
    <xf numFmtId="49" fontId="201" fillId="0" borderId="18" xfId="0" applyNumberFormat="1" applyFont="1" applyFill="1" applyBorder="1" applyAlignment="1">
      <alignment horizontal="left" vertical="center" wrapText="1" readingOrder="1"/>
    </xf>
    <xf numFmtId="49" fontId="201" fillId="0" borderId="18" xfId="0" applyNumberFormat="1" applyFont="1" applyFill="1" applyBorder="1" applyAlignment="1" applyProtection="1">
      <alignment horizontal="right" vertical="center" wrapText="1" readingOrder="1"/>
    </xf>
    <xf numFmtId="49" fontId="6" fillId="0" borderId="18" xfId="0" applyNumberFormat="1" applyFont="1" applyFill="1" applyBorder="1" applyAlignment="1" applyProtection="1">
      <alignment horizontal="left" vertical="center" indent="2"/>
    </xf>
    <xf numFmtId="4" fontId="41" fillId="0" borderId="18" xfId="0" applyNumberFormat="1" applyFont="1" applyFill="1" applyBorder="1" applyAlignment="1" applyProtection="1">
      <alignment horizontal="right" vertical="center" wrapText="1"/>
      <protection locked="0"/>
    </xf>
    <xf numFmtId="4" fontId="22" fillId="0" borderId="18" xfId="0" applyNumberFormat="1" applyFont="1" applyFill="1" applyBorder="1" applyAlignment="1" applyProtection="1">
      <alignment horizontal="right" vertical="center" wrapText="1"/>
    </xf>
    <xf numFmtId="4" fontId="6" fillId="0" borderId="18" xfId="0" applyNumberFormat="1" applyFont="1" applyFill="1" applyBorder="1" applyAlignment="1" applyProtection="1">
      <alignment horizontal="left" vertical="center"/>
    </xf>
    <xf numFmtId="4" fontId="41" fillId="0" borderId="18" xfId="2" applyNumberFormat="1" applyFont="1" applyFill="1" applyBorder="1" applyAlignment="1" applyProtection="1">
      <alignment horizontal="right" vertical="center" wrapText="1"/>
      <protection locked="0"/>
    </xf>
    <xf numFmtId="4" fontId="8" fillId="0" borderId="18" xfId="0" applyNumberFormat="1" applyFont="1" applyFill="1" applyBorder="1" applyAlignment="1" applyProtection="1">
      <alignment horizontal="right" vertical="center" wrapText="1"/>
      <protection locked="0"/>
    </xf>
    <xf numFmtId="4" fontId="22" fillId="0" borderId="18" xfId="2" applyNumberFormat="1" applyFont="1" applyFill="1" applyBorder="1" applyAlignment="1" applyProtection="1">
      <alignment horizontal="right" vertical="center" wrapText="1"/>
    </xf>
    <xf numFmtId="4" fontId="8" fillId="0" borderId="18" xfId="0" applyNumberFormat="1" applyFont="1" applyFill="1" applyBorder="1" applyAlignment="1" applyProtection="1">
      <alignment horizontal="left" vertical="center" wrapText="1"/>
    </xf>
    <xf numFmtId="4" fontId="0" fillId="0" borderId="18" xfId="0" applyNumberFormat="1" applyFill="1" applyBorder="1" applyProtection="1">
      <alignment horizontal="left" wrapText="1"/>
    </xf>
    <xf numFmtId="4" fontId="15" fillId="0" borderId="18" xfId="0" applyNumberFormat="1" applyFont="1" applyFill="1" applyBorder="1" applyAlignment="1" applyProtection="1">
      <alignment horizontal="left" vertical="center" wrapText="1"/>
    </xf>
    <xf numFmtId="4" fontId="15" fillId="0" borderId="18" xfId="0" applyNumberFormat="1" applyFont="1" applyFill="1" applyBorder="1" applyAlignment="1" applyProtection="1">
      <alignment horizontal="right" vertical="center" wrapText="1"/>
    </xf>
    <xf numFmtId="169" fontId="41" fillId="0" borderId="18" xfId="0" applyNumberFormat="1" applyFont="1" applyFill="1" applyBorder="1" applyAlignment="1" applyProtection="1">
      <alignment horizontal="right" vertical="center" wrapText="1"/>
      <protection locked="0"/>
    </xf>
    <xf numFmtId="9" fontId="14" fillId="0" borderId="18" xfId="0" applyNumberFormat="1" applyFont="1" applyFill="1" applyBorder="1" applyAlignment="1" applyProtection="1">
      <alignment horizontal="right" vertical="center" wrapText="1"/>
    </xf>
    <xf numFmtId="49" fontId="17" fillId="0" borderId="18" xfId="0" applyNumberFormat="1" applyFont="1" applyFill="1" applyBorder="1" applyAlignment="1" applyProtection="1">
      <alignment horizontal="center" vertical="center"/>
    </xf>
    <xf numFmtId="49" fontId="22" fillId="0" borderId="18" xfId="0" applyNumberFormat="1" applyFont="1" applyFill="1" applyBorder="1" applyAlignment="1" applyProtection="1">
      <alignment horizontal="left" vertical="center" indent="2" readingOrder="1"/>
    </xf>
    <xf numFmtId="49" fontId="22" fillId="0" borderId="18" xfId="0" applyNumberFormat="1" applyFont="1" applyFill="1" applyBorder="1" applyAlignment="1" applyProtection="1">
      <alignment horizontal="left" vertical="center" wrapText="1" indent="2" readingOrder="1"/>
    </xf>
    <xf numFmtId="0" fontId="41" fillId="0" borderId="18" xfId="0" applyNumberFormat="1" applyFont="1" applyFill="1" applyBorder="1" applyAlignment="1" applyProtection="1">
      <alignment horizontal="right" vertical="center" wrapText="1"/>
      <protection locked="0"/>
    </xf>
    <xf numFmtId="9" fontId="46" fillId="0" borderId="18" xfId="0" applyNumberFormat="1" applyFont="1" applyFill="1" applyBorder="1" applyAlignment="1" applyProtection="1">
      <alignment vertical="center" readingOrder="1"/>
      <protection locked="0"/>
    </xf>
    <xf numFmtId="49" fontId="6" fillId="0" borderId="18" xfId="0" applyNumberFormat="1" applyFont="1" applyFill="1" applyBorder="1" applyAlignment="1" applyProtection="1">
      <alignment horizontal="left" vertical="center" indent="2" readingOrder="1"/>
    </xf>
    <xf numFmtId="2" fontId="46" fillId="0" borderId="18" xfId="0" applyNumberFormat="1" applyFont="1" applyFill="1" applyBorder="1" applyAlignment="1" applyProtection="1">
      <alignment horizontal="right" vertical="center" wrapText="1" readingOrder="1"/>
      <protection locked="0"/>
    </xf>
    <xf numFmtId="0" fontId="15" fillId="0" borderId="18" xfId="0" applyFont="1" applyFill="1" applyBorder="1">
      <alignment horizontal="left" wrapText="1"/>
    </xf>
    <xf numFmtId="49" fontId="22" fillId="0" borderId="18" xfId="0" applyNumberFormat="1" applyFont="1" applyFill="1" applyBorder="1" applyAlignment="1" applyProtection="1">
      <alignment horizontal="left" vertical="center" readingOrder="1"/>
    </xf>
    <xf numFmtId="4" fontId="6" fillId="0" borderId="18" xfId="0" applyNumberFormat="1" applyFont="1" applyFill="1" applyBorder="1" applyAlignment="1">
      <alignment horizontal="right" wrapText="1"/>
    </xf>
    <xf numFmtId="4" fontId="22" fillId="0" borderId="18" xfId="0" applyNumberFormat="1" applyFont="1" applyFill="1" applyBorder="1" applyAlignment="1" applyProtection="1">
      <alignment vertical="center" wrapText="1" readingOrder="1"/>
    </xf>
    <xf numFmtId="4" fontId="36" fillId="0" borderId="18" xfId="0" applyNumberFormat="1" applyFont="1" applyFill="1" applyBorder="1" applyAlignment="1" applyProtection="1">
      <alignment vertical="center" wrapText="1" readingOrder="1"/>
    </xf>
    <xf numFmtId="4" fontId="41" fillId="0" borderId="18" xfId="0" applyNumberFormat="1" applyFont="1" applyFill="1" applyBorder="1" applyAlignment="1" applyProtection="1">
      <alignment vertical="center" wrapText="1" readingOrder="1"/>
      <protection locked="0"/>
    </xf>
    <xf numFmtId="49" fontId="6" fillId="0" borderId="18" xfId="0" applyNumberFormat="1" applyFont="1" applyFill="1" applyBorder="1" applyAlignment="1" applyProtection="1">
      <alignment horizontal="left" vertical="center" readingOrder="1"/>
    </xf>
    <xf numFmtId="0" fontId="44" fillId="0" borderId="18" xfId="0" applyNumberFormat="1" applyFont="1" applyFill="1" applyBorder="1" applyProtection="1">
      <alignment horizontal="left" wrapText="1"/>
    </xf>
    <xf numFmtId="43" fontId="6" fillId="0" borderId="18" xfId="0" applyNumberFormat="1" applyFont="1" applyFill="1" applyBorder="1" applyAlignment="1" applyProtection="1">
      <alignment horizontal="right" vertical="center" wrapText="1"/>
    </xf>
    <xf numFmtId="4" fontId="22" fillId="0" borderId="18" xfId="0" applyNumberFormat="1" applyFont="1" applyFill="1" applyBorder="1" applyAlignment="1" applyProtection="1">
      <alignment vertical="center" readingOrder="1"/>
    </xf>
    <xf numFmtId="0" fontId="0" fillId="0" borderId="18" xfId="0" applyNumberFormat="1" applyFill="1" applyBorder="1" applyAlignment="1" applyProtection="1">
      <alignment horizontal="left"/>
    </xf>
    <xf numFmtId="0" fontId="0" fillId="0" borderId="18" xfId="0" applyNumberFormat="1" applyFill="1" applyBorder="1" applyAlignment="1" applyProtection="1">
      <alignment horizontal="left" vertical="center" wrapText="1"/>
    </xf>
    <xf numFmtId="2" fontId="15" fillId="0" borderId="18" xfId="0" applyNumberFormat="1" applyFont="1" applyFill="1" applyBorder="1" applyAlignment="1" applyProtection="1">
      <alignment horizontal="right" vertical="center" readingOrder="1"/>
    </xf>
    <xf numFmtId="49" fontId="22" fillId="0" borderId="18" xfId="0" applyNumberFormat="1" applyFont="1" applyFill="1" applyBorder="1" applyAlignment="1" applyProtection="1">
      <alignment horizontal="left" vertical="center" wrapText="1" readingOrder="1"/>
    </xf>
    <xf numFmtId="9" fontId="6" fillId="0" borderId="18" xfId="0" applyNumberFormat="1" applyFont="1" applyFill="1" applyBorder="1" applyAlignment="1" applyProtection="1">
      <alignment vertical="center" wrapText="1" readingOrder="1"/>
    </xf>
    <xf numFmtId="49" fontId="22" fillId="0" borderId="18" xfId="0" applyNumberFormat="1" applyFont="1" applyFill="1" applyBorder="1" applyAlignment="1" applyProtection="1">
      <alignment horizontal="right" vertical="center" readingOrder="1"/>
    </xf>
    <xf numFmtId="43" fontId="6" fillId="0" borderId="18" xfId="2" applyFont="1" applyFill="1" applyBorder="1" applyAlignment="1" applyProtection="1">
      <alignment horizontal="right" vertical="center" readingOrder="1"/>
    </xf>
    <xf numFmtId="4" fontId="6" fillId="0" borderId="18" xfId="2" applyNumberFormat="1" applyFont="1" applyFill="1" applyBorder="1" applyAlignment="1" applyProtection="1">
      <alignment horizontal="right" vertical="center" readingOrder="1"/>
    </xf>
    <xf numFmtId="49" fontId="6" fillId="0" borderId="18" xfId="0" applyNumberFormat="1" applyFont="1" applyFill="1" applyBorder="1" applyAlignment="1" applyProtection="1">
      <alignment horizontal="right" vertical="top"/>
    </xf>
    <xf numFmtId="49" fontId="59" fillId="0" borderId="18" xfId="0" applyNumberFormat="1" applyFont="1" applyFill="1" applyBorder="1" applyAlignment="1" applyProtection="1">
      <alignment horizontal="right" vertical="top" readingOrder="1"/>
    </xf>
    <xf numFmtId="2" fontId="63" fillId="0" borderId="18" xfId="2" applyNumberFormat="1" applyFont="1" applyFill="1" applyBorder="1" applyAlignment="1" applyProtection="1">
      <alignment horizontal="left" vertical="top" wrapText="1" readingOrder="1"/>
    </xf>
    <xf numFmtId="49" fontId="104" fillId="10" borderId="109" xfId="0" applyNumberFormat="1" applyFont="1" applyFill="1" applyBorder="1" applyAlignment="1" applyProtection="1">
      <alignment horizontal="right" vertical="center"/>
    </xf>
    <xf numFmtId="2" fontId="6" fillId="0" borderId="22" xfId="2" applyNumberFormat="1" applyFont="1" applyBorder="1" applyAlignment="1" applyProtection="1">
      <alignment horizontal="right" vertical="center" readingOrder="1"/>
    </xf>
    <xf numFmtId="2" fontId="46" fillId="0" borderId="133" xfId="0" applyNumberFormat="1" applyFont="1" applyBorder="1" applyAlignment="1" applyProtection="1">
      <alignment horizontal="center" vertical="center" wrapText="1" readingOrder="1"/>
      <protection locked="0"/>
    </xf>
    <xf numFmtId="2" fontId="46" fillId="0" borderId="100" xfId="0" applyNumberFormat="1" applyFont="1" applyBorder="1" applyAlignment="1" applyProtection="1">
      <alignment horizontal="center" vertical="center" wrapText="1" readingOrder="1"/>
      <protection locked="0"/>
    </xf>
    <xf numFmtId="167" fontId="41" fillId="0" borderId="100" xfId="0" applyNumberFormat="1" applyFont="1" applyBorder="1" applyAlignment="1" applyProtection="1">
      <alignment horizontal="center" vertical="center" wrapText="1" readingOrder="1"/>
      <protection locked="0"/>
    </xf>
    <xf numFmtId="4" fontId="36" fillId="0" borderId="127" xfId="0" applyNumberFormat="1" applyFont="1" applyBorder="1" applyAlignment="1" applyProtection="1">
      <alignment vertical="center" wrapText="1" readingOrder="1"/>
    </xf>
    <xf numFmtId="0" fontId="41" fillId="0" borderId="89" xfId="0" applyFont="1" applyBorder="1" applyAlignment="1" applyProtection="1">
      <alignment horizontal="left" vertical="center"/>
      <protection locked="0"/>
    </xf>
    <xf numFmtId="0" fontId="36" fillId="0" borderId="89" xfId="0" applyFont="1" applyBorder="1" applyAlignment="1" applyProtection="1">
      <alignment horizontal="left" vertical="center"/>
    </xf>
    <xf numFmtId="0" fontId="8" fillId="0" borderId="121" xfId="0" applyNumberFormat="1" applyFont="1" applyBorder="1" applyAlignment="1">
      <alignment horizontal="center" vertical="center" wrapText="1"/>
    </xf>
    <xf numFmtId="0" fontId="10" fillId="11" borderId="111" xfId="0" applyFont="1" applyFill="1" applyBorder="1" applyAlignment="1">
      <alignment horizontal="center" wrapText="1"/>
    </xf>
    <xf numFmtId="0" fontId="156" fillId="11" borderId="111" xfId="0" applyFont="1" applyFill="1" applyBorder="1" applyAlignment="1">
      <alignment horizontal="center" wrapText="1"/>
    </xf>
    <xf numFmtId="0" fontId="10" fillId="11" borderId="111" xfId="0" applyFont="1" applyFill="1" applyBorder="1">
      <alignment horizontal="left" wrapText="1"/>
    </xf>
    <xf numFmtId="0" fontId="0" fillId="11" borderId="111" xfId="0" applyNumberFormat="1" applyFill="1" applyBorder="1">
      <alignment horizontal="left" wrapText="1"/>
    </xf>
    <xf numFmtId="0" fontId="8" fillId="11" borderId="143" xfId="0" applyNumberFormat="1" applyFont="1" applyFill="1" applyBorder="1" applyAlignment="1">
      <alignment horizontal="center" vertical="center" wrapText="1"/>
    </xf>
    <xf numFmtId="0" fontId="6" fillId="11" borderId="111" xfId="0" applyFont="1" applyFill="1" applyBorder="1" applyAlignment="1">
      <alignment horizontal="left" vertical="center" wrapText="1"/>
    </xf>
    <xf numFmtId="0" fontId="90" fillId="0" borderId="136" xfId="0" applyFont="1" applyFill="1" applyBorder="1" applyAlignment="1" applyProtection="1">
      <alignment horizontal="left" vertical="center" wrapText="1"/>
    </xf>
    <xf numFmtId="0" fontId="0" fillId="0" borderId="18" xfId="0" applyFill="1" applyBorder="1" applyAlignment="1" applyProtection="1">
      <alignment horizontal="left" vertical="center" wrapText="1"/>
    </xf>
    <xf numFmtId="0" fontId="23" fillId="0" borderId="0" xfId="0" applyNumberFormat="1" applyFont="1" applyFill="1" applyAlignment="1" applyProtection="1">
      <alignment horizontal="right" vertical="center"/>
    </xf>
    <xf numFmtId="0" fontId="25" fillId="0" borderId="18" xfId="0" applyFont="1" applyFill="1" applyBorder="1" applyAlignment="1" applyProtection="1">
      <alignment horizontal="left" vertical="center" wrapText="1"/>
    </xf>
    <xf numFmtId="0" fontId="137" fillId="0" borderId="136" xfId="0" applyFont="1" applyFill="1" applyBorder="1" applyAlignment="1" applyProtection="1">
      <alignment horizontal="left" vertical="center" wrapText="1"/>
    </xf>
    <xf numFmtId="0" fontId="0" fillId="0" borderId="138" xfId="0" applyNumberFormat="1" applyBorder="1" applyAlignment="1" applyProtection="1">
      <alignment horizontal="left" vertical="center" wrapText="1"/>
    </xf>
    <xf numFmtId="0" fontId="36" fillId="0" borderId="80" xfId="0" applyNumberFormat="1" applyFont="1" applyBorder="1" applyAlignment="1" applyProtection="1">
      <alignment horizontal="right" vertical="center"/>
    </xf>
    <xf numFmtId="0" fontId="22" fillId="0" borderId="86" xfId="0" applyNumberFormat="1" applyFont="1" applyFill="1" applyBorder="1" applyAlignment="1" applyProtection="1">
      <alignment horizontal="left" vertical="center" readingOrder="1"/>
    </xf>
    <xf numFmtId="0" fontId="22" fillId="0" borderId="21" xfId="0" applyNumberFormat="1" applyFont="1" applyFill="1" applyBorder="1" applyAlignment="1" applyProtection="1">
      <alignment horizontal="left" vertical="center" wrapText="1" readingOrder="1"/>
    </xf>
    <xf numFmtId="1" fontId="22" fillId="0" borderId="21" xfId="0" applyNumberFormat="1" applyFont="1" applyFill="1" applyBorder="1" applyAlignment="1" applyProtection="1">
      <alignment horizontal="left" vertical="center" wrapText="1" readingOrder="1"/>
    </xf>
    <xf numFmtId="0" fontId="22" fillId="0" borderId="22" xfId="0" applyNumberFormat="1" applyFont="1" applyFill="1" applyBorder="1" applyAlignment="1" applyProtection="1">
      <alignment horizontal="left" vertical="center" wrapText="1" readingOrder="1"/>
    </xf>
    <xf numFmtId="0" fontId="22" fillId="2" borderId="22" xfId="0" applyNumberFormat="1" applyFont="1" applyFill="1" applyBorder="1" applyAlignment="1" applyProtection="1">
      <alignment horizontal="left" vertical="center" wrapText="1" readingOrder="1"/>
    </xf>
    <xf numFmtId="0" fontId="41" fillId="0" borderId="80" xfId="0" applyFont="1" applyBorder="1" applyAlignment="1" applyProtection="1">
      <alignment horizontal="left" vertical="center" wrapText="1"/>
      <protection locked="0"/>
    </xf>
    <xf numFmtId="0" fontId="36" fillId="0" borderId="99" xfId="0" applyFont="1" applyBorder="1" applyAlignment="1" applyProtection="1">
      <alignment vertical="center"/>
    </xf>
    <xf numFmtId="0" fontId="36" fillId="0" borderId="80" xfId="0" applyFont="1" applyBorder="1" applyAlignment="1" applyProtection="1">
      <alignment horizontal="left" vertical="center" wrapText="1"/>
    </xf>
    <xf numFmtId="49" fontId="6" fillId="0" borderId="135" xfId="0" applyNumberFormat="1" applyFont="1" applyBorder="1" applyAlignment="1" applyProtection="1">
      <alignment horizontal="left" vertical="center" wrapText="1"/>
    </xf>
    <xf numFmtId="0" fontId="44" fillId="0" borderId="136" xfId="0" applyNumberFormat="1" applyFont="1" applyBorder="1" applyProtection="1">
      <alignment horizontal="left" wrapText="1"/>
    </xf>
    <xf numFmtId="1" fontId="22" fillId="2" borderId="21" xfId="0" applyNumberFormat="1" applyFont="1" applyFill="1" applyBorder="1" applyAlignment="1" applyProtection="1">
      <alignment horizontal="left" vertical="center" wrapText="1" readingOrder="1"/>
    </xf>
    <xf numFmtId="0" fontId="0" fillId="0" borderId="144" xfId="0" applyNumberFormat="1" applyBorder="1" applyProtection="1">
      <alignment horizontal="left" wrapText="1"/>
    </xf>
    <xf numFmtId="0" fontId="0" fillId="0" borderId="122" xfId="0" applyNumberFormat="1" applyBorder="1" applyProtection="1">
      <alignment horizontal="left" wrapText="1"/>
    </xf>
    <xf numFmtId="0" fontId="0" fillId="0" borderId="136" xfId="0" applyNumberFormat="1" applyFill="1" applyBorder="1" applyProtection="1">
      <alignment horizontal="left" wrapText="1"/>
    </xf>
    <xf numFmtId="49" fontId="36" fillId="0" borderId="86" xfId="3" applyNumberFormat="1" applyFont="1" applyBorder="1" applyAlignment="1" applyProtection="1">
      <alignment horizontal="left" vertical="center" readingOrder="1"/>
    </xf>
    <xf numFmtId="0" fontId="0" fillId="0" borderId="142" xfId="0" applyNumberFormat="1" applyBorder="1" applyProtection="1">
      <alignment horizontal="left" wrapText="1"/>
    </xf>
    <xf numFmtId="0" fontId="15" fillId="0" borderId="18" xfId="0" applyNumberFormat="1" applyFont="1" applyBorder="1" applyAlignment="1" applyProtection="1">
      <alignment horizontal="left" vertical="top" indent="2"/>
    </xf>
    <xf numFmtId="0" fontId="22" fillId="2" borderId="86" xfId="0" applyNumberFormat="1" applyFont="1" applyFill="1" applyBorder="1" applyAlignment="1" applyProtection="1">
      <alignment horizontal="left" vertical="center" readingOrder="1"/>
    </xf>
    <xf numFmtId="0" fontId="22" fillId="2" borderId="21" xfId="0" applyNumberFormat="1" applyFont="1" applyFill="1" applyBorder="1" applyAlignment="1" applyProtection="1">
      <alignment horizontal="left" vertical="center" wrapText="1" readingOrder="1"/>
    </xf>
    <xf numFmtId="49" fontId="22" fillId="0" borderId="107" xfId="0" applyNumberFormat="1" applyFont="1" applyBorder="1" applyAlignment="1" applyProtection="1">
      <alignment horizontal="left" vertical="center" wrapText="1" indent="2" readingOrder="1"/>
    </xf>
    <xf numFmtId="4" fontId="36" fillId="0" borderId="107" xfId="0" applyNumberFormat="1" applyFont="1" applyBorder="1" applyAlignment="1" applyProtection="1">
      <alignment vertical="center" wrapText="1" readingOrder="1"/>
    </xf>
    <xf numFmtId="4" fontId="158" fillId="0" borderId="107" xfId="0" applyNumberFormat="1" applyFont="1" applyBorder="1" applyAlignment="1" applyProtection="1">
      <alignment vertical="center" readingOrder="1"/>
    </xf>
    <xf numFmtId="4" fontId="22" fillId="0" borderId="107" xfId="0" applyNumberFormat="1" applyFont="1" applyBorder="1" applyAlignment="1" applyProtection="1">
      <alignment vertical="center" wrapText="1" readingOrder="1"/>
    </xf>
    <xf numFmtId="49" fontId="6" fillId="0" borderId="87" xfId="0" applyNumberFormat="1" applyFont="1" applyBorder="1" applyAlignment="1" applyProtection="1">
      <alignment horizontal="left" vertical="center" indent="2" readingOrder="1"/>
    </xf>
    <xf numFmtId="2" fontId="15" fillId="0" borderId="81" xfId="0" applyNumberFormat="1" applyFont="1" applyBorder="1" applyAlignment="1" applyProtection="1">
      <alignment horizontal="center" vertical="center" wrapText="1"/>
    </xf>
    <xf numFmtId="0" fontId="15" fillId="0" borderId="18" xfId="0" applyFont="1" applyBorder="1" applyAlignment="1">
      <alignment horizontal="center" vertical="center"/>
    </xf>
    <xf numFmtId="4" fontId="41" fillId="0" borderId="81" xfId="2" applyNumberFormat="1" applyFont="1" applyBorder="1" applyAlignment="1" applyProtection="1">
      <alignment horizontal="center" vertical="center" wrapText="1" readingOrder="1"/>
      <protection locked="0"/>
    </xf>
    <xf numFmtId="2" fontId="22" fillId="0" borderId="101" xfId="0" applyNumberFormat="1" applyFont="1" applyBorder="1" applyAlignment="1" applyProtection="1">
      <alignment horizontal="left" vertical="center" readingOrder="1"/>
    </xf>
    <xf numFmtId="0" fontId="36" fillId="0" borderId="29" xfId="0" applyFont="1" applyBorder="1" applyAlignment="1" applyProtection="1">
      <alignment horizontal="left" vertical="center"/>
    </xf>
    <xf numFmtId="9" fontId="36" fillId="0" borderId="81" xfId="1" applyFont="1" applyBorder="1" applyAlignment="1" applyProtection="1">
      <alignment horizontal="center" vertical="center" readingOrder="1"/>
    </xf>
    <xf numFmtId="49" fontId="14" fillId="0" borderId="18" xfId="0" applyNumberFormat="1" applyFont="1" applyBorder="1" applyAlignment="1" applyProtection="1">
      <alignment horizontal="left" vertical="top" wrapText="1" indent="2" readingOrder="1"/>
    </xf>
    <xf numFmtId="0" fontId="44" fillId="0" borderId="122" xfId="0" applyNumberFormat="1" applyFont="1" applyFill="1" applyBorder="1" applyProtection="1">
      <alignment horizontal="left" wrapText="1"/>
    </xf>
    <xf numFmtId="167" fontId="207" fillId="0" borderId="138" xfId="0" applyNumberFormat="1" applyFont="1" applyBorder="1" applyAlignment="1" applyProtection="1">
      <alignment horizontal="center" vertical="center" wrapText="1" readingOrder="1"/>
    </xf>
    <xf numFmtId="2" fontId="22" fillId="0" borderId="142" xfId="0" applyNumberFormat="1" applyFont="1" applyBorder="1" applyAlignment="1" applyProtection="1">
      <alignment horizontal="right" vertical="center" wrapText="1" readingOrder="1"/>
    </xf>
    <xf numFmtId="4" fontId="22" fillId="0" borderId="142" xfId="2" applyNumberFormat="1" applyFont="1" applyBorder="1" applyAlignment="1" applyProtection="1">
      <alignment vertical="center" wrapText="1" readingOrder="1"/>
    </xf>
    <xf numFmtId="49" fontId="6" fillId="0" borderId="138" xfId="0" applyNumberFormat="1" applyFont="1" applyBorder="1" applyAlignment="1" applyProtection="1">
      <alignment horizontal="left" vertical="center" readingOrder="1"/>
    </xf>
    <xf numFmtId="49" fontId="22" fillId="0" borderId="146" xfId="0" applyNumberFormat="1" applyFont="1" applyBorder="1" applyAlignment="1" applyProtection="1">
      <alignment horizontal="left" vertical="center" indent="2" readingOrder="1"/>
    </xf>
    <xf numFmtId="0" fontId="41" fillId="0" borderId="146" xfId="0" applyFont="1" applyBorder="1" applyAlignment="1" applyProtection="1">
      <alignment horizontal="right" vertical="center"/>
      <protection locked="0"/>
    </xf>
    <xf numFmtId="49" fontId="6" fillId="0" borderId="146" xfId="0" applyNumberFormat="1" applyFont="1" applyBorder="1" applyAlignment="1" applyProtection="1">
      <alignment horizontal="left" vertical="center" readingOrder="1"/>
    </xf>
    <xf numFmtId="0" fontId="41" fillId="0" borderId="49" xfId="0" applyFont="1" applyBorder="1" applyAlignment="1" applyProtection="1">
      <alignment horizontal="center" vertical="center"/>
      <protection locked="0"/>
    </xf>
    <xf numFmtId="4" fontId="22" fillId="0" borderId="49" xfId="2" applyNumberFormat="1" applyFont="1" applyBorder="1" applyAlignment="1" applyProtection="1">
      <alignment vertical="center" wrapText="1" readingOrder="1"/>
    </xf>
    <xf numFmtId="4" fontId="36" fillId="0" borderId="49" xfId="2" applyNumberFormat="1" applyFont="1" applyBorder="1" applyAlignment="1" applyProtection="1">
      <alignment vertical="center" wrapText="1" readingOrder="1"/>
    </xf>
    <xf numFmtId="0" fontId="0" fillId="0" borderId="146" xfId="0" applyNumberFormat="1" applyBorder="1" applyProtection="1">
      <alignment horizontal="left" wrapText="1"/>
    </xf>
    <xf numFmtId="0" fontId="6" fillId="0" borderId="29" xfId="0" applyNumberFormat="1" applyFont="1" applyBorder="1" applyAlignment="1" applyProtection="1">
      <alignment horizontal="left" vertical="center"/>
    </xf>
    <xf numFmtId="9" fontId="22" fillId="0" borderId="87" xfId="1" applyFont="1" applyFill="1" applyBorder="1" applyAlignment="1" applyProtection="1">
      <alignment horizontal="center" vertical="center" wrapText="1" readingOrder="1"/>
    </xf>
    <xf numFmtId="49" fontId="6" fillId="0" borderId="87" xfId="0" applyNumberFormat="1" applyFont="1" applyFill="1" applyBorder="1" applyAlignment="1" applyProtection="1">
      <alignment horizontal="left" vertical="center" readingOrder="1"/>
    </xf>
    <xf numFmtId="0" fontId="44" fillId="0" borderId="122" xfId="0" applyNumberFormat="1" applyFont="1" applyFill="1" applyBorder="1" applyAlignment="1" applyProtection="1">
      <alignment horizontal="left" vertical="top" wrapText="1"/>
    </xf>
    <xf numFmtId="0" fontId="0" fillId="0" borderId="122" xfId="0" applyNumberFormat="1" applyBorder="1" applyAlignment="1" applyProtection="1">
      <alignment horizontal="left" vertical="top" wrapText="1"/>
    </xf>
    <xf numFmtId="167" fontId="36" fillId="0" borderId="122" xfId="0" applyNumberFormat="1" applyFont="1" applyFill="1" applyBorder="1" applyAlignment="1" applyProtection="1">
      <alignment horizontal="center" vertical="top" wrapText="1" readingOrder="1"/>
    </xf>
    <xf numFmtId="4" fontId="36" fillId="0" borderId="133" xfId="2" applyNumberFormat="1" applyFont="1" applyBorder="1" applyAlignment="1" applyProtection="1">
      <alignment vertical="top" wrapText="1" readingOrder="1"/>
    </xf>
    <xf numFmtId="0" fontId="208" fillId="0" borderId="122" xfId="0" applyNumberFormat="1" applyFont="1" applyFill="1" applyBorder="1" applyAlignment="1" applyProtection="1">
      <alignment horizontal="left" vertical="top" wrapText="1"/>
    </xf>
    <xf numFmtId="4" fontId="36" fillId="0" borderId="133" xfId="2" applyNumberFormat="1" applyFont="1" applyBorder="1" applyAlignment="1" applyProtection="1">
      <alignment vertical="top" readingOrder="1"/>
    </xf>
    <xf numFmtId="49" fontId="6" fillId="0" borderId="102" xfId="0" applyNumberFormat="1" applyFont="1" applyBorder="1" applyAlignment="1" applyProtection="1">
      <alignment horizontal="left" vertical="center" readingOrder="1"/>
    </xf>
    <xf numFmtId="49" fontId="36" fillId="0" borderId="122" xfId="0" applyNumberFormat="1" applyFont="1" applyFill="1" applyBorder="1" applyAlignment="1" applyProtection="1">
      <alignment horizontal="left" vertical="top" indent="2" readingOrder="1"/>
    </xf>
    <xf numFmtId="9" fontId="15" fillId="0" borderId="145" xfId="0" applyNumberFormat="1" applyFont="1" applyBorder="1" applyAlignment="1" applyProtection="1">
      <alignment horizontal="center" vertical="top" wrapText="1"/>
    </xf>
    <xf numFmtId="2" fontId="22" fillId="0" borderId="122" xfId="0" applyNumberFormat="1" applyFont="1" applyFill="1" applyBorder="1" applyAlignment="1" applyProtection="1">
      <alignment horizontal="right" vertical="top" readingOrder="1"/>
    </xf>
    <xf numFmtId="49" fontId="6" fillId="0" borderId="99" xfId="0" applyNumberFormat="1" applyFont="1" applyBorder="1" applyAlignment="1" applyProtection="1">
      <alignment horizontal="left" vertical="center" indent="2" readingOrder="1"/>
    </xf>
    <xf numFmtId="4" fontId="207" fillId="0" borderId="99" xfId="0" applyNumberFormat="1" applyFont="1" applyBorder="1" applyAlignment="1" applyProtection="1">
      <alignment vertical="center" wrapText="1" readingOrder="1"/>
    </xf>
    <xf numFmtId="49" fontId="6" fillId="0" borderId="99" xfId="0" applyNumberFormat="1" applyFont="1" applyBorder="1" applyAlignment="1" applyProtection="1">
      <alignment horizontal="left" vertical="center" readingOrder="1"/>
    </xf>
    <xf numFmtId="167" fontId="207" fillId="0" borderId="99" xfId="0" applyNumberFormat="1" applyFont="1" applyBorder="1" applyAlignment="1" applyProtection="1">
      <alignment horizontal="center" vertical="center" wrapText="1" readingOrder="1"/>
    </xf>
    <xf numFmtId="0" fontId="36" fillId="0" borderId="146" xfId="0" applyFont="1" applyBorder="1" applyAlignment="1" applyProtection="1">
      <alignment horizontal="center" vertical="center"/>
    </xf>
    <xf numFmtId="4" fontId="22" fillId="0" borderId="146" xfId="2" applyNumberFormat="1" applyFont="1" applyBorder="1" applyAlignment="1" applyProtection="1">
      <alignment vertical="center" wrapText="1" readingOrder="1"/>
    </xf>
    <xf numFmtId="167" fontId="36" fillId="0" borderId="134" xfId="0" applyNumberFormat="1" applyFont="1" applyFill="1" applyBorder="1" applyAlignment="1" applyProtection="1">
      <alignment horizontal="center" vertical="top" wrapText="1" readingOrder="1"/>
    </xf>
    <xf numFmtId="49" fontId="22" fillId="0" borderId="134" xfId="0" applyNumberFormat="1" applyFont="1" applyFill="1" applyBorder="1" applyAlignment="1" applyProtection="1">
      <alignment horizontal="left" vertical="top" readingOrder="1"/>
    </xf>
    <xf numFmtId="0" fontId="0" fillId="0" borderId="145" xfId="0" applyNumberFormat="1" applyBorder="1" applyAlignment="1" applyProtection="1">
      <alignment horizontal="left" vertical="top" wrapText="1"/>
    </xf>
    <xf numFmtId="0" fontId="36" fillId="0" borderId="146" xfId="0" applyFont="1" applyBorder="1" applyAlignment="1" applyProtection="1">
      <alignment horizontal="right" vertical="center"/>
    </xf>
    <xf numFmtId="0" fontId="63" fillId="0" borderId="60" xfId="0" applyNumberFormat="1" applyFont="1" applyFill="1" applyBorder="1" applyAlignment="1">
      <alignment horizontal="right" vertical="top"/>
    </xf>
    <xf numFmtId="49" fontId="6" fillId="0" borderId="122" xfId="0" applyNumberFormat="1" applyFont="1" applyFill="1" applyBorder="1" applyAlignment="1" applyProtection="1">
      <alignment horizontal="center" vertical="center" readingOrder="1"/>
    </xf>
    <xf numFmtId="2" fontId="22" fillId="0" borderId="21" xfId="0" applyNumberFormat="1" applyFont="1" applyBorder="1" applyAlignment="1" applyProtection="1">
      <alignment horizontal="left" vertical="center" readingOrder="1"/>
      <protection locked="0"/>
    </xf>
    <xf numFmtId="2" fontId="46" fillId="0" borderId="21" xfId="0" applyNumberFormat="1" applyFont="1" applyBorder="1" applyAlignment="1" applyProtection="1">
      <alignment horizontal="center" vertical="center" wrapText="1" readingOrder="1"/>
      <protection locked="0"/>
    </xf>
    <xf numFmtId="0" fontId="44" fillId="0" borderId="148" xfId="0" applyNumberFormat="1" applyFont="1" applyBorder="1" applyProtection="1">
      <alignment horizontal="left" wrapText="1"/>
    </xf>
    <xf numFmtId="49" fontId="22" fillId="0" borderId="148" xfId="0" applyNumberFormat="1" applyFont="1" applyBorder="1" applyAlignment="1" applyProtection="1">
      <alignment horizontal="right" vertical="center" readingOrder="1"/>
    </xf>
    <xf numFmtId="4" fontId="22" fillId="0" borderId="149" xfId="0" applyNumberFormat="1" applyFont="1" applyBorder="1" applyAlignment="1" applyProtection="1">
      <alignment vertical="center" wrapText="1" readingOrder="1"/>
    </xf>
    <xf numFmtId="10" fontId="6" fillId="0" borderId="149" xfId="1" applyNumberFormat="1" applyFont="1" applyBorder="1" applyAlignment="1" applyProtection="1">
      <alignment horizontal="left" vertical="center" readingOrder="1"/>
    </xf>
    <xf numFmtId="10" fontId="6" fillId="0" borderId="150" xfId="1" applyNumberFormat="1" applyFont="1" applyBorder="1" applyAlignment="1" applyProtection="1">
      <alignment horizontal="left" vertical="center" readingOrder="1"/>
    </xf>
    <xf numFmtId="49" fontId="22" fillId="0" borderId="104" xfId="0" applyNumberFormat="1" applyFont="1" applyBorder="1" applyAlignment="1" applyProtection="1">
      <alignment horizontal="left" vertical="center" indent="2" readingOrder="1"/>
    </xf>
    <xf numFmtId="0" fontId="41" fillId="0" borderId="148" xfId="0" applyNumberFormat="1" applyFont="1" applyBorder="1" applyAlignment="1" applyProtection="1">
      <alignment horizontal="right" vertical="center"/>
      <protection locked="0"/>
    </xf>
    <xf numFmtId="0" fontId="41" fillId="0" borderId="104" xfId="0" applyNumberFormat="1" applyFont="1" applyBorder="1" applyAlignment="1" applyProtection="1">
      <alignment horizontal="left" vertical="center"/>
      <protection locked="0"/>
    </xf>
    <xf numFmtId="0" fontId="44" fillId="0" borderId="149" xfId="0" applyNumberFormat="1" applyFont="1" applyBorder="1" applyProtection="1">
      <alignment horizontal="left" wrapText="1"/>
    </xf>
    <xf numFmtId="0" fontId="0" fillId="0" borderId="149" xfId="0" applyNumberFormat="1" applyBorder="1" applyProtection="1">
      <alignment horizontal="left" wrapText="1"/>
    </xf>
    <xf numFmtId="49" fontId="22" fillId="0" borderId="149" xfId="0" applyNumberFormat="1" applyFont="1" applyBorder="1" applyAlignment="1" applyProtection="1">
      <alignment horizontal="right" vertical="center" readingOrder="1"/>
    </xf>
    <xf numFmtId="0" fontId="8" fillId="0" borderId="147" xfId="0" applyNumberFormat="1" applyFont="1" applyBorder="1" applyAlignment="1">
      <alignment horizontal="center" vertical="center" wrapText="1"/>
    </xf>
    <xf numFmtId="10" fontId="6" fillId="0" borderId="148" xfId="1" applyNumberFormat="1" applyFont="1" applyBorder="1" applyAlignment="1" applyProtection="1">
      <alignment horizontal="left" vertical="center" readingOrder="1"/>
    </xf>
    <xf numFmtId="9" fontId="6" fillId="0" borderId="150" xfId="0" applyNumberFormat="1" applyFont="1" applyBorder="1" applyAlignment="1" applyProtection="1">
      <alignment vertical="center" wrapText="1" readingOrder="1"/>
    </xf>
    <xf numFmtId="49" fontId="22" fillId="2" borderId="18" xfId="0" applyNumberFormat="1" applyFont="1" applyFill="1" applyBorder="1" applyAlignment="1" applyProtection="1">
      <alignment horizontal="left" vertical="top"/>
    </xf>
    <xf numFmtId="2" fontId="14" fillId="0" borderId="18" xfId="0" applyNumberFormat="1" applyFont="1" applyBorder="1" applyAlignment="1">
      <alignment horizontal="center" vertical="top" wrapText="1"/>
    </xf>
    <xf numFmtId="2" fontId="190" fillId="0" borderId="18" xfId="0" applyNumberFormat="1" applyFont="1" applyBorder="1" applyAlignment="1">
      <alignment horizontal="center" vertical="top" wrapText="1"/>
    </xf>
    <xf numFmtId="0" fontId="14" fillId="0" borderId="18" xfId="0" applyFont="1" applyBorder="1" applyAlignment="1">
      <alignment horizontal="left" vertical="top" wrapText="1"/>
    </xf>
    <xf numFmtId="0" fontId="0" fillId="0" borderId="18" xfId="0" applyNumberFormat="1" applyBorder="1" applyAlignment="1">
      <alignment horizontal="left" vertical="top" wrapText="1"/>
    </xf>
    <xf numFmtId="0" fontId="8" fillId="0" borderId="117" xfId="0" applyNumberFormat="1" applyFont="1" applyBorder="1" applyAlignment="1">
      <alignment horizontal="center" vertical="top" wrapText="1"/>
    </xf>
    <xf numFmtId="0" fontId="6" fillId="0" borderId="18" xfId="0" applyFont="1" applyBorder="1" applyAlignment="1">
      <alignment horizontal="left" vertical="top" wrapText="1"/>
    </xf>
    <xf numFmtId="0" fontId="0" fillId="0" borderId="0" xfId="0" applyNumberFormat="1" applyAlignment="1">
      <alignment horizontal="left" vertical="top" wrapText="1"/>
    </xf>
    <xf numFmtId="0" fontId="6" fillId="0" borderId="104" xfId="0" applyNumberFormat="1" applyFont="1" applyBorder="1" applyAlignment="1" applyProtection="1">
      <alignment horizontal="right" vertical="center" indent="1"/>
    </xf>
    <xf numFmtId="3" fontId="36" fillId="0" borderId="104" xfId="2" applyNumberFormat="1" applyFont="1" applyFill="1" applyBorder="1" applyAlignment="1" applyProtection="1">
      <alignment horizontal="left" vertical="center"/>
    </xf>
    <xf numFmtId="0" fontId="36" fillId="0" borderId="80" xfId="0" applyNumberFormat="1" applyFont="1" applyBorder="1" applyAlignment="1" applyProtection="1">
      <alignment horizontal="left" vertical="center" wrapText="1"/>
    </xf>
    <xf numFmtId="0" fontId="6" fillId="0" borderId="102" xfId="0" applyNumberFormat="1" applyFont="1" applyBorder="1" applyAlignment="1" applyProtection="1">
      <alignment horizontal="right" vertical="center" indent="1"/>
    </xf>
    <xf numFmtId="0" fontId="44" fillId="0" borderId="122" xfId="0" applyNumberFormat="1" applyFont="1" applyBorder="1" applyProtection="1">
      <alignment horizontal="left" wrapText="1"/>
    </xf>
    <xf numFmtId="0" fontId="0" fillId="0" borderId="148" xfId="0" applyNumberFormat="1" applyBorder="1" applyProtection="1">
      <alignment horizontal="left" wrapText="1"/>
    </xf>
    <xf numFmtId="1" fontId="22" fillId="0" borderId="89" xfId="0" applyNumberFormat="1" applyFont="1" applyBorder="1" applyAlignment="1" applyProtection="1">
      <alignment horizontal="right" vertical="center" wrapText="1"/>
    </xf>
    <xf numFmtId="1" fontId="22" fillId="0" borderId="17" xfId="0" applyNumberFormat="1" applyFont="1" applyBorder="1" applyAlignment="1" applyProtection="1">
      <alignment horizontal="right" vertical="center" wrapText="1"/>
    </xf>
    <xf numFmtId="4" fontId="63" fillId="0" borderId="138" xfId="2" applyNumberFormat="1" applyFont="1" applyBorder="1" applyAlignment="1" applyProtection="1">
      <alignment horizontal="right" vertical="top" wrapText="1" readingOrder="1"/>
    </xf>
    <xf numFmtId="4" fontId="63" fillId="0" borderId="81" xfId="2" applyNumberFormat="1" applyFont="1" applyBorder="1" applyAlignment="1" applyProtection="1">
      <alignment horizontal="center" vertical="center" wrapText="1" readingOrder="1"/>
      <protection locked="0"/>
    </xf>
    <xf numFmtId="0" fontId="231" fillId="0" borderId="122" xfId="0" applyNumberFormat="1" applyFont="1" applyFill="1" applyBorder="1" applyAlignment="1" applyProtection="1">
      <alignment horizontal="left" vertical="center" wrapText="1"/>
    </xf>
    <xf numFmtId="49" fontId="42" fillId="0" borderId="150" xfId="0" applyNumberFormat="1" applyFont="1" applyBorder="1" applyAlignment="1" applyProtection="1">
      <alignment horizontal="left" vertical="top" readingOrder="1"/>
    </xf>
    <xf numFmtId="0" fontId="22" fillId="2" borderId="150" xfId="0" applyNumberFormat="1" applyFont="1" applyFill="1" applyBorder="1" applyAlignment="1" applyProtection="1">
      <alignment horizontal="left" vertical="center" wrapText="1" readingOrder="1"/>
    </xf>
    <xf numFmtId="49" fontId="22" fillId="0" borderId="122" xfId="3" applyNumberFormat="1" applyFont="1" applyBorder="1" applyAlignment="1" applyProtection="1">
      <alignment horizontal="left" vertical="center" readingOrder="1"/>
    </xf>
    <xf numFmtId="0" fontId="36" fillId="0" borderId="22" xfId="0" applyNumberFormat="1" applyFont="1" applyBorder="1" applyAlignment="1" applyProtection="1">
      <alignment horizontal="center" vertical="center" readingOrder="1"/>
    </xf>
    <xf numFmtId="49" fontId="6" fillId="0" borderId="150" xfId="0" applyNumberFormat="1" applyFont="1" applyBorder="1" applyAlignment="1" applyProtection="1">
      <alignment horizontal="left" vertical="center" wrapText="1" indent="2" readingOrder="1"/>
    </xf>
    <xf numFmtId="0" fontId="63" fillId="0" borderId="150" xfId="0" applyNumberFormat="1" applyFont="1" applyBorder="1" applyAlignment="1" applyProtection="1">
      <alignment horizontal="left" vertical="center" readingOrder="1"/>
    </xf>
    <xf numFmtId="0" fontId="22" fillId="0" borderId="22" xfId="3" applyNumberFormat="1" applyFont="1" applyFill="1" applyBorder="1" applyAlignment="1" applyProtection="1">
      <alignment horizontal="left" vertical="center" readingOrder="1"/>
    </xf>
    <xf numFmtId="0" fontId="66" fillId="0" borderId="99" xfId="0" applyFont="1" applyBorder="1" applyAlignment="1" applyProtection="1">
      <alignment horizontal="left" vertical="top"/>
    </xf>
    <xf numFmtId="49" fontId="6" fillId="0" borderId="18" xfId="0" applyNumberFormat="1" applyFont="1" applyBorder="1" applyAlignment="1" applyProtection="1">
      <alignment horizontal="left" vertical="top"/>
    </xf>
    <xf numFmtId="0" fontId="41" fillId="0" borderId="99" xfId="0" applyFont="1" applyBorder="1" applyAlignment="1" applyProtection="1">
      <alignment horizontal="left" vertical="top"/>
      <protection locked="0"/>
    </xf>
    <xf numFmtId="0" fontId="41" fillId="0" borderId="99" xfId="0" applyNumberFormat="1" applyFont="1" applyBorder="1" applyAlignment="1" applyProtection="1">
      <alignment horizontal="left" vertical="center"/>
      <protection locked="0"/>
    </xf>
    <xf numFmtId="0" fontId="0" fillId="0" borderId="99" xfId="0" applyNumberFormat="1" applyBorder="1" applyAlignment="1" applyProtection="1">
      <alignment horizontal="left" vertical="center" wrapText="1"/>
    </xf>
    <xf numFmtId="170" fontId="22" fillId="0" borderId="136" xfId="0" applyNumberFormat="1" applyFont="1" applyBorder="1" applyAlignment="1" applyProtection="1">
      <alignment horizontal="right" vertical="center" readingOrder="1"/>
    </xf>
    <xf numFmtId="0" fontId="0" fillId="11" borderId="0" xfId="0" applyNumberFormat="1" applyFill="1" applyAlignment="1" applyProtection="1">
      <alignment horizontal="left" vertical="center" wrapText="1"/>
    </xf>
    <xf numFmtId="49" fontId="14" fillId="11" borderId="22" xfId="0" applyNumberFormat="1" applyFont="1" applyFill="1" applyBorder="1" applyAlignment="1" applyProtection="1">
      <alignment horizontal="right" readingOrder="1"/>
    </xf>
    <xf numFmtId="170" fontId="22" fillId="0" borderId="136" xfId="0" applyNumberFormat="1" applyFont="1" applyBorder="1" applyAlignment="1" applyProtection="1">
      <alignment horizontal="left" vertical="center" readingOrder="1"/>
    </xf>
    <xf numFmtId="170" fontId="22" fillId="0" borderId="122" xfId="0" applyNumberFormat="1" applyFont="1" applyBorder="1" applyAlignment="1" applyProtection="1">
      <alignment horizontal="right" vertical="center" readingOrder="1"/>
    </xf>
    <xf numFmtId="170" fontId="22" fillId="0" borderId="99" xfId="0" applyNumberFormat="1" applyFont="1" applyBorder="1" applyAlignment="1" applyProtection="1">
      <alignment horizontal="right" vertical="center" readingOrder="1"/>
    </xf>
    <xf numFmtId="44" fontId="36" fillId="0" borderId="80" xfId="4" applyFont="1" applyBorder="1" applyAlignment="1" applyProtection="1">
      <alignment vertical="center" wrapText="1"/>
    </xf>
    <xf numFmtId="49" fontId="6" fillId="0" borderId="80" xfId="0" applyNumberFormat="1" applyFont="1" applyBorder="1" applyAlignment="1" applyProtection="1">
      <alignment vertical="center" wrapText="1"/>
    </xf>
    <xf numFmtId="170" fontId="36" fillId="0" borderId="80" xfId="2" applyNumberFormat="1" applyFont="1" applyBorder="1" applyAlignment="1" applyProtection="1">
      <alignment vertical="center" wrapText="1"/>
    </xf>
    <xf numFmtId="181" fontId="36" fillId="0" borderId="136" xfId="0" applyNumberFormat="1" applyFont="1" applyBorder="1" applyAlignment="1" applyProtection="1">
      <alignment horizontal="center" vertical="center" wrapText="1" readingOrder="1"/>
    </xf>
    <xf numFmtId="181" fontId="36" fillId="0" borderId="99" xfId="0" applyNumberFormat="1" applyFont="1" applyBorder="1" applyAlignment="1" applyProtection="1">
      <alignment horizontal="center" vertical="center" wrapText="1" readingOrder="1"/>
    </xf>
    <xf numFmtId="170" fontId="36" fillId="0" borderId="99" xfId="0" applyNumberFormat="1" applyFont="1" applyBorder="1" applyAlignment="1" applyProtection="1">
      <alignment horizontal="center" vertical="center" wrapText="1" readingOrder="1"/>
    </xf>
    <xf numFmtId="49" fontId="104" fillId="10" borderId="22" xfId="0" applyNumberFormat="1" applyFont="1" applyFill="1" applyBorder="1" applyAlignment="1" applyProtection="1">
      <alignment horizontal="right" readingOrder="1"/>
    </xf>
    <xf numFmtId="2" fontId="173" fillId="0" borderId="14" xfId="0" applyNumberFormat="1" applyFont="1" applyBorder="1" applyAlignment="1" applyProtection="1">
      <alignment horizontal="left" vertical="center" wrapText="1"/>
    </xf>
    <xf numFmtId="0" fontId="9" fillId="0" borderId="18" xfId="0" applyFont="1" applyBorder="1" applyAlignment="1" applyProtection="1">
      <alignment horizontal="left" vertical="top" wrapText="1"/>
    </xf>
    <xf numFmtId="49" fontId="6" fillId="0" borderId="18" xfId="0" applyNumberFormat="1" applyFont="1" applyBorder="1" applyAlignment="1" applyProtection="1">
      <alignment horizontal="left" vertical="top" wrapText="1"/>
    </xf>
    <xf numFmtId="0" fontId="8" fillId="0" borderId="18" xfId="0" applyNumberFormat="1" applyFont="1" applyBorder="1" applyAlignment="1" applyProtection="1">
      <alignment horizontal="left" vertical="top" wrapText="1"/>
    </xf>
    <xf numFmtId="0" fontId="36" fillId="0" borderId="99" xfId="0" applyFont="1" applyBorder="1" applyAlignment="1" applyProtection="1">
      <alignment horizontal="left" vertical="top"/>
    </xf>
    <xf numFmtId="0" fontId="50" fillId="0" borderId="18" xfId="0" applyNumberFormat="1" applyFont="1" applyBorder="1" applyAlignment="1" applyProtection="1">
      <alignment horizontal="left" vertical="top"/>
      <protection locked="0"/>
    </xf>
    <xf numFmtId="0" fontId="0" fillId="0" borderId="18" xfId="0" applyBorder="1" applyAlignment="1" applyProtection="1">
      <alignment horizontal="left" vertical="top" wrapText="1"/>
    </xf>
    <xf numFmtId="0" fontId="142" fillId="0" borderId="18" xfId="3" applyNumberFormat="1" applyFont="1" applyBorder="1" applyAlignment="1" applyProtection="1">
      <alignment vertical="top" readingOrder="1"/>
      <protection locked="0"/>
    </xf>
    <xf numFmtId="0" fontId="0" fillId="2" borderId="18" xfId="0" applyFill="1" applyBorder="1" applyAlignment="1" applyProtection="1">
      <alignment horizontal="left" vertical="top" wrapText="1"/>
    </xf>
    <xf numFmtId="43" fontId="63" fillId="0" borderId="60" xfId="2" applyFont="1" applyBorder="1" applyAlignment="1" applyProtection="1">
      <alignment horizontal="right" vertical="top"/>
    </xf>
    <xf numFmtId="49" fontId="29" fillId="0" borderId="18" xfId="0" applyNumberFormat="1" applyFont="1" applyBorder="1" applyAlignment="1" applyProtection="1">
      <alignment horizontal="left" vertical="top" wrapText="1" readingOrder="1"/>
    </xf>
    <xf numFmtId="181" fontId="36" fillId="0" borderId="22" xfId="0" applyNumberFormat="1" applyFont="1" applyBorder="1" applyAlignment="1" applyProtection="1">
      <alignment horizontal="center" vertical="center" wrapText="1" readingOrder="1"/>
    </xf>
    <xf numFmtId="3" fontId="22" fillId="0" borderId="136" xfId="0" applyNumberFormat="1" applyFont="1" applyFill="1" applyBorder="1" applyAlignment="1" applyProtection="1">
      <alignment horizontal="left" vertical="center"/>
    </xf>
    <xf numFmtId="3" fontId="22" fillId="0" borderId="102" xfId="0" applyNumberFormat="1" applyFont="1" applyFill="1" applyBorder="1" applyAlignment="1" applyProtection="1">
      <alignment horizontal="left" vertical="center"/>
    </xf>
    <xf numFmtId="2" fontId="36" fillId="0" borderId="136" xfId="0" applyNumberFormat="1" applyFont="1" applyFill="1" applyBorder="1" applyAlignment="1" applyProtection="1">
      <alignment horizontal="center" vertical="center"/>
    </xf>
    <xf numFmtId="2" fontId="36" fillId="0" borderId="102" xfId="0" applyNumberFormat="1" applyFont="1" applyFill="1" applyBorder="1" applyAlignment="1" applyProtection="1">
      <alignment horizontal="center" vertical="center"/>
    </xf>
    <xf numFmtId="0" fontId="232" fillId="0" borderId="29" xfId="0" applyFont="1" applyBorder="1" applyAlignment="1" applyProtection="1">
      <alignment horizontal="left" vertical="center"/>
    </xf>
    <xf numFmtId="181" fontId="233" fillId="0" borderId="136" xfId="0" applyNumberFormat="1" applyFont="1" applyBorder="1" applyAlignment="1" applyProtection="1">
      <alignment horizontal="center" vertical="center" wrapText="1" readingOrder="1"/>
      <protection locked="0"/>
    </xf>
    <xf numFmtId="181" fontId="233" fillId="0" borderId="99" xfId="0" applyNumberFormat="1" applyFont="1" applyBorder="1" applyAlignment="1" applyProtection="1">
      <alignment horizontal="center" vertical="center" wrapText="1" readingOrder="1"/>
      <protection locked="0"/>
    </xf>
    <xf numFmtId="170" fontId="233" fillId="0" borderId="99" xfId="0" applyNumberFormat="1" applyFont="1" applyBorder="1" applyAlignment="1" applyProtection="1">
      <alignment horizontal="center" vertical="center" wrapText="1" readingOrder="1"/>
      <protection locked="0"/>
    </xf>
    <xf numFmtId="49" fontId="233" fillId="0" borderId="86" xfId="3" applyNumberFormat="1" applyFont="1" applyBorder="1" applyAlignment="1" applyProtection="1">
      <alignment horizontal="left" vertical="center" readingOrder="1"/>
      <protection locked="0"/>
    </xf>
    <xf numFmtId="0" fontId="234" fillId="0" borderId="144" xfId="0" applyNumberFormat="1" applyFont="1" applyBorder="1" applyProtection="1">
      <alignment horizontal="left" wrapText="1"/>
    </xf>
    <xf numFmtId="49" fontId="233" fillId="0" borderId="22" xfId="3" applyNumberFormat="1" applyFont="1" applyBorder="1" applyAlignment="1" applyProtection="1">
      <alignment horizontal="left" vertical="center" readingOrder="1"/>
      <protection locked="0"/>
    </xf>
    <xf numFmtId="9" fontId="233" fillId="0" borderId="21" xfId="0" applyNumberFormat="1" applyFont="1" applyBorder="1" applyAlignment="1" applyProtection="1">
      <alignment horizontal="left" vertical="center" readingOrder="1"/>
      <protection locked="0"/>
    </xf>
    <xf numFmtId="0" fontId="233" fillId="0" borderId="21" xfId="0" applyNumberFormat="1" applyFont="1" applyBorder="1" applyAlignment="1" applyProtection="1">
      <alignment vertical="center" wrapText="1" readingOrder="1"/>
      <protection locked="0"/>
    </xf>
    <xf numFmtId="49" fontId="233" fillId="0" borderId="102" xfId="0" applyNumberFormat="1" applyFont="1" applyBorder="1" applyAlignment="1" applyProtection="1">
      <alignment horizontal="center" vertical="center" readingOrder="1"/>
      <protection locked="0"/>
    </xf>
    <xf numFmtId="49" fontId="233" fillId="0" borderId="104" xfId="0" applyNumberFormat="1" applyFont="1" applyBorder="1" applyAlignment="1" applyProtection="1">
      <alignment horizontal="center" vertical="center" readingOrder="1"/>
      <protection locked="0"/>
    </xf>
    <xf numFmtId="169" fontId="233" fillId="0" borderId="80" xfId="0" applyNumberFormat="1" applyFont="1" applyBorder="1" applyAlignment="1" applyProtection="1">
      <alignment horizontal="right" vertical="center" wrapText="1"/>
      <protection locked="0"/>
    </xf>
    <xf numFmtId="0" fontId="233" fillId="0" borderId="102" xfId="0" applyNumberFormat="1" applyFont="1" applyBorder="1" applyAlignment="1" applyProtection="1">
      <alignment horizontal="center" vertical="center" readingOrder="1"/>
      <protection locked="0"/>
    </xf>
    <xf numFmtId="0" fontId="63" fillId="0" borderId="28" xfId="0" applyNumberFormat="1" applyFont="1" applyBorder="1" applyAlignment="1" applyProtection="1">
      <alignment horizontal="right" vertical="center"/>
      <protection locked="0"/>
    </xf>
    <xf numFmtId="9" fontId="63" fillId="0" borderId="107" xfId="0" applyNumberFormat="1" applyFont="1" applyBorder="1" applyAlignment="1" applyProtection="1">
      <alignment vertical="center" wrapText="1" readingOrder="1"/>
      <protection locked="0"/>
    </xf>
    <xf numFmtId="2" fontId="8" fillId="0" borderId="89" xfId="0" applyNumberFormat="1" applyFont="1" applyBorder="1" applyAlignment="1" applyProtection="1">
      <alignment horizontal="right" vertical="top" wrapText="1"/>
      <protection locked="0"/>
    </xf>
    <xf numFmtId="49" fontId="6" fillId="0" borderId="152" xfId="0" applyNumberFormat="1" applyFont="1" applyBorder="1" applyAlignment="1" applyProtection="1">
      <alignment horizontal="left" vertical="center" wrapText="1" indent="2"/>
    </xf>
    <xf numFmtId="9" fontId="14" fillId="0" borderId="135" xfId="0" applyNumberFormat="1" applyFont="1" applyBorder="1" applyAlignment="1" applyProtection="1">
      <alignment horizontal="right" vertical="center" wrapText="1"/>
    </xf>
    <xf numFmtId="0" fontId="63" fillId="11" borderId="151" xfId="0" applyNumberFormat="1" applyFont="1" applyFill="1" applyBorder="1" applyAlignment="1">
      <alignment horizontal="right"/>
    </xf>
    <xf numFmtId="0" fontId="65" fillId="0" borderId="147" xfId="0" applyNumberFormat="1" applyFont="1" applyFill="1" applyBorder="1" applyAlignment="1">
      <alignment horizontal="center" vertical="center" wrapText="1"/>
    </xf>
    <xf numFmtId="49" fontId="6" fillId="0" borderId="136" xfId="0" applyNumberFormat="1" applyFont="1" applyBorder="1" applyAlignment="1" applyProtection="1">
      <alignment horizontal="left" vertical="center"/>
    </xf>
    <xf numFmtId="4" fontId="36" fillId="0" borderId="148" xfId="0" applyNumberFormat="1" applyFont="1" applyFill="1" applyBorder="1" applyAlignment="1" applyProtection="1">
      <alignment horizontal="right" vertical="center"/>
    </xf>
    <xf numFmtId="2" fontId="22" fillId="11" borderId="109" xfId="0" applyNumberFormat="1" applyFont="1" applyFill="1" applyBorder="1" applyAlignment="1" applyProtection="1">
      <alignment horizontal="right" vertical="center"/>
    </xf>
    <xf numFmtId="4" fontId="36" fillId="0" borderId="136" xfId="0" applyNumberFormat="1" applyFont="1" applyFill="1" applyBorder="1" applyAlignment="1" applyProtection="1">
      <alignment horizontal="left" vertical="center"/>
    </xf>
    <xf numFmtId="0" fontId="6" fillId="0" borderId="18" xfId="0" applyFont="1" applyBorder="1" applyAlignment="1" applyProtection="1">
      <alignment horizontal="left" vertical="top" wrapText="1"/>
    </xf>
    <xf numFmtId="49" fontId="6" fillId="0" borderId="122" xfId="0" applyNumberFormat="1" applyFont="1" applyFill="1" applyBorder="1" applyAlignment="1" applyProtection="1">
      <alignment horizontal="left" vertical="center"/>
    </xf>
    <xf numFmtId="49" fontId="6" fillId="0" borderId="148" xfId="0" applyNumberFormat="1" applyFont="1" applyBorder="1" applyAlignment="1" applyProtection="1">
      <alignment horizontal="left" vertical="top"/>
    </xf>
    <xf numFmtId="49" fontId="6" fillId="0" borderId="4" xfId="0" applyNumberFormat="1" applyFont="1" applyBorder="1" applyAlignment="1" applyProtection="1">
      <alignment horizontal="left" vertical="top"/>
    </xf>
    <xf numFmtId="49" fontId="6" fillId="0" borderId="153" xfId="0" applyNumberFormat="1" applyFont="1" applyBorder="1" applyAlignment="1" applyProtection="1">
      <alignment horizontal="left" vertical="center" wrapText="1" indent="2"/>
    </xf>
    <xf numFmtId="49" fontId="22" fillId="0" borderId="148" xfId="0" applyNumberFormat="1" applyFont="1" applyFill="1" applyBorder="1" applyAlignment="1" applyProtection="1">
      <alignment horizontal="left" vertical="top" indent="2"/>
    </xf>
    <xf numFmtId="4" fontId="36" fillId="0" borderId="148" xfId="0" applyNumberFormat="1" applyFont="1" applyFill="1" applyBorder="1" applyAlignment="1" applyProtection="1">
      <alignment horizontal="right" vertical="top"/>
    </xf>
    <xf numFmtId="49" fontId="6" fillId="0" borderId="148" xfId="0" applyNumberFormat="1" applyFont="1" applyFill="1" applyBorder="1" applyAlignment="1" applyProtection="1">
      <alignment horizontal="left" vertical="top"/>
    </xf>
    <xf numFmtId="2" fontId="22" fillId="0" borderId="122" xfId="0" applyNumberFormat="1" applyFont="1" applyBorder="1" applyAlignment="1" applyProtection="1">
      <alignment horizontal="right" vertical="center" wrapText="1"/>
    </xf>
    <xf numFmtId="2" fontId="22" fillId="0" borderId="135" xfId="0" applyNumberFormat="1" applyFont="1" applyBorder="1" applyAlignment="1" applyProtection="1">
      <alignment horizontal="right" vertical="center"/>
    </xf>
    <xf numFmtId="49" fontId="134" fillId="11" borderId="109" xfId="0" applyNumberFormat="1" applyFont="1" applyFill="1" applyBorder="1" applyAlignment="1" applyProtection="1">
      <alignment horizontal="right" vertical="center"/>
    </xf>
    <xf numFmtId="2" fontId="36" fillId="0" borderId="122" xfId="0" applyNumberFormat="1" applyFont="1" applyBorder="1" applyAlignment="1" applyProtection="1">
      <alignment horizontal="right" vertical="center" wrapText="1"/>
    </xf>
    <xf numFmtId="2" fontId="15" fillId="0" borderId="135" xfId="0" applyNumberFormat="1" applyFont="1" applyFill="1" applyBorder="1" applyAlignment="1" applyProtection="1">
      <alignment horizontal="right" vertical="center" wrapText="1"/>
    </xf>
    <xf numFmtId="49" fontId="6" fillId="0" borderId="6" xfId="0" applyNumberFormat="1" applyFont="1" applyBorder="1" applyAlignment="1" applyProtection="1">
      <alignment horizontal="left" vertical="top"/>
    </xf>
    <xf numFmtId="2" fontId="25" fillId="0" borderId="0" xfId="0" applyNumberFormat="1" applyFont="1" applyProtection="1">
      <alignment horizontal="left" wrapText="1"/>
    </xf>
    <xf numFmtId="9" fontId="14" fillId="0" borderId="22" xfId="0" applyNumberFormat="1" applyFont="1" applyBorder="1" applyAlignment="1" applyProtection="1">
      <alignment vertical="center" wrapText="1" readingOrder="1"/>
    </xf>
    <xf numFmtId="9" fontId="14" fillId="0" borderId="22" xfId="0" applyNumberFormat="1" applyFont="1" applyBorder="1" applyAlignment="1" applyProtection="1">
      <alignment horizontal="right" vertical="center" wrapText="1" readingOrder="1"/>
    </xf>
    <xf numFmtId="9" fontId="14" fillId="0" borderId="150" xfId="0" applyNumberFormat="1" applyFont="1" applyBorder="1" applyAlignment="1" applyProtection="1">
      <alignment vertical="center" wrapText="1" readingOrder="1"/>
    </xf>
    <xf numFmtId="9" fontId="14" fillId="0" borderId="86" xfId="0" applyNumberFormat="1" applyFont="1" applyBorder="1" applyAlignment="1" applyProtection="1">
      <alignment vertical="center" wrapText="1" readingOrder="1"/>
    </xf>
    <xf numFmtId="9" fontId="134" fillId="0" borderId="122" xfId="0" applyNumberFormat="1" applyFont="1" applyFill="1" applyBorder="1" applyAlignment="1" applyProtection="1">
      <alignment horizontal="right" vertical="top" wrapText="1" readingOrder="1"/>
    </xf>
    <xf numFmtId="0" fontId="236" fillId="0" borderId="0" xfId="0" applyNumberFormat="1" applyFont="1" applyProtection="1">
      <alignment horizontal="left" wrapText="1"/>
    </xf>
    <xf numFmtId="9" fontId="14" fillId="0" borderId="81" xfId="0" applyNumberFormat="1" applyFont="1" applyBorder="1" applyAlignment="1" applyProtection="1">
      <alignment vertical="center" wrapText="1" readingOrder="1"/>
    </xf>
    <xf numFmtId="9" fontId="14" fillId="0" borderId="29" xfId="0" applyNumberFormat="1" applyFont="1" applyBorder="1" applyAlignment="1" applyProtection="1">
      <alignment vertical="center" wrapText="1" readingOrder="1"/>
    </xf>
    <xf numFmtId="49" fontId="14" fillId="0" borderId="21" xfId="0" applyNumberFormat="1" applyFont="1" applyBorder="1" applyAlignment="1" applyProtection="1">
      <alignment horizontal="left" vertical="center" wrapText="1" readingOrder="1"/>
    </xf>
    <xf numFmtId="49" fontId="14" fillId="0" borderId="22" xfId="0" applyNumberFormat="1" applyFont="1" applyBorder="1" applyAlignment="1" applyProtection="1">
      <alignment horizontal="left" vertical="center" wrapText="1" readingOrder="1"/>
    </xf>
    <xf numFmtId="49" fontId="14" fillId="0" borderId="6" xfId="0" applyNumberFormat="1" applyFont="1" applyBorder="1" applyAlignment="1" applyProtection="1">
      <alignment horizontal="left" vertical="center" wrapText="1"/>
    </xf>
    <xf numFmtId="0" fontId="233" fillId="0" borderId="150" xfId="0" applyNumberFormat="1" applyFont="1" applyBorder="1" applyAlignment="1" applyProtection="1">
      <alignment horizontal="left" vertical="center" readingOrder="1"/>
      <protection locked="0"/>
    </xf>
    <xf numFmtId="0" fontId="238" fillId="0" borderId="0" xfId="0" applyNumberFormat="1" applyFont="1" applyProtection="1">
      <alignment horizontal="left" wrapText="1"/>
    </xf>
    <xf numFmtId="4" fontId="238" fillId="0" borderId="0" xfId="0" applyNumberFormat="1" applyFont="1" applyProtection="1">
      <alignment horizontal="left" wrapText="1"/>
    </xf>
    <xf numFmtId="0" fontId="233" fillId="0" borderId="22" xfId="0" applyNumberFormat="1" applyFont="1" applyBorder="1" applyAlignment="1" applyProtection="1">
      <alignment horizontal="center" vertical="center" readingOrder="1"/>
      <protection locked="0"/>
    </xf>
    <xf numFmtId="2" fontId="89" fillId="10" borderId="109" xfId="0" applyNumberFormat="1" applyFont="1" applyFill="1" applyBorder="1" applyAlignment="1" applyProtection="1">
      <alignment horizontal="right" vertical="center"/>
    </xf>
    <xf numFmtId="9" fontId="14" fillId="0" borderId="13" xfId="1" applyFont="1" applyBorder="1" applyAlignment="1" applyProtection="1">
      <alignment horizontal="right" vertical="top" wrapText="1"/>
    </xf>
    <xf numFmtId="9" fontId="14" fillId="0" borderId="13" xfId="1" applyFont="1" applyFill="1" applyBorder="1" applyAlignment="1" applyProtection="1">
      <alignment horizontal="right" vertical="top" wrapText="1"/>
    </xf>
    <xf numFmtId="9" fontId="14" fillId="0" borderId="106" xfId="1" applyFont="1" applyBorder="1" applyAlignment="1" applyProtection="1">
      <alignment horizontal="right" vertical="top" wrapText="1"/>
    </xf>
    <xf numFmtId="49" fontId="240" fillId="0" borderId="11" xfId="0" applyNumberFormat="1" applyFont="1" applyBorder="1" applyAlignment="1" applyProtection="1">
      <alignment horizontal="right"/>
    </xf>
    <xf numFmtId="9" fontId="241" fillId="0" borderId="106" xfId="1" applyFont="1" applyBorder="1" applyAlignment="1" applyProtection="1">
      <alignment horizontal="right" vertical="top" wrapText="1"/>
    </xf>
    <xf numFmtId="49" fontId="22" fillId="11" borderId="109" xfId="0" applyNumberFormat="1" applyFont="1" applyFill="1" applyBorder="1" applyAlignment="1" applyProtection="1">
      <alignment horizontal="center" vertical="center" wrapText="1"/>
    </xf>
    <xf numFmtId="49" fontId="41" fillId="10" borderId="109" xfId="0" applyNumberFormat="1" applyFont="1" applyFill="1" applyBorder="1" applyAlignment="1" applyProtection="1">
      <alignment horizontal="right" vertical="center"/>
      <protection locked="0"/>
    </xf>
    <xf numFmtId="49" fontId="89" fillId="10" borderId="109" xfId="0" applyNumberFormat="1" applyFont="1" applyFill="1" applyBorder="1" applyAlignment="1" applyProtection="1">
      <alignment horizontal="center" vertical="center" wrapText="1"/>
    </xf>
    <xf numFmtId="49" fontId="14" fillId="0" borderId="15" xfId="0" applyNumberFormat="1" applyFont="1" applyBorder="1" applyAlignment="1" applyProtection="1">
      <alignment horizontal="left" vertical="center" wrapText="1" indent="2"/>
    </xf>
    <xf numFmtId="49" fontId="134" fillId="11" borderId="109" xfId="0" applyNumberFormat="1" applyFont="1" applyFill="1" applyBorder="1" applyAlignment="1" applyProtection="1">
      <alignment horizontal="left" vertical="center" readingOrder="1"/>
    </xf>
    <xf numFmtId="0" fontId="8" fillId="0" borderId="147" xfId="0" applyNumberFormat="1" applyFont="1" applyFill="1" applyBorder="1" applyAlignment="1">
      <alignment horizontal="center" vertical="center" wrapText="1"/>
    </xf>
    <xf numFmtId="49" fontId="134" fillId="0" borderId="18" xfId="0" applyNumberFormat="1" applyFont="1" applyFill="1" applyBorder="1" applyAlignment="1" applyProtection="1">
      <alignment horizontal="left" vertical="center" wrapText="1" readingOrder="1"/>
    </xf>
    <xf numFmtId="0" fontId="82" fillId="0" borderId="18" xfId="0" applyNumberFormat="1" applyFont="1" applyFill="1" applyBorder="1">
      <alignment horizontal="left" wrapText="1"/>
    </xf>
    <xf numFmtId="49" fontId="22" fillId="0" borderId="18" xfId="0" applyNumberFormat="1" applyFont="1" applyFill="1" applyBorder="1" applyAlignment="1" applyProtection="1">
      <alignment horizontal="left" vertical="center"/>
    </xf>
    <xf numFmtId="49" fontId="22" fillId="0" borderId="18" xfId="0" applyNumberFormat="1" applyFont="1" applyFill="1" applyBorder="1" applyAlignment="1" applyProtection="1">
      <alignment horizontal="left" readingOrder="1"/>
    </xf>
    <xf numFmtId="0" fontId="65" fillId="0" borderId="18" xfId="0" applyNumberFormat="1" applyFont="1" applyFill="1" applyBorder="1" applyProtection="1">
      <alignment horizontal="left" wrapText="1"/>
    </xf>
    <xf numFmtId="0" fontId="142" fillId="0" borderId="18" xfId="3" applyNumberFormat="1" applyFont="1" applyFill="1" applyBorder="1" applyAlignment="1" applyProtection="1">
      <alignment vertical="center" readingOrder="1"/>
      <protection locked="0"/>
    </xf>
    <xf numFmtId="44" fontId="66" fillId="0" borderId="18" xfId="0" applyNumberFormat="1" applyFont="1" applyFill="1" applyBorder="1" applyAlignment="1" applyProtection="1">
      <alignment horizontal="right" vertical="center"/>
    </xf>
    <xf numFmtId="44" fontId="66" fillId="0" borderId="18" xfId="0" applyNumberFormat="1" applyFont="1" applyFill="1" applyBorder="1" applyAlignment="1" applyProtection="1">
      <alignment horizontal="center"/>
    </xf>
    <xf numFmtId="0" fontId="6" fillId="0" borderId="0" xfId="0" applyNumberFormat="1" applyFont="1" applyFill="1" applyAlignment="1" applyProtection="1">
      <alignment horizontal="left" vertical="center" wrapText="1"/>
    </xf>
    <xf numFmtId="0" fontId="0" fillId="0" borderId="0" xfId="0" applyNumberFormat="1" applyFill="1" applyProtection="1">
      <alignment horizontal="left" wrapText="1"/>
      <protection locked="0"/>
    </xf>
    <xf numFmtId="0" fontId="0" fillId="0" borderId="0" xfId="0" applyNumberFormat="1" applyFill="1" applyAlignment="1" applyProtection="1">
      <alignment horizontal="center" wrapText="1"/>
    </xf>
    <xf numFmtId="49" fontId="60" fillId="0" borderId="18" xfId="0" applyNumberFormat="1" applyFont="1" applyFill="1" applyBorder="1" applyAlignment="1" applyProtection="1">
      <alignment horizontal="left" readingOrder="1"/>
    </xf>
    <xf numFmtId="0" fontId="36" fillId="0" borderId="147" xfId="0" applyNumberFormat="1" applyFont="1" applyFill="1" applyBorder="1" applyAlignment="1">
      <alignment horizontal="center" vertical="center" wrapText="1"/>
    </xf>
    <xf numFmtId="4" fontId="36" fillId="0" borderId="136" xfId="2" applyNumberFormat="1" applyFont="1" applyFill="1" applyBorder="1" applyAlignment="1" applyProtection="1">
      <alignment vertical="center" wrapText="1"/>
    </xf>
    <xf numFmtId="49" fontId="6" fillId="0" borderId="136" xfId="0" applyNumberFormat="1" applyFont="1" applyFill="1" applyBorder="1" applyAlignment="1" applyProtection="1">
      <alignment horizontal="left" vertical="center" indent="2" readingOrder="1"/>
    </xf>
    <xf numFmtId="43" fontId="22" fillId="0" borderId="136" xfId="2" applyFont="1" applyFill="1" applyBorder="1" applyAlignment="1" applyProtection="1">
      <alignment horizontal="left" vertical="center" wrapText="1"/>
    </xf>
    <xf numFmtId="2" fontId="36" fillId="0" borderId="136" xfId="0" applyNumberFormat="1" applyFont="1" applyFill="1" applyBorder="1" applyAlignment="1" applyProtection="1">
      <alignment vertical="center" wrapText="1" readingOrder="1"/>
    </xf>
    <xf numFmtId="49" fontId="22" fillId="0" borderId="136" xfId="0" applyNumberFormat="1" applyFont="1" applyFill="1" applyBorder="1" applyAlignment="1" applyProtection="1">
      <alignment horizontal="left" vertical="center"/>
    </xf>
    <xf numFmtId="49" fontId="22" fillId="0" borderId="136" xfId="0" applyNumberFormat="1" applyFont="1" applyFill="1" applyBorder="1" applyAlignment="1" applyProtection="1">
      <alignment horizontal="left" readingOrder="1"/>
    </xf>
    <xf numFmtId="0" fontId="65" fillId="0" borderId="136" xfId="0" applyNumberFormat="1" applyFont="1" applyFill="1" applyBorder="1" applyProtection="1">
      <alignment horizontal="left" wrapText="1"/>
    </xf>
    <xf numFmtId="49" fontId="70" fillId="0" borderId="136" xfId="0" applyNumberFormat="1" applyFont="1" applyFill="1" applyBorder="1" applyAlignment="1" applyProtection="1">
      <alignment horizontal="right" vertical="center" readingOrder="1"/>
    </xf>
    <xf numFmtId="9" fontId="202" fillId="0" borderId="136" xfId="0" applyNumberFormat="1" applyFont="1" applyFill="1" applyBorder="1" applyAlignment="1" applyProtection="1">
      <alignment horizontal="right" vertical="center" wrapText="1" readingOrder="1"/>
    </xf>
    <xf numFmtId="4" fontId="36" fillId="0" borderId="136" xfId="0" applyNumberFormat="1" applyFont="1" applyFill="1" applyBorder="1" applyAlignment="1" applyProtection="1">
      <alignment vertical="center" wrapText="1" readingOrder="1"/>
    </xf>
    <xf numFmtId="2" fontId="36" fillId="0" borderId="136" xfId="0" applyNumberFormat="1" applyFont="1" applyFill="1" applyBorder="1" applyAlignment="1" applyProtection="1">
      <alignment horizontal="right" vertical="center" wrapText="1" readingOrder="1"/>
    </xf>
    <xf numFmtId="2" fontId="36" fillId="0" borderId="136" xfId="0" applyNumberFormat="1" applyFont="1" applyFill="1" applyBorder="1" applyAlignment="1" applyProtection="1">
      <alignment horizontal="left" wrapText="1" readingOrder="1"/>
    </xf>
    <xf numFmtId="4" fontId="8" fillId="0" borderId="135" xfId="0" applyNumberFormat="1" applyFont="1" applyBorder="1" applyAlignment="1" applyProtection="1">
      <alignment horizontal="right" vertical="center" wrapText="1"/>
      <protection locked="0"/>
    </xf>
    <xf numFmtId="4" fontId="36" fillId="0" borderId="136" xfId="0" applyNumberFormat="1" applyFont="1" applyFill="1" applyBorder="1" applyAlignment="1" applyProtection="1">
      <alignment horizontal="right" vertical="center" wrapText="1"/>
    </xf>
    <xf numFmtId="49" fontId="22" fillId="0" borderId="136" xfId="0" applyNumberFormat="1" applyFont="1" applyFill="1" applyBorder="1" applyAlignment="1" applyProtection="1">
      <alignment horizontal="left" vertical="center" wrapText="1"/>
    </xf>
    <xf numFmtId="49" fontId="6" fillId="0" borderId="155" xfId="0" applyNumberFormat="1" applyFont="1" applyBorder="1" applyAlignment="1" applyProtection="1">
      <alignment horizontal="left" vertical="top" wrapText="1"/>
    </xf>
    <xf numFmtId="4" fontId="46" fillId="0" borderId="122" xfId="0" applyNumberFormat="1" applyFont="1" applyBorder="1" applyAlignment="1" applyProtection="1">
      <alignment vertical="center" readingOrder="1"/>
      <protection locked="0"/>
    </xf>
    <xf numFmtId="49" fontId="22" fillId="0" borderId="122" xfId="0" applyNumberFormat="1" applyFont="1" applyBorder="1" applyAlignment="1" applyProtection="1">
      <alignment horizontal="right" vertical="center" readingOrder="1"/>
    </xf>
    <xf numFmtId="49" fontId="6" fillId="0" borderId="155" xfId="0" applyNumberFormat="1" applyFont="1" applyBorder="1" applyAlignment="1" applyProtection="1">
      <alignment horizontal="left" vertical="center"/>
    </xf>
    <xf numFmtId="49" fontId="6" fillId="0" borderId="148" xfId="0" applyNumberFormat="1" applyFont="1" applyBorder="1" applyAlignment="1" applyProtection="1">
      <alignment horizontal="left" vertical="center"/>
    </xf>
    <xf numFmtId="4" fontId="8" fillId="0" borderId="148" xfId="0" applyNumberFormat="1" applyFont="1" applyBorder="1" applyAlignment="1" applyProtection="1">
      <alignment horizontal="right" vertical="center" wrapText="1"/>
      <protection locked="0"/>
    </xf>
    <xf numFmtId="49" fontId="6" fillId="0" borderId="148" xfId="0" applyNumberFormat="1" applyFont="1" applyBorder="1" applyAlignment="1" applyProtection="1">
      <alignment horizontal="left" vertical="center" wrapText="1"/>
    </xf>
    <xf numFmtId="4" fontId="15" fillId="0" borderId="148" xfId="0" applyNumberFormat="1" applyFont="1" applyBorder="1" applyAlignment="1" applyProtection="1">
      <alignment horizontal="right" vertical="center" wrapText="1"/>
    </xf>
    <xf numFmtId="0" fontId="14" fillId="0" borderId="18" xfId="0" applyFont="1" applyBorder="1" applyAlignment="1" applyProtection="1">
      <alignment horizontal="left" vertical="top" wrapText="1"/>
    </xf>
    <xf numFmtId="0" fontId="6" fillId="0" borderId="18" xfId="0" applyFont="1" applyBorder="1" applyAlignment="1" applyProtection="1">
      <alignment horizontal="right" vertical="top" wrapText="1"/>
    </xf>
    <xf numFmtId="49" fontId="6" fillId="0" borderId="135" xfId="0" applyNumberFormat="1" applyFont="1" applyBorder="1" applyAlignment="1" applyProtection="1">
      <alignment horizontal="left" vertical="top" wrapText="1"/>
    </xf>
    <xf numFmtId="0" fontId="0" fillId="0" borderId="134" xfId="0" applyNumberFormat="1" applyFill="1" applyBorder="1" applyProtection="1">
      <alignment horizontal="left" wrapText="1"/>
    </xf>
    <xf numFmtId="49" fontId="6" fillId="0" borderId="134" xfId="0" applyNumberFormat="1" applyFont="1" applyFill="1" applyBorder="1" applyAlignment="1" applyProtection="1">
      <alignment horizontal="left" vertical="center" wrapText="1" indent="2"/>
    </xf>
    <xf numFmtId="49" fontId="89" fillId="0" borderId="134" xfId="0" applyNumberFormat="1" applyFont="1" applyFill="1" applyBorder="1" applyAlignment="1" applyProtection="1">
      <alignment horizontal="left" vertical="center" wrapText="1"/>
    </xf>
    <xf numFmtId="49" fontId="22" fillId="0" borderId="134" xfId="0" applyNumberFormat="1" applyFont="1" applyFill="1" applyBorder="1" applyAlignment="1" applyProtection="1">
      <alignment horizontal="right" vertical="center" readingOrder="1"/>
    </xf>
    <xf numFmtId="4" fontId="36" fillId="0" borderId="134" xfId="0" applyNumberFormat="1" applyFont="1" applyFill="1" applyBorder="1" applyAlignment="1" applyProtection="1">
      <alignment vertical="center" readingOrder="1"/>
    </xf>
    <xf numFmtId="49" fontId="6" fillId="0" borderId="148" xfId="0" applyNumberFormat="1" applyFont="1" applyFill="1" applyBorder="1" applyAlignment="1" applyProtection="1">
      <alignment horizontal="left" vertical="center" wrapText="1" indent="2"/>
    </xf>
    <xf numFmtId="4" fontId="36" fillId="0" borderId="148" xfId="0" applyNumberFormat="1" applyFont="1" applyFill="1" applyBorder="1" applyAlignment="1" applyProtection="1">
      <alignment horizontal="right" vertical="center" wrapText="1"/>
    </xf>
    <xf numFmtId="49" fontId="6" fillId="0" borderId="148" xfId="0" applyNumberFormat="1" applyFont="1" applyFill="1" applyBorder="1" applyAlignment="1" applyProtection="1">
      <alignment horizontal="left" vertical="center" wrapText="1"/>
    </xf>
    <xf numFmtId="0" fontId="0" fillId="0" borderId="148" xfId="0" applyNumberFormat="1" applyFill="1" applyBorder="1" applyProtection="1">
      <alignment horizontal="left" wrapText="1"/>
    </xf>
    <xf numFmtId="49" fontId="6" fillId="0" borderId="148" xfId="0" applyNumberFormat="1" applyFont="1" applyFill="1" applyBorder="1" applyAlignment="1" applyProtection="1">
      <alignment horizontal="left" vertical="center"/>
    </xf>
    <xf numFmtId="4" fontId="15" fillId="0" borderId="148" xfId="0" applyNumberFormat="1" applyFont="1" applyFill="1" applyBorder="1" applyAlignment="1" applyProtection="1">
      <alignment horizontal="right" vertical="center" wrapText="1"/>
    </xf>
    <xf numFmtId="4" fontId="36" fillId="0" borderId="154" xfId="0" applyNumberFormat="1" applyFont="1" applyFill="1" applyBorder="1" applyAlignment="1" applyProtection="1">
      <alignment horizontal="right" vertical="center" wrapText="1"/>
    </xf>
    <xf numFmtId="9" fontId="63" fillId="0" borderId="58" xfId="0" applyNumberFormat="1" applyFont="1" applyBorder="1" applyAlignment="1" applyProtection="1">
      <alignment vertical="center" readingOrder="1"/>
    </xf>
    <xf numFmtId="0" fontId="104" fillId="10" borderId="113" xfId="0" applyFont="1" applyFill="1" applyBorder="1" applyAlignment="1" applyProtection="1">
      <alignment horizontal="left" vertical="center" wrapText="1"/>
    </xf>
    <xf numFmtId="0" fontId="0" fillId="0" borderId="154" xfId="0" applyNumberFormat="1" applyBorder="1" applyAlignment="1" applyProtection="1">
      <alignment horizontal="left" vertical="center" wrapText="1"/>
    </xf>
    <xf numFmtId="49" fontId="104" fillId="10" borderId="134" xfId="0" applyNumberFormat="1" applyFont="1" applyFill="1" applyBorder="1" applyAlignment="1" applyProtection="1">
      <alignment horizontal="right" vertical="center"/>
    </xf>
    <xf numFmtId="2" fontId="36" fillId="0" borderId="150" xfId="2" applyNumberFormat="1" applyFont="1" applyBorder="1" applyAlignment="1" applyProtection="1">
      <alignment vertical="center" wrapText="1" readingOrder="1"/>
    </xf>
    <xf numFmtId="49" fontId="104" fillId="10" borderId="134" xfId="0" applyNumberFormat="1" applyFont="1" applyFill="1" applyBorder="1" applyAlignment="1" applyProtection="1">
      <alignment horizontal="left" vertical="center"/>
    </xf>
    <xf numFmtId="49" fontId="22" fillId="0" borderId="136" xfId="0" applyNumberFormat="1" applyFont="1" applyFill="1" applyBorder="1" applyAlignment="1" applyProtection="1">
      <alignment horizontal="left" vertical="center" readingOrder="1"/>
    </xf>
    <xf numFmtId="0" fontId="0" fillId="0" borderId="154" xfId="0" applyNumberFormat="1" applyBorder="1" applyProtection="1">
      <alignment horizontal="left" wrapText="1"/>
    </xf>
    <xf numFmtId="2" fontId="36" fillId="0" borderId="21" xfId="0" applyNumberFormat="1" applyFont="1" applyBorder="1" applyAlignment="1" applyProtection="1">
      <alignment horizontal="right" vertical="center" readingOrder="1"/>
    </xf>
    <xf numFmtId="4" fontId="36" fillId="0" borderId="22" xfId="2" applyNumberFormat="1" applyFont="1" applyBorder="1" applyAlignment="1" applyProtection="1">
      <alignment horizontal="right" vertical="center" wrapText="1"/>
    </xf>
    <xf numFmtId="49" fontId="6" fillId="0" borderId="86" xfId="0" applyNumberFormat="1" applyFont="1" applyFill="1" applyBorder="1" applyAlignment="1" applyProtection="1">
      <alignment horizontal="left" vertical="center" readingOrder="1"/>
    </xf>
    <xf numFmtId="49" fontId="22" fillId="0" borderId="22" xfId="0" applyNumberFormat="1" applyFont="1" applyFill="1" applyBorder="1" applyAlignment="1" applyProtection="1">
      <alignment horizontal="left" vertical="center" readingOrder="1"/>
    </xf>
    <xf numFmtId="2" fontId="6" fillId="0" borderId="22" xfId="0" applyNumberFormat="1" applyFont="1" applyFill="1" applyBorder="1" applyAlignment="1" applyProtection="1">
      <alignment horizontal="left" vertical="center" readingOrder="1"/>
    </xf>
    <xf numFmtId="2" fontId="63" fillId="0" borderId="88" xfId="0" applyNumberFormat="1" applyFont="1" applyBorder="1" applyAlignment="1" applyProtection="1">
      <alignment horizontal="right" vertical="center" wrapText="1" readingOrder="1"/>
    </xf>
    <xf numFmtId="2" fontId="144" fillId="0" borderId="88" xfId="0" applyNumberFormat="1" applyFont="1" applyBorder="1" applyAlignment="1" applyProtection="1">
      <alignment horizontal="left" vertical="center" readingOrder="1"/>
    </xf>
    <xf numFmtId="9" fontId="36" fillId="0" borderId="134" xfId="1" applyFont="1" applyBorder="1" applyAlignment="1" applyProtection="1">
      <alignment horizontal="right" vertical="top" wrapText="1" readingOrder="1"/>
    </xf>
    <xf numFmtId="2" fontId="39" fillId="0" borderId="134" xfId="0" applyNumberFormat="1" applyFont="1" applyBorder="1" applyAlignment="1" applyProtection="1">
      <alignment horizontal="left" vertical="top" readingOrder="1"/>
    </xf>
    <xf numFmtId="0" fontId="0" fillId="0" borderId="134" xfId="0" applyNumberFormat="1" applyBorder="1" applyAlignment="1" applyProtection="1">
      <alignment horizontal="left" vertical="top" wrapText="1"/>
    </xf>
    <xf numFmtId="0" fontId="0" fillId="0" borderId="134" xfId="0" applyNumberFormat="1" applyBorder="1" applyAlignment="1" applyProtection="1">
      <alignment horizontal="left" vertical="center" wrapText="1"/>
    </xf>
    <xf numFmtId="2" fontId="6" fillId="0" borderId="150" xfId="0" applyNumberFormat="1" applyFont="1" applyFill="1" applyBorder="1" applyAlignment="1" applyProtection="1">
      <alignment horizontal="left" vertical="center" readingOrder="1"/>
    </xf>
    <xf numFmtId="9" fontId="36" fillId="0" borderId="154" xfId="1" applyFont="1" applyBorder="1" applyAlignment="1" applyProtection="1">
      <alignment horizontal="right" vertical="top" wrapText="1" readingOrder="1"/>
    </xf>
    <xf numFmtId="2" fontId="39" fillId="0" borderId="154" xfId="0" applyNumberFormat="1" applyFont="1" applyBorder="1" applyAlignment="1" applyProtection="1">
      <alignment horizontal="left" vertical="top" readingOrder="1"/>
    </xf>
    <xf numFmtId="9" fontId="36" fillId="0" borderId="154" xfId="1" applyFont="1" applyBorder="1" applyAlignment="1" applyProtection="1">
      <alignment horizontal="center" vertical="top" wrapText="1" readingOrder="1"/>
    </xf>
    <xf numFmtId="0" fontId="0" fillId="0" borderId="155" xfId="0" applyNumberFormat="1" applyBorder="1" applyProtection="1">
      <alignment horizontal="left" wrapText="1"/>
    </xf>
    <xf numFmtId="49" fontId="22" fillId="0" borderId="22" xfId="0" applyNumberFormat="1" applyFont="1" applyFill="1" applyBorder="1" applyAlignment="1" applyProtection="1">
      <alignment horizontal="left" vertical="center" indent="2" readingOrder="1"/>
    </xf>
    <xf numFmtId="4" fontId="22" fillId="0" borderId="22" xfId="2" applyNumberFormat="1" applyFont="1" applyFill="1" applyBorder="1" applyAlignment="1" applyProtection="1">
      <alignment vertical="center"/>
    </xf>
    <xf numFmtId="43" fontId="22" fillId="0" borderId="6" xfId="2" applyFont="1" applyFill="1" applyBorder="1" applyAlignment="1" applyProtection="1">
      <alignment horizontal="left" vertical="center"/>
    </xf>
    <xf numFmtId="0" fontId="0" fillId="0" borderId="154" xfId="0" applyNumberFormat="1" applyFill="1" applyBorder="1" applyProtection="1">
      <alignment horizontal="left" wrapText="1"/>
    </xf>
    <xf numFmtId="9" fontId="233" fillId="0" borderId="51" xfId="1" applyFont="1" applyFill="1" applyBorder="1" applyAlignment="1" applyProtection="1">
      <alignment horizontal="center" vertical="center"/>
      <protection locked="0"/>
    </xf>
    <xf numFmtId="0" fontId="6" fillId="0" borderId="18" xfId="0" applyNumberFormat="1" applyFont="1" applyFill="1" applyBorder="1" applyAlignment="1" applyProtection="1">
      <alignment horizontal="left" vertical="center" readingOrder="1"/>
    </xf>
    <xf numFmtId="0" fontId="41" fillId="0" borderId="18" xfId="0" applyNumberFormat="1" applyFont="1" applyFill="1" applyBorder="1" applyAlignment="1" applyProtection="1">
      <alignment horizontal="center" vertical="center" wrapText="1"/>
      <protection locked="0"/>
    </xf>
    <xf numFmtId="49" fontId="6" fillId="0" borderId="18" xfId="0" applyNumberFormat="1" applyFont="1" applyFill="1" applyBorder="1" applyAlignment="1" applyProtection="1">
      <alignment horizontal="right" vertical="center" readingOrder="1"/>
    </xf>
    <xf numFmtId="0" fontId="46" fillId="0" borderId="18" xfId="0" applyNumberFormat="1" applyFont="1" applyFill="1" applyBorder="1" applyAlignment="1" applyProtection="1">
      <alignment horizontal="center" vertical="center" readingOrder="1"/>
      <protection locked="0"/>
    </xf>
    <xf numFmtId="2" fontId="15" fillId="0" borderId="18" xfId="0" applyNumberFormat="1" applyFont="1" applyFill="1" applyBorder="1" applyAlignment="1" applyProtection="1">
      <alignment horizontal="left" wrapText="1" readingOrder="1"/>
    </xf>
    <xf numFmtId="2" fontId="15" fillId="0" borderId="18" xfId="0" applyNumberFormat="1" applyFont="1" applyFill="1" applyBorder="1" applyAlignment="1" applyProtection="1">
      <alignment horizontal="center" wrapText="1" readingOrder="1"/>
    </xf>
    <xf numFmtId="0" fontId="46" fillId="0" borderId="18" xfId="0" applyNumberFormat="1" applyFont="1" applyFill="1" applyBorder="1" applyAlignment="1" applyProtection="1">
      <alignment horizontal="center" vertical="center" wrapText="1" readingOrder="1"/>
      <protection locked="0"/>
    </xf>
    <xf numFmtId="9" fontId="14" fillId="0" borderId="18" xfId="0" applyNumberFormat="1" applyFont="1" applyFill="1" applyBorder="1" applyAlignment="1" applyProtection="1">
      <alignment vertical="center" wrapText="1" readingOrder="1"/>
    </xf>
    <xf numFmtId="4" fontId="36" fillId="0" borderId="18" xfId="2" applyNumberFormat="1" applyFont="1" applyFill="1" applyBorder="1" applyAlignment="1" applyProtection="1">
      <alignment vertical="center" wrapText="1" readingOrder="1"/>
    </xf>
    <xf numFmtId="2" fontId="36" fillId="0" borderId="18" xfId="2" applyNumberFormat="1" applyFont="1" applyFill="1" applyBorder="1" applyAlignment="1" applyProtection="1">
      <alignment horizontal="center" vertical="center" wrapText="1" readingOrder="1"/>
    </xf>
    <xf numFmtId="49" fontId="84" fillId="0" borderId="18" xfId="0" applyNumberFormat="1" applyFont="1" applyFill="1" applyBorder="1" applyAlignment="1" applyProtection="1">
      <alignment horizontal="left" vertical="center" readingOrder="1"/>
    </xf>
    <xf numFmtId="43" fontId="84" fillId="0" borderId="18" xfId="2" applyFont="1" applyFill="1" applyBorder="1" applyAlignment="1" applyProtection="1">
      <alignment vertical="center" wrapText="1" readingOrder="1"/>
    </xf>
    <xf numFmtId="4" fontId="36" fillId="0" borderId="18" xfId="0" applyNumberFormat="1" applyFont="1" applyFill="1" applyBorder="1" applyAlignment="1" applyProtection="1">
      <alignment horizontal="center" vertical="center" wrapText="1" readingOrder="1"/>
    </xf>
    <xf numFmtId="49" fontId="59" fillId="0" borderId="18" xfId="0" applyNumberFormat="1" applyFont="1" applyFill="1" applyBorder="1" applyAlignment="1" applyProtection="1">
      <alignment horizontal="left" vertical="center" readingOrder="1"/>
    </xf>
    <xf numFmtId="49" fontId="41" fillId="0" borderId="18" xfId="3" applyNumberFormat="1" applyFont="1" applyFill="1" applyBorder="1" applyAlignment="1" applyProtection="1">
      <alignment horizontal="right" vertical="center" readingOrder="1"/>
      <protection locked="0"/>
    </xf>
    <xf numFmtId="0" fontId="103" fillId="0" borderId="18" xfId="0" applyFont="1" applyFill="1" applyBorder="1">
      <alignment horizontal="left" wrapText="1"/>
    </xf>
    <xf numFmtId="2" fontId="36" fillId="0" borderId="18" xfId="2" applyNumberFormat="1" applyFont="1" applyFill="1" applyBorder="1" applyAlignment="1" applyProtection="1">
      <alignment vertical="center" wrapText="1" readingOrder="1"/>
    </xf>
    <xf numFmtId="0" fontId="6" fillId="0" borderId="18" xfId="0" applyFont="1" applyFill="1" applyBorder="1" applyAlignment="1">
      <alignment horizontal="center" wrapText="1"/>
    </xf>
    <xf numFmtId="49" fontId="6" fillId="2" borderId="134" xfId="0" applyNumberFormat="1" applyFont="1" applyFill="1" applyBorder="1" applyAlignment="1" applyProtection="1">
      <alignment horizontal="left" vertical="center" indent="2" readingOrder="1"/>
    </xf>
    <xf numFmtId="49" fontId="6" fillId="2" borderId="134" xfId="0" applyNumberFormat="1" applyFont="1" applyFill="1" applyBorder="1" applyAlignment="1" applyProtection="1">
      <alignment horizontal="right" vertical="center" readingOrder="1"/>
    </xf>
    <xf numFmtId="0" fontId="46" fillId="2" borderId="134" xfId="0" applyNumberFormat="1" applyFont="1" applyFill="1" applyBorder="1" applyAlignment="1" applyProtection="1">
      <alignment horizontal="center" vertical="center" readingOrder="1"/>
      <protection locked="0"/>
    </xf>
    <xf numFmtId="49" fontId="22" fillId="2" borderId="134" xfId="0" applyNumberFormat="1" applyFont="1" applyFill="1" applyBorder="1" applyAlignment="1" applyProtection="1">
      <alignment horizontal="left" vertical="center" readingOrder="1"/>
    </xf>
    <xf numFmtId="2" fontId="15" fillId="2" borderId="134" xfId="0" applyNumberFormat="1" applyFont="1" applyFill="1" applyBorder="1" applyAlignment="1" applyProtection="1">
      <alignment horizontal="left" wrapText="1" readingOrder="1"/>
    </xf>
    <xf numFmtId="9" fontId="14" fillId="2" borderId="134" xfId="0" applyNumberFormat="1" applyFont="1" applyFill="1" applyBorder="1" applyAlignment="1" applyProtection="1">
      <alignment vertical="center" wrapText="1" readingOrder="1"/>
    </xf>
    <xf numFmtId="10" fontId="46" fillId="0" borderId="133" xfId="0" applyNumberFormat="1" applyFont="1" applyBorder="1" applyAlignment="1" applyProtection="1">
      <alignment vertical="center" wrapText="1" readingOrder="1"/>
      <protection locked="0"/>
    </xf>
    <xf numFmtId="0" fontId="6" fillId="0" borderId="133" xfId="0" applyNumberFormat="1" applyFont="1" applyBorder="1" applyAlignment="1" applyProtection="1">
      <alignment horizontal="left" vertical="center" readingOrder="1"/>
    </xf>
    <xf numFmtId="49" fontId="41" fillId="0" borderId="133" xfId="3" applyNumberFormat="1" applyFont="1" applyBorder="1" applyAlignment="1" applyProtection="1">
      <alignment horizontal="right" vertical="center" readingOrder="1"/>
      <protection locked="0"/>
    </xf>
    <xf numFmtId="0" fontId="46" fillId="0" borderId="133" xfId="0" applyNumberFormat="1" applyFont="1" applyBorder="1" applyAlignment="1" applyProtection="1">
      <alignment horizontal="center" vertical="center" readingOrder="1"/>
      <protection locked="0"/>
    </xf>
    <xf numFmtId="9" fontId="14" fillId="0" borderId="133" xfId="0" applyNumberFormat="1" applyFont="1" applyBorder="1" applyAlignment="1" applyProtection="1">
      <alignment vertical="center" wrapText="1" readingOrder="1"/>
    </xf>
    <xf numFmtId="43" fontId="84" fillId="2" borderId="134" xfId="2" applyFont="1" applyFill="1" applyBorder="1" applyAlignment="1" applyProtection="1">
      <alignment vertical="center" wrapText="1" readingOrder="1"/>
    </xf>
    <xf numFmtId="49" fontId="22" fillId="2" borderId="156" xfId="0" applyNumberFormat="1" applyFont="1" applyFill="1" applyBorder="1" applyAlignment="1" applyProtection="1">
      <alignment horizontal="left" vertical="center" indent="2" readingOrder="1"/>
    </xf>
    <xf numFmtId="0" fontId="65" fillId="2" borderId="156" xfId="0" applyNumberFormat="1" applyFont="1" applyFill="1" applyBorder="1" applyProtection="1">
      <alignment horizontal="left" wrapText="1"/>
    </xf>
    <xf numFmtId="49" fontId="22" fillId="2" borderId="156" xfId="0" applyNumberFormat="1" applyFont="1" applyFill="1" applyBorder="1" applyAlignment="1" applyProtection="1">
      <alignment horizontal="left" vertical="center"/>
    </xf>
    <xf numFmtId="49" fontId="22" fillId="2" borderId="156" xfId="0" applyNumberFormat="1" applyFont="1" applyFill="1" applyBorder="1" applyAlignment="1" applyProtection="1">
      <alignment horizontal="left" readingOrder="1"/>
    </xf>
    <xf numFmtId="49" fontId="6" fillId="2" borderId="156" xfId="0" applyNumberFormat="1" applyFont="1" applyFill="1" applyBorder="1" applyAlignment="1" applyProtection="1">
      <alignment horizontal="left" vertical="center" wrapText="1" readingOrder="1"/>
    </xf>
    <xf numFmtId="0" fontId="46" fillId="2" borderId="156" xfId="0" applyNumberFormat="1" applyFont="1" applyFill="1" applyBorder="1" applyAlignment="1" applyProtection="1">
      <alignment horizontal="center" vertical="center" wrapText="1" readingOrder="1"/>
      <protection locked="0"/>
    </xf>
    <xf numFmtId="49" fontId="59" fillId="2" borderId="156" xfId="0" applyNumberFormat="1" applyFont="1" applyFill="1" applyBorder="1" applyAlignment="1" applyProtection="1">
      <alignment horizontal="left" vertical="center" readingOrder="1"/>
    </xf>
    <xf numFmtId="43" fontId="63" fillId="2" borderId="156" xfId="2" applyFont="1" applyFill="1" applyBorder="1" applyAlignment="1" applyProtection="1">
      <alignment vertical="center" wrapText="1" readingOrder="1"/>
    </xf>
    <xf numFmtId="49" fontId="6" fillId="2" borderId="156" xfId="0" applyNumberFormat="1" applyFont="1" applyFill="1" applyBorder="1" applyAlignment="1" applyProtection="1">
      <alignment horizontal="left" vertical="center" indent="2" readingOrder="1"/>
    </xf>
    <xf numFmtId="0" fontId="6" fillId="2" borderId="156" xfId="0" applyNumberFormat="1" applyFont="1" applyFill="1" applyBorder="1" applyAlignment="1" applyProtection="1">
      <alignment horizontal="left" vertical="center" readingOrder="1"/>
    </xf>
    <xf numFmtId="0" fontId="0" fillId="2" borderId="156" xfId="0" applyNumberFormat="1" applyFill="1" applyBorder="1" applyProtection="1">
      <alignment horizontal="left" wrapText="1"/>
    </xf>
    <xf numFmtId="43" fontId="84" fillId="2" borderId="156" xfId="2" applyFont="1" applyFill="1" applyBorder="1" applyAlignment="1" applyProtection="1">
      <alignment vertical="center" wrapText="1" readingOrder="1"/>
    </xf>
    <xf numFmtId="9" fontId="14" fillId="2" borderId="156" xfId="0" applyNumberFormat="1" applyFont="1" applyFill="1" applyBorder="1" applyAlignment="1" applyProtection="1">
      <alignment vertical="center" wrapText="1" readingOrder="1"/>
    </xf>
    <xf numFmtId="49" fontId="6" fillId="2" borderId="156" xfId="0" applyNumberFormat="1" applyFont="1" applyFill="1" applyBorder="1" applyAlignment="1" applyProtection="1">
      <alignment horizontal="left" vertical="center"/>
    </xf>
    <xf numFmtId="49" fontId="134" fillId="11" borderId="113" xfId="0" applyNumberFormat="1" applyFont="1" applyFill="1" applyBorder="1" applyAlignment="1" applyProtection="1">
      <alignment horizontal="right" vertical="center"/>
    </xf>
    <xf numFmtId="49" fontId="134" fillId="11" borderId="113" xfId="0" applyNumberFormat="1" applyFont="1" applyFill="1" applyBorder="1" applyAlignment="1" applyProtection="1">
      <alignment horizontal="center" vertical="center"/>
    </xf>
    <xf numFmtId="49" fontId="134" fillId="11" borderId="113" xfId="0" applyNumberFormat="1" applyFont="1" applyFill="1" applyBorder="1" applyAlignment="1" applyProtection="1">
      <alignment horizontal="right" vertical="center" readingOrder="1"/>
    </xf>
    <xf numFmtId="49" fontId="22" fillId="11" borderId="113" xfId="0" applyNumberFormat="1" applyFont="1" applyFill="1" applyBorder="1" applyAlignment="1" applyProtection="1">
      <alignment horizontal="left" vertical="center"/>
    </xf>
    <xf numFmtId="0" fontId="22" fillId="11" borderId="113" xfId="0" applyNumberFormat="1" applyFont="1" applyFill="1" applyBorder="1" applyAlignment="1" applyProtection="1">
      <alignment horizontal="left" readingOrder="1"/>
    </xf>
    <xf numFmtId="0" fontId="65" fillId="11" borderId="113" xfId="0" applyNumberFormat="1" applyFont="1" applyFill="1" applyBorder="1" applyProtection="1">
      <alignment horizontal="left" wrapText="1"/>
    </xf>
    <xf numFmtId="49" fontId="17" fillId="11" borderId="113" xfId="0" applyNumberFormat="1" applyFont="1" applyFill="1" applyBorder="1" applyAlignment="1" applyProtection="1">
      <alignment horizontal="center" vertical="center"/>
    </xf>
    <xf numFmtId="49" fontId="22" fillId="2" borderId="156" xfId="0" applyNumberFormat="1" applyFont="1" applyFill="1" applyBorder="1" applyAlignment="1" applyProtection="1">
      <alignment horizontal="left" vertical="center" readingOrder="1"/>
    </xf>
    <xf numFmtId="0" fontId="41" fillId="2" borderId="134" xfId="0" applyNumberFormat="1" applyFont="1" applyFill="1" applyBorder="1" applyAlignment="1" applyProtection="1">
      <alignment horizontal="right" vertical="center" wrapText="1"/>
      <protection locked="0"/>
    </xf>
    <xf numFmtId="49" fontId="134" fillId="11" borderId="113" xfId="0" applyNumberFormat="1" applyFont="1" applyFill="1" applyBorder="1" applyAlignment="1" applyProtection="1">
      <alignment horizontal="right" vertical="center" wrapText="1"/>
    </xf>
    <xf numFmtId="0" fontId="41" fillId="2" borderId="156" xfId="3" applyNumberFormat="1" applyFont="1" applyFill="1" applyBorder="1" applyAlignment="1" applyProtection="1">
      <alignment horizontal="right" vertical="center" readingOrder="1"/>
      <protection locked="0"/>
    </xf>
    <xf numFmtId="2" fontId="89" fillId="0" borderId="156" xfId="0" applyNumberFormat="1" applyFont="1" applyFill="1" applyBorder="1" applyAlignment="1" applyProtection="1">
      <alignment horizontal="center" vertical="center" wrapText="1"/>
    </xf>
    <xf numFmtId="169" fontId="41" fillId="2" borderId="156" xfId="0" applyNumberFormat="1" applyFont="1" applyFill="1" applyBorder="1" applyAlignment="1" applyProtection="1">
      <alignment horizontal="center" wrapText="1" readingOrder="1"/>
    </xf>
    <xf numFmtId="169" fontId="15" fillId="2" borderId="156" xfId="0" applyNumberFormat="1" applyFont="1" applyFill="1" applyBorder="1" applyAlignment="1" applyProtection="1">
      <alignment horizontal="center" wrapText="1" readingOrder="1"/>
    </xf>
    <xf numFmtId="4" fontId="36" fillId="2" borderId="156" xfId="0" applyNumberFormat="1" applyFont="1" applyFill="1" applyBorder="1" applyAlignment="1" applyProtection="1">
      <alignment horizontal="left" vertical="center" wrapText="1" readingOrder="1"/>
    </xf>
    <xf numFmtId="4" fontId="6" fillId="2" borderId="156" xfId="0" applyNumberFormat="1" applyFont="1" applyFill="1" applyBorder="1" applyAlignment="1" applyProtection="1">
      <alignment horizontal="left" vertical="center"/>
    </xf>
    <xf numFmtId="0" fontId="44" fillId="2" borderId="156" xfId="0" applyNumberFormat="1" applyFont="1" applyFill="1" applyBorder="1" applyAlignment="1" applyProtection="1">
      <alignment horizontal="right" wrapText="1"/>
    </xf>
    <xf numFmtId="169" fontId="63" fillId="2" borderId="156" xfId="0" applyNumberFormat="1" applyFont="1" applyFill="1" applyBorder="1" applyAlignment="1" applyProtection="1">
      <alignment horizontal="center" wrapText="1" readingOrder="1"/>
    </xf>
    <xf numFmtId="4" fontId="22" fillId="2" borderId="156" xfId="2" applyNumberFormat="1" applyFont="1" applyFill="1" applyBorder="1" applyAlignment="1" applyProtection="1">
      <alignment vertical="center" wrapText="1" readingOrder="1"/>
    </xf>
    <xf numFmtId="2" fontId="22" fillId="2" borderId="156" xfId="2" applyNumberFormat="1" applyFont="1" applyFill="1" applyBorder="1" applyAlignment="1" applyProtection="1">
      <alignment horizontal="right" vertical="center" wrapText="1" readingOrder="1"/>
    </xf>
    <xf numFmtId="169" fontId="6" fillId="2" borderId="134" xfId="0" applyNumberFormat="1" applyFont="1" applyFill="1" applyBorder="1" applyAlignment="1" applyProtection="1">
      <alignment horizontal="center" wrapText="1" readingOrder="1"/>
    </xf>
    <xf numFmtId="169" fontId="6" fillId="2" borderId="156" xfId="0" applyNumberFormat="1" applyFont="1" applyFill="1" applyBorder="1" applyAlignment="1" applyProtection="1">
      <alignment horizontal="center" vertical="center" wrapText="1" readingOrder="1"/>
    </xf>
    <xf numFmtId="169" fontId="6" fillId="2" borderId="156" xfId="0" applyNumberFormat="1" applyFont="1" applyFill="1" applyBorder="1" applyAlignment="1" applyProtection="1">
      <alignment horizontal="center" wrapText="1" readingOrder="1"/>
    </xf>
    <xf numFmtId="10" fontId="63" fillId="0" borderId="133" xfId="0" applyNumberFormat="1" applyFont="1" applyBorder="1" applyAlignment="1" applyProtection="1">
      <alignment vertical="center" wrapText="1" readingOrder="1"/>
    </xf>
    <xf numFmtId="2" fontId="63" fillId="0" borderId="19" xfId="0" applyNumberFormat="1" applyFont="1" applyBorder="1" applyAlignment="1" applyProtection="1">
      <alignment vertical="center" wrapText="1" readingOrder="1"/>
    </xf>
    <xf numFmtId="0" fontId="36" fillId="2" borderId="156" xfId="3" applyNumberFormat="1" applyFont="1" applyFill="1" applyBorder="1" applyAlignment="1" applyProtection="1">
      <alignment horizontal="right" vertical="center" readingOrder="1"/>
    </xf>
    <xf numFmtId="0" fontId="36" fillId="2" borderId="134" xfId="0" applyNumberFormat="1" applyFont="1" applyFill="1" applyBorder="1" applyAlignment="1" applyProtection="1">
      <alignment horizontal="right" vertical="center" wrapText="1"/>
    </xf>
    <xf numFmtId="0" fontId="63" fillId="2" borderId="134" xfId="0" applyNumberFormat="1" applyFont="1" applyFill="1" applyBorder="1" applyAlignment="1" applyProtection="1">
      <alignment horizontal="center" vertical="center" readingOrder="1"/>
    </xf>
    <xf numFmtId="49" fontId="6" fillId="0" borderId="133" xfId="0" applyNumberFormat="1" applyFont="1" applyFill="1" applyBorder="1" applyAlignment="1" applyProtection="1">
      <alignment horizontal="left" vertical="center" wrapText="1" indent="2" readingOrder="1"/>
    </xf>
    <xf numFmtId="49" fontId="6" fillId="0" borderId="19" xfId="0" applyNumberFormat="1" applyFont="1" applyFill="1" applyBorder="1" applyAlignment="1" applyProtection="1">
      <alignment horizontal="left" vertical="center" indent="2" readingOrder="1"/>
    </xf>
    <xf numFmtId="49" fontId="6" fillId="0" borderId="20" xfId="0" applyNumberFormat="1" applyFont="1" applyFill="1" applyBorder="1" applyAlignment="1" applyProtection="1">
      <alignment horizontal="left" vertical="center" wrapText="1" indent="2" readingOrder="1"/>
    </xf>
    <xf numFmtId="49" fontId="22" fillId="0" borderId="20" xfId="0" applyNumberFormat="1" applyFont="1" applyFill="1" applyBorder="1" applyAlignment="1" applyProtection="1">
      <alignment horizontal="left" vertical="center" indent="2" readingOrder="1"/>
    </xf>
    <xf numFmtId="49" fontId="6" fillId="0" borderId="20" xfId="0" applyNumberFormat="1" applyFont="1" applyFill="1" applyBorder="1" applyAlignment="1" applyProtection="1">
      <alignment horizontal="left" vertical="center" indent="2" readingOrder="1"/>
    </xf>
    <xf numFmtId="49" fontId="6" fillId="0" borderId="157" xfId="0" applyNumberFormat="1" applyFont="1" applyFill="1" applyBorder="1" applyAlignment="1" applyProtection="1">
      <alignment horizontal="left" vertical="top" indent="2" readingOrder="1"/>
    </xf>
    <xf numFmtId="49" fontId="134" fillId="0" borderId="18" xfId="0" applyNumberFormat="1" applyFont="1" applyFill="1" applyBorder="1" applyAlignment="1" applyProtection="1">
      <alignment horizontal="right" vertical="center" readingOrder="1"/>
    </xf>
    <xf numFmtId="0" fontId="22" fillId="0" borderId="18" xfId="0" applyNumberFormat="1" applyFont="1" applyFill="1" applyBorder="1" applyAlignment="1" applyProtection="1">
      <alignment horizontal="left" readingOrder="1"/>
    </xf>
    <xf numFmtId="182" fontId="220" fillId="0" borderId="18" xfId="4" applyNumberFormat="1" applyFont="1" applyFill="1" applyBorder="1" applyAlignment="1" applyProtection="1">
      <alignment horizontal="left" wrapText="1"/>
    </xf>
    <xf numFmtId="170" fontId="11" fillId="0" borderId="11" xfId="0" applyNumberFormat="1" applyFont="1" applyFill="1" applyBorder="1" applyAlignment="1" applyProtection="1">
      <alignment horizontal="left"/>
    </xf>
    <xf numFmtId="49" fontId="11" fillId="0" borderId="11" xfId="0" applyNumberFormat="1" applyFont="1" applyFill="1" applyBorder="1" applyAlignment="1" applyProtection="1">
      <alignment horizontal="center"/>
    </xf>
    <xf numFmtId="49" fontId="6" fillId="0" borderId="20" xfId="0" applyNumberFormat="1" applyFont="1" applyFill="1" applyBorder="1" applyAlignment="1" applyProtection="1">
      <alignment horizontal="left" vertical="center" readingOrder="1"/>
    </xf>
    <xf numFmtId="4" fontId="22" fillId="0" borderId="21" xfId="2" applyNumberFormat="1" applyFont="1" applyBorder="1" applyAlignment="1" applyProtection="1">
      <alignment horizontal="left" vertical="center" wrapText="1" readingOrder="1"/>
    </xf>
    <xf numFmtId="4" fontId="22" fillId="0" borderId="104" xfId="2" applyNumberFormat="1" applyFont="1" applyBorder="1" applyAlignment="1" applyProtection="1">
      <alignment vertical="center" wrapText="1" readingOrder="1"/>
    </xf>
    <xf numFmtId="9" fontId="22" fillId="0" borderId="94" xfId="0" applyNumberFormat="1" applyFont="1" applyBorder="1" applyAlignment="1" applyProtection="1">
      <alignment vertical="top" wrapText="1" readingOrder="1"/>
    </xf>
    <xf numFmtId="9" fontId="22" fillId="0" borderId="21" xfId="0" applyNumberFormat="1" applyFont="1" applyBorder="1" applyAlignment="1" applyProtection="1">
      <alignment horizontal="left" vertical="center" wrapText="1" readingOrder="1"/>
    </xf>
    <xf numFmtId="0" fontId="0" fillId="0" borderId="134" xfId="0" applyNumberFormat="1" applyBorder="1" applyProtection="1">
      <alignment horizontal="left" wrapText="1"/>
    </xf>
    <xf numFmtId="10" fontId="22" fillId="0" borderId="87" xfId="1" applyNumberFormat="1" applyFont="1" applyBorder="1" applyAlignment="1" applyProtection="1">
      <alignment horizontal="right" vertical="center" wrapText="1" readingOrder="1"/>
    </xf>
    <xf numFmtId="167" fontId="22" fillId="0" borderId="101" xfId="0" applyNumberFormat="1" applyFont="1" applyBorder="1" applyAlignment="1" applyProtection="1">
      <alignment horizontal="right" vertical="center" wrapText="1" readingOrder="1"/>
    </xf>
    <xf numFmtId="4" fontId="22" fillId="0" borderId="81" xfId="2" applyNumberFormat="1" applyFont="1" applyBorder="1" applyAlignment="1" applyProtection="1">
      <alignment vertical="center" readingOrder="1"/>
    </xf>
    <xf numFmtId="2" fontId="6" fillId="0" borderId="81" xfId="0" applyNumberFormat="1" applyFont="1" applyBorder="1" applyAlignment="1" applyProtection="1">
      <alignment horizontal="center" vertical="center" wrapText="1"/>
    </xf>
    <xf numFmtId="0" fontId="6" fillId="0" borderId="18" xfId="0" applyFont="1" applyBorder="1" applyAlignment="1">
      <alignment horizontal="center" vertical="center"/>
    </xf>
    <xf numFmtId="4" fontId="22" fillId="0" borderId="148" xfId="0" applyNumberFormat="1" applyFont="1" applyFill="1" applyBorder="1" applyAlignment="1">
      <alignment vertical="center" wrapText="1" readingOrder="1"/>
    </xf>
    <xf numFmtId="43" fontId="45" fillId="2" borderId="134" xfId="2" applyFont="1" applyFill="1" applyBorder="1" applyAlignment="1" applyProtection="1">
      <alignment vertical="center" wrapText="1" readingOrder="1"/>
    </xf>
    <xf numFmtId="43" fontId="45" fillId="2" borderId="156" xfId="2" applyFont="1" applyFill="1" applyBorder="1" applyAlignment="1" applyProtection="1">
      <alignment vertical="center" wrapText="1" readingOrder="1"/>
    </xf>
    <xf numFmtId="49" fontId="104" fillId="10" borderId="113" xfId="0" applyNumberFormat="1" applyFont="1" applyFill="1" applyBorder="1" applyAlignment="1" applyProtection="1">
      <alignment horizontal="right" vertical="center"/>
    </xf>
    <xf numFmtId="49" fontId="6" fillId="0" borderId="152" xfId="0" applyNumberFormat="1" applyFont="1" applyBorder="1" applyAlignment="1" applyProtection="1">
      <alignment horizontal="left" vertical="center"/>
    </xf>
    <xf numFmtId="49" fontId="6" fillId="11" borderId="158" xfId="0" applyNumberFormat="1" applyFont="1" applyFill="1" applyBorder="1" applyAlignment="1" applyProtection="1">
      <alignment horizontal="left" vertical="center"/>
    </xf>
    <xf numFmtId="2" fontId="63" fillId="0" borderId="117" xfId="1" applyNumberFormat="1" applyFont="1" applyBorder="1" applyAlignment="1">
      <alignment horizontal="center" vertical="center" wrapText="1"/>
    </xf>
    <xf numFmtId="0" fontId="63" fillId="0" borderId="18" xfId="0" applyNumberFormat="1" applyFont="1" applyBorder="1" applyAlignment="1">
      <alignment horizontal="right" vertical="center"/>
    </xf>
    <xf numFmtId="0" fontId="63" fillId="0" borderId="151" xfId="0" applyNumberFormat="1" applyFont="1" applyBorder="1" applyAlignment="1">
      <alignment horizontal="right"/>
    </xf>
    <xf numFmtId="0" fontId="8" fillId="0" borderId="159" xfId="0" applyNumberFormat="1" applyFont="1" applyBorder="1" applyAlignment="1">
      <alignment horizontal="center" vertical="center" wrapText="1"/>
    </xf>
    <xf numFmtId="0" fontId="8" fillId="0" borderId="121" xfId="0" applyNumberFormat="1" applyFont="1" applyFill="1" applyBorder="1" applyAlignment="1">
      <alignment horizontal="center" vertical="center" wrapText="1"/>
    </xf>
    <xf numFmtId="49" fontId="22" fillId="0" borderId="18" xfId="0" applyNumberFormat="1" applyFont="1" applyFill="1" applyBorder="1" applyAlignment="1" applyProtection="1">
      <alignment horizontal="left" vertical="top" readingOrder="1"/>
    </xf>
    <xf numFmtId="49" fontId="95" fillId="0" borderId="18" xfId="0" applyNumberFormat="1" applyFont="1" applyFill="1" applyBorder="1" applyAlignment="1" applyProtection="1">
      <alignment horizontal="left" vertical="center"/>
    </xf>
    <xf numFmtId="0" fontId="0" fillId="0" borderId="18" xfId="0" applyFill="1" applyBorder="1" applyAlignment="1">
      <alignment horizontal="center" vertical="center" wrapText="1"/>
    </xf>
    <xf numFmtId="49" fontId="22" fillId="0" borderId="157" xfId="0" applyNumberFormat="1" applyFont="1" applyBorder="1" applyAlignment="1" applyProtection="1">
      <alignment horizontal="left" vertical="center" indent="2" readingOrder="1"/>
    </xf>
    <xf numFmtId="49" fontId="66" fillId="0" borderId="151" xfId="0" applyNumberFormat="1" applyFont="1" applyBorder="1" applyAlignment="1">
      <alignment horizontal="left" vertical="center"/>
    </xf>
    <xf numFmtId="0" fontId="103" fillId="0" borderId="137" xfId="0" applyFont="1" applyBorder="1">
      <alignment horizontal="left" wrapText="1"/>
    </xf>
    <xf numFmtId="0" fontId="82" fillId="0" borderId="137" xfId="0" applyFont="1" applyBorder="1">
      <alignment horizontal="left" wrapText="1"/>
    </xf>
    <xf numFmtId="0" fontId="0" fillId="0" borderId="151" xfId="0" applyNumberFormat="1" applyBorder="1">
      <alignment horizontal="left" wrapText="1"/>
    </xf>
    <xf numFmtId="0" fontId="82" fillId="0" borderId="151" xfId="0" applyNumberFormat="1" applyFont="1" applyBorder="1">
      <alignment horizontal="left" wrapText="1"/>
    </xf>
    <xf numFmtId="0" fontId="20" fillId="0" borderId="151" xfId="0" applyFont="1" applyBorder="1" applyProtection="1">
      <alignment horizontal="left" wrapText="1"/>
    </xf>
    <xf numFmtId="49" fontId="6" fillId="11" borderId="18" xfId="0" applyNumberFormat="1" applyFont="1" applyFill="1" applyBorder="1" applyAlignment="1" applyProtection="1">
      <alignment horizontal="left" vertical="center"/>
    </xf>
    <xf numFmtId="0" fontId="0" fillId="11" borderId="18" xfId="0" applyNumberFormat="1" applyFill="1" applyBorder="1">
      <alignment horizontal="left" wrapText="1"/>
    </xf>
    <xf numFmtId="0" fontId="82" fillId="11" borderId="18" xfId="0" applyNumberFormat="1" applyFont="1" applyFill="1" applyBorder="1">
      <alignment horizontal="left" wrapText="1"/>
    </xf>
    <xf numFmtId="49" fontId="6" fillId="0" borderId="151" xfId="0" applyNumberFormat="1" applyFont="1" applyFill="1" applyBorder="1" applyAlignment="1" applyProtection="1">
      <alignment horizontal="left" vertical="center"/>
    </xf>
    <xf numFmtId="0" fontId="0" fillId="0" borderId="151" xfId="0" applyNumberFormat="1" applyFill="1" applyBorder="1">
      <alignment horizontal="left" wrapText="1"/>
    </xf>
    <xf numFmtId="0" fontId="82" fillId="0" borderId="151" xfId="0" applyNumberFormat="1" applyFont="1" applyFill="1" applyBorder="1">
      <alignment horizontal="left" wrapText="1"/>
    </xf>
    <xf numFmtId="0" fontId="20" fillId="0" borderId="122" xfId="0" applyFont="1" applyBorder="1" applyProtection="1">
      <alignment horizontal="left" wrapText="1"/>
    </xf>
    <xf numFmtId="0" fontId="0" fillId="0" borderId="122" xfId="0" applyNumberFormat="1" applyBorder="1" applyAlignment="1" applyProtection="1">
      <alignment horizontal="left" vertical="center" wrapText="1"/>
    </xf>
    <xf numFmtId="0" fontId="148" fillId="16" borderId="113" xfId="0" applyFont="1" applyFill="1" applyBorder="1">
      <alignment horizontal="left" wrapText="1"/>
    </xf>
    <xf numFmtId="49" fontId="134" fillId="11" borderId="113" xfId="0" applyNumberFormat="1" applyFont="1" applyFill="1" applyBorder="1" applyAlignment="1" applyProtection="1">
      <alignment horizontal="left"/>
    </xf>
    <xf numFmtId="0" fontId="137" fillId="0" borderId="62" xfId="0" applyFont="1" applyFill="1" applyBorder="1" applyAlignment="1" applyProtection="1">
      <alignment horizontal="left" vertical="center" wrapText="1"/>
    </xf>
    <xf numFmtId="0" fontId="137" fillId="0" borderId="62" xfId="0" applyFont="1" applyFill="1" applyBorder="1" applyAlignment="1">
      <alignment horizontal="center" wrapText="1"/>
    </xf>
    <xf numFmtId="0" fontId="156" fillId="0" borderId="62" xfId="0" applyFont="1" applyFill="1" applyBorder="1" applyAlignment="1">
      <alignment horizontal="center" wrapText="1"/>
    </xf>
    <xf numFmtId="0" fontId="137" fillId="11" borderId="113" xfId="0" applyFont="1" applyFill="1" applyBorder="1" applyAlignment="1" applyProtection="1">
      <alignment horizontal="left" vertical="center" wrapText="1"/>
    </xf>
    <xf numFmtId="0" fontId="137" fillId="11" borderId="113" xfId="0" applyFont="1" applyFill="1" applyBorder="1" applyAlignment="1">
      <alignment horizontal="center" wrapText="1"/>
    </xf>
    <xf numFmtId="0" fontId="156" fillId="11" borderId="113" xfId="0" applyFont="1" applyFill="1" applyBorder="1" applyAlignment="1">
      <alignment horizontal="center" wrapText="1"/>
    </xf>
    <xf numFmtId="9" fontId="134" fillId="6" borderId="148" xfId="0" applyNumberFormat="1" applyFont="1" applyFill="1" applyBorder="1" applyAlignment="1" applyProtection="1">
      <alignment horizontal="right" vertical="center" wrapText="1"/>
    </xf>
    <xf numFmtId="0" fontId="6" fillId="0" borderId="151" xfId="0" applyFont="1" applyBorder="1" applyAlignment="1">
      <alignment horizontal="center" vertical="center" wrapText="1"/>
    </xf>
    <xf numFmtId="0" fontId="41" fillId="0" borderId="151" xfId="0" applyFont="1" applyBorder="1" applyAlignment="1">
      <alignment horizontal="center" vertical="center" wrapText="1"/>
    </xf>
    <xf numFmtId="49" fontId="22" fillId="11" borderId="113" xfId="0" applyNumberFormat="1" applyFont="1" applyFill="1" applyBorder="1" applyAlignment="1" applyProtection="1">
      <alignment horizontal="left" vertical="center" wrapText="1"/>
    </xf>
    <xf numFmtId="0" fontId="134" fillId="0" borderId="62" xfId="0" applyNumberFormat="1" applyFont="1" applyFill="1" applyBorder="1" applyAlignment="1">
      <alignment horizontal="center" vertical="center" wrapText="1"/>
    </xf>
    <xf numFmtId="0" fontId="202" fillId="0" borderId="62" xfId="0" applyNumberFormat="1" applyFont="1" applyFill="1" applyBorder="1" applyAlignment="1">
      <alignment horizontal="center" vertical="center" wrapText="1"/>
    </xf>
    <xf numFmtId="0" fontId="134" fillId="11" borderId="113" xfId="0" applyNumberFormat="1" applyFont="1" applyFill="1" applyBorder="1" applyAlignment="1">
      <alignment horizontal="center" vertical="center" wrapText="1"/>
    </xf>
    <xf numFmtId="0" fontId="202" fillId="11" borderId="113" xfId="0" applyNumberFormat="1" applyFont="1" applyFill="1" applyBorder="1" applyAlignment="1">
      <alignment horizontal="center" vertical="center" wrapText="1"/>
    </xf>
    <xf numFmtId="2" fontId="22" fillId="0" borderId="62" xfId="0" applyNumberFormat="1" applyFont="1" applyFill="1" applyBorder="1" applyAlignment="1" applyProtection="1">
      <alignment horizontal="left" vertical="center"/>
    </xf>
    <xf numFmtId="0" fontId="22" fillId="0" borderId="62" xfId="0" applyNumberFormat="1" applyFont="1" applyFill="1" applyBorder="1" applyAlignment="1">
      <alignment horizontal="center" vertical="center" wrapText="1"/>
    </xf>
    <xf numFmtId="0" fontId="36" fillId="0" borderId="62" xfId="0" applyNumberFormat="1" applyFont="1" applyFill="1" applyBorder="1" applyAlignment="1">
      <alignment horizontal="center" vertical="center" wrapText="1"/>
    </xf>
    <xf numFmtId="2" fontId="22" fillId="11" borderId="113" xfId="0" applyNumberFormat="1" applyFont="1" applyFill="1" applyBorder="1" applyAlignment="1" applyProtection="1">
      <alignment horizontal="left" vertical="center"/>
    </xf>
    <xf numFmtId="0" fontId="22" fillId="11" borderId="113" xfId="0" applyNumberFormat="1" applyFont="1" applyFill="1" applyBorder="1" applyAlignment="1">
      <alignment horizontal="center" vertical="center" wrapText="1"/>
    </xf>
    <xf numFmtId="0" fontId="36" fillId="11" borderId="113" xfId="0" applyNumberFormat="1" applyFont="1" applyFill="1" applyBorder="1" applyAlignment="1">
      <alignment horizontal="center" vertical="center" wrapText="1"/>
    </xf>
    <xf numFmtId="9" fontId="134" fillId="0" borderId="122" xfId="0" applyNumberFormat="1" applyFont="1" applyFill="1" applyBorder="1" applyAlignment="1" applyProtection="1">
      <alignment horizontal="right" vertical="center" wrapText="1"/>
    </xf>
    <xf numFmtId="2" fontId="63" fillId="0" borderId="135" xfId="0" applyNumberFormat="1" applyFont="1" applyBorder="1" applyAlignment="1" applyProtection="1">
      <alignment horizontal="right" vertical="center"/>
    </xf>
    <xf numFmtId="9" fontId="14" fillId="0" borderId="89" xfId="0" applyNumberFormat="1" applyFont="1" applyFill="1" applyBorder="1" applyAlignment="1" applyProtection="1">
      <alignment horizontal="right" vertical="center" wrapText="1"/>
    </xf>
    <xf numFmtId="9" fontId="14" fillId="0" borderId="89" xfId="0" applyNumberFormat="1" applyFont="1" applyFill="1" applyBorder="1" applyAlignment="1" applyProtection="1">
      <alignment horizontal="right" vertical="top" wrapText="1"/>
    </xf>
    <xf numFmtId="9" fontId="242" fillId="0" borderId="34" xfId="0" applyNumberFormat="1" applyFont="1" applyBorder="1" applyAlignment="1">
      <alignment horizontal="right" vertical="center" wrapText="1"/>
    </xf>
    <xf numFmtId="0" fontId="0" fillId="0" borderId="160" xfId="0" applyNumberFormat="1" applyBorder="1" applyProtection="1">
      <alignment horizontal="left" wrapText="1"/>
    </xf>
    <xf numFmtId="1" fontId="233" fillId="0" borderId="89" xfId="0" applyNumberFormat="1" applyFont="1" applyBorder="1" applyAlignment="1" applyProtection="1">
      <alignment horizontal="right" vertical="center" wrapText="1"/>
      <protection locked="0"/>
    </xf>
    <xf numFmtId="3" fontId="233" fillId="0" borderId="5" xfId="0" applyNumberFormat="1" applyFont="1" applyBorder="1" applyAlignment="1" applyProtection="1">
      <alignment horizontal="right" vertical="center" wrapText="1"/>
      <protection locked="0"/>
    </xf>
    <xf numFmtId="1" fontId="233" fillId="0" borderId="5" xfId="0" applyNumberFormat="1" applyFont="1" applyBorder="1" applyAlignment="1" applyProtection="1">
      <alignment horizontal="right" vertical="center" wrapText="1"/>
      <protection locked="0"/>
    </xf>
    <xf numFmtId="9" fontId="233" fillId="0" borderId="5" xfId="1" applyFont="1" applyBorder="1" applyAlignment="1" applyProtection="1">
      <alignment horizontal="right" vertical="center" wrapText="1"/>
      <protection locked="0"/>
    </xf>
    <xf numFmtId="0" fontId="59" fillId="0" borderId="21" xfId="0" applyNumberFormat="1" applyFont="1" applyBorder="1" applyAlignment="1" applyProtection="1">
      <alignment vertical="center" wrapText="1" readingOrder="1"/>
    </xf>
    <xf numFmtId="2" fontId="59" fillId="0" borderId="101" xfId="0" applyNumberFormat="1" applyFont="1" applyBorder="1" applyAlignment="1" applyProtection="1">
      <alignment vertical="center" wrapText="1" readingOrder="1"/>
    </xf>
    <xf numFmtId="0" fontId="59" fillId="0" borderId="21" xfId="0" applyNumberFormat="1" applyFont="1" applyBorder="1" applyAlignment="1" applyProtection="1">
      <alignment vertical="center" wrapText="1" readingOrder="1"/>
      <protection locked="0"/>
    </xf>
    <xf numFmtId="0" fontId="193" fillId="2" borderId="18" xfId="0" applyNumberFormat="1" applyFont="1" applyFill="1" applyBorder="1" applyAlignment="1" applyProtection="1">
      <alignment horizontal="left" vertical="center" readingOrder="1"/>
    </xf>
    <xf numFmtId="4" fontId="193" fillId="2" borderId="18" xfId="2" applyNumberFormat="1" applyFont="1" applyFill="1" applyBorder="1" applyAlignment="1" applyProtection="1">
      <alignment horizontal="right" vertical="center" readingOrder="1"/>
    </xf>
    <xf numFmtId="49" fontId="63" fillId="17" borderId="147" xfId="0" applyNumberFormat="1" applyFont="1" applyFill="1" applyBorder="1" applyAlignment="1" applyProtection="1">
      <alignment horizontal="left" vertical="center" wrapText="1" readingOrder="1"/>
    </xf>
    <xf numFmtId="4" fontId="63" fillId="17" borderId="148" xfId="2" applyNumberFormat="1" applyFont="1" applyFill="1" applyBorder="1" applyAlignment="1" applyProtection="1">
      <alignment horizontal="right" vertical="center" readingOrder="1"/>
    </xf>
    <xf numFmtId="0" fontId="6" fillId="17" borderId="148" xfId="0" applyNumberFormat="1" applyFont="1" applyFill="1" applyBorder="1" applyAlignment="1">
      <alignment horizontal="right" wrapText="1"/>
    </xf>
    <xf numFmtId="4" fontId="15" fillId="17" borderId="137" xfId="0" applyNumberFormat="1" applyFont="1" applyFill="1" applyBorder="1" applyAlignment="1">
      <alignment horizontal="right" wrapText="1"/>
    </xf>
    <xf numFmtId="4" fontId="243" fillId="2" borderId="18" xfId="2" applyNumberFormat="1" applyFont="1" applyFill="1" applyBorder="1" applyAlignment="1" applyProtection="1">
      <alignment horizontal="right" vertical="top" readingOrder="1"/>
    </xf>
    <xf numFmtId="0" fontId="41" fillId="0" borderId="138" xfId="0" applyFont="1" applyBorder="1" applyAlignment="1" applyProtection="1">
      <alignment horizontal="left" vertical="center"/>
      <protection locked="0"/>
    </xf>
    <xf numFmtId="4" fontId="63" fillId="0" borderId="138" xfId="0" applyNumberFormat="1" applyFont="1" applyFill="1" applyBorder="1" applyAlignment="1" applyProtection="1">
      <alignment horizontal="right" vertical="top"/>
    </xf>
    <xf numFmtId="0" fontId="41" fillId="0" borderId="80" xfId="0" applyNumberFormat="1" applyFont="1" applyBorder="1" applyAlignment="1" applyProtection="1">
      <alignment horizontal="right" vertical="center" wrapText="1"/>
      <protection locked="0"/>
    </xf>
    <xf numFmtId="0" fontId="41" fillId="0" borderId="28" xfId="0" applyNumberFormat="1" applyFont="1" applyBorder="1" applyAlignment="1" applyProtection="1">
      <alignment horizontal="right" vertical="center"/>
      <protection locked="0"/>
    </xf>
    <xf numFmtId="4" fontId="63" fillId="0" borderId="22" xfId="0" applyNumberFormat="1" applyFont="1" applyBorder="1" applyAlignment="1" applyProtection="1">
      <alignment horizontal="center" vertical="center" readingOrder="1"/>
      <protection locked="0"/>
    </xf>
    <xf numFmtId="4" fontId="63" fillId="0" borderId="127" xfId="0" applyNumberFormat="1" applyFont="1" applyBorder="1" applyAlignment="1" applyProtection="1">
      <alignment horizontal="center" vertical="center" readingOrder="1"/>
      <protection locked="0"/>
    </xf>
    <xf numFmtId="4" fontId="63" fillId="0" borderId="104" xfId="0" applyNumberFormat="1" applyFont="1" applyBorder="1" applyAlignment="1" applyProtection="1">
      <alignment horizontal="center" vertical="center" readingOrder="1"/>
      <protection locked="0"/>
    </xf>
    <xf numFmtId="49" fontId="63" fillId="0" borderId="133" xfId="3" applyNumberFormat="1" applyFont="1" applyBorder="1" applyAlignment="1" applyProtection="1">
      <alignment horizontal="right" vertical="center" readingOrder="1"/>
      <protection locked="0"/>
    </xf>
    <xf numFmtId="44" fontId="66" fillId="6" borderId="18" xfId="0" applyNumberFormat="1" applyFont="1" applyFill="1" applyBorder="1" applyAlignment="1" applyProtection="1">
      <alignment horizontal="left" vertical="center"/>
    </xf>
    <xf numFmtId="0" fontId="41" fillId="0" borderId="102" xfId="0" applyNumberFormat="1" applyFont="1" applyBorder="1" applyAlignment="1" applyProtection="1">
      <alignment horizontal="left" vertical="center" wrapText="1"/>
      <protection locked="0"/>
    </xf>
    <xf numFmtId="9" fontId="41" fillId="0" borderId="107" xfId="0" applyNumberFormat="1" applyFont="1" applyBorder="1" applyAlignment="1" applyProtection="1">
      <alignment vertical="center" wrapText="1" readingOrder="1"/>
      <protection locked="0"/>
    </xf>
    <xf numFmtId="49" fontId="41" fillId="0" borderId="18" xfId="3" applyNumberFormat="1" applyFont="1" applyFill="1" applyBorder="1" applyAlignment="1" applyProtection="1">
      <alignment horizontal="left" vertical="center" readingOrder="1"/>
      <protection locked="0"/>
    </xf>
    <xf numFmtId="2" fontId="41" fillId="0" borderId="18" xfId="0" applyNumberFormat="1" applyFont="1" applyFill="1" applyBorder="1" applyAlignment="1" applyProtection="1">
      <alignment horizontal="center" vertical="center" wrapText="1" readingOrder="1"/>
      <protection locked="0"/>
    </xf>
    <xf numFmtId="2" fontId="6" fillId="0" borderId="18" xfId="0" applyNumberFormat="1" applyFont="1" applyFill="1" applyBorder="1" applyAlignment="1" applyProtection="1">
      <alignment horizontal="right" vertical="center"/>
    </xf>
    <xf numFmtId="2" fontId="6" fillId="0" borderId="18" xfId="0" applyNumberFormat="1" applyFont="1" applyFill="1" applyBorder="1" applyAlignment="1" applyProtection="1">
      <alignment horizontal="left" vertical="center"/>
    </xf>
    <xf numFmtId="49" fontId="6" fillId="0" borderId="18" xfId="0" applyNumberFormat="1" applyFont="1" applyFill="1" applyBorder="1" applyAlignment="1" applyProtection="1">
      <alignment horizontal="left" vertical="top" readingOrder="1"/>
    </xf>
    <xf numFmtId="49" fontId="6" fillId="0" borderId="18" xfId="0" applyNumberFormat="1" applyFont="1" applyFill="1" applyBorder="1" applyAlignment="1" applyProtection="1">
      <alignment horizontal="left" vertical="center" wrapText="1" indent="2" readingOrder="1"/>
    </xf>
    <xf numFmtId="4" fontId="22" fillId="0" borderId="18" xfId="2" applyNumberFormat="1" applyFont="1" applyFill="1" applyBorder="1" applyAlignment="1" applyProtection="1">
      <alignment vertical="center" readingOrder="1"/>
    </xf>
    <xf numFmtId="4" fontId="6" fillId="0" borderId="18" xfId="0" applyNumberFormat="1" applyFont="1" applyFill="1" applyBorder="1" applyAlignment="1" applyProtection="1">
      <alignment horizontal="right" vertical="center"/>
    </xf>
    <xf numFmtId="10" fontId="46" fillId="0" borderId="18" xfId="0" applyNumberFormat="1" applyFont="1" applyFill="1" applyBorder="1" applyAlignment="1" applyProtection="1">
      <alignment vertical="center" wrapText="1" readingOrder="1"/>
      <protection locked="0"/>
    </xf>
    <xf numFmtId="9" fontId="233" fillId="0" borderId="18" xfId="1" applyFont="1" applyFill="1" applyBorder="1" applyAlignment="1" applyProtection="1">
      <alignment horizontal="center" vertical="center"/>
      <protection locked="0"/>
    </xf>
    <xf numFmtId="43" fontId="22" fillId="0" borderId="18" xfId="2" applyFont="1" applyFill="1" applyBorder="1" applyAlignment="1" applyProtection="1">
      <alignment horizontal="right" vertical="center" wrapText="1" readingOrder="1"/>
    </xf>
    <xf numFmtId="4" fontId="22" fillId="0" borderId="18" xfId="2" applyNumberFormat="1" applyFont="1" applyFill="1" applyBorder="1" applyAlignment="1" applyProtection="1">
      <alignment vertical="center" wrapText="1" readingOrder="1"/>
    </xf>
    <xf numFmtId="49" fontId="14" fillId="0" borderId="18" xfId="0" applyNumberFormat="1" applyFont="1" applyFill="1" applyBorder="1" applyAlignment="1" applyProtection="1">
      <alignment horizontal="left" vertical="center" wrapText="1" readingOrder="1"/>
    </xf>
    <xf numFmtId="9" fontId="0" fillId="0" borderId="18" xfId="1" applyFont="1" applyFill="1" applyBorder="1" applyAlignment="1" applyProtection="1">
      <alignment horizontal="left" wrapText="1"/>
    </xf>
    <xf numFmtId="9" fontId="36" fillId="0" borderId="18" xfId="0" applyNumberFormat="1" applyFont="1" applyFill="1" applyBorder="1" applyAlignment="1" applyProtection="1">
      <alignment horizontal="left" vertical="center" wrapText="1" readingOrder="1"/>
    </xf>
    <xf numFmtId="49" fontId="237" fillId="0" borderId="18" xfId="0" applyNumberFormat="1" applyFont="1" applyFill="1" applyBorder="1" applyAlignment="1" applyProtection="1">
      <alignment horizontal="right" vertical="center" readingOrder="1"/>
    </xf>
    <xf numFmtId="49" fontId="38" fillId="0" borderId="18" xfId="0" applyNumberFormat="1" applyFont="1" applyFill="1" applyBorder="1" applyAlignment="1" applyProtection="1">
      <alignment horizontal="left" vertical="center" readingOrder="1"/>
    </xf>
    <xf numFmtId="49" fontId="122" fillId="0" borderId="18" xfId="0" applyNumberFormat="1" applyFont="1" applyFill="1" applyBorder="1" applyAlignment="1" applyProtection="1">
      <alignment horizontal="right" vertical="top"/>
    </xf>
    <xf numFmtId="3" fontId="36" fillId="0" borderId="18" xfId="2" applyNumberFormat="1" applyFont="1" applyFill="1" applyBorder="1" applyAlignment="1" applyProtection="1">
      <alignment horizontal="right" vertical="center" readingOrder="1"/>
    </xf>
    <xf numFmtId="49" fontId="6" fillId="0" borderId="18" xfId="0" applyNumberFormat="1" applyFont="1" applyFill="1" applyBorder="1" applyAlignment="1" applyProtection="1">
      <alignment horizontal="left" vertical="top" indent="2" readingOrder="1"/>
    </xf>
    <xf numFmtId="9" fontId="36" fillId="0" borderId="18" xfId="0" applyNumberFormat="1" applyFont="1" applyFill="1" applyBorder="1" applyAlignment="1" applyProtection="1">
      <alignment vertical="top" wrapText="1" readingOrder="1"/>
    </xf>
    <xf numFmtId="4" fontId="36" fillId="0" borderId="18" xfId="2" applyNumberFormat="1" applyFont="1" applyFill="1" applyBorder="1" applyAlignment="1" applyProtection="1">
      <alignment horizontal="right" vertical="center" wrapText="1" readingOrder="1"/>
    </xf>
    <xf numFmtId="49" fontId="14" fillId="0" borderId="18" xfId="0" applyNumberFormat="1" applyFont="1" applyFill="1" applyBorder="1" applyAlignment="1" applyProtection="1">
      <alignment horizontal="left" vertical="center" wrapText="1"/>
    </xf>
    <xf numFmtId="4" fontId="43" fillId="0" borderId="18" xfId="2" applyNumberFormat="1" applyFont="1" applyFill="1" applyBorder="1" applyAlignment="1" applyProtection="1">
      <alignment vertical="center" readingOrder="1"/>
    </xf>
    <xf numFmtId="0" fontId="89" fillId="0" borderId="18" xfId="0" applyNumberFormat="1" applyFont="1" applyFill="1" applyBorder="1" applyAlignment="1" applyProtection="1">
      <alignment horizontal="center" vertical="center" wrapText="1"/>
    </xf>
    <xf numFmtId="0" fontId="44" fillId="0" borderId="18" xfId="0" applyNumberFormat="1" applyFont="1" applyFill="1" applyBorder="1" applyAlignment="1" applyProtection="1">
      <alignment horizontal="left" vertical="center" wrapText="1"/>
    </xf>
    <xf numFmtId="0" fontId="103" fillId="0" borderId="18" xfId="0" applyFont="1" applyFill="1" applyBorder="1" applyAlignment="1">
      <alignment horizontal="left" vertical="center" wrapText="1"/>
    </xf>
    <xf numFmtId="49" fontId="70" fillId="0" borderId="18" xfId="0" applyNumberFormat="1" applyFont="1" applyFill="1" applyBorder="1" applyAlignment="1" applyProtection="1">
      <alignment horizontal="right" vertical="center" readingOrder="1"/>
    </xf>
    <xf numFmtId="0" fontId="151" fillId="0" borderId="75" xfId="5" applyNumberFormat="1" applyFont="1" applyFill="1" applyBorder="1" applyAlignment="1">
      <alignment horizontal="center" wrapText="1"/>
    </xf>
    <xf numFmtId="0" fontId="101" fillId="0" borderId="75" xfId="5" applyNumberFormat="1" applyFont="1" applyFill="1" applyBorder="1" applyAlignment="1">
      <alignment horizontal="center" wrapText="1"/>
    </xf>
    <xf numFmtId="49" fontId="244" fillId="2" borderId="30" xfId="3" applyNumberFormat="1" applyFont="1" applyFill="1" applyBorder="1" applyAlignment="1" applyProtection="1">
      <alignment horizontal="left" vertical="center"/>
    </xf>
    <xf numFmtId="0" fontId="6" fillId="0" borderId="161" xfId="0" applyNumberFormat="1" applyFont="1" applyBorder="1" applyProtection="1">
      <alignment horizontal="left" wrapText="1"/>
    </xf>
    <xf numFmtId="0" fontId="244" fillId="2" borderId="30" xfId="3" applyFont="1" applyFill="1" applyBorder="1" applyAlignment="1" applyProtection="1">
      <alignment horizontal="right" vertical="center"/>
    </xf>
    <xf numFmtId="0" fontId="66" fillId="0" borderId="162" xfId="0" applyFont="1" applyBorder="1">
      <alignment horizontal="left" wrapText="1"/>
    </xf>
    <xf numFmtId="49" fontId="244" fillId="2" borderId="19" xfId="3" applyNumberFormat="1" applyFont="1" applyFill="1" applyBorder="1" applyAlignment="1" applyProtection="1">
      <alignment horizontal="left" vertical="center"/>
    </xf>
    <xf numFmtId="0" fontId="244" fillId="2" borderId="19" xfId="3" applyFont="1" applyFill="1" applyBorder="1" applyAlignment="1" applyProtection="1">
      <alignment horizontal="right" vertical="center"/>
    </xf>
    <xf numFmtId="0" fontId="151" fillId="0" borderId="73" xfId="5" applyNumberFormat="1" applyFont="1" applyFill="1" applyBorder="1" applyAlignment="1">
      <alignment horizontal="center" wrapText="1"/>
    </xf>
    <xf numFmtId="0" fontId="151" fillId="0" borderId="27" xfId="5" applyNumberFormat="1" applyFont="1" applyFill="1" applyBorder="1" applyAlignment="1">
      <alignment horizontal="center" wrapText="1"/>
    </xf>
    <xf numFmtId="0" fontId="151" fillId="0" borderId="74" xfId="5" applyNumberFormat="1" applyFont="1" applyFill="1" applyBorder="1" applyAlignment="1">
      <alignment horizontal="center" wrapText="1"/>
    </xf>
    <xf numFmtId="0" fontId="101" fillId="0" borderId="78" xfId="5" applyNumberFormat="1" applyFont="1" applyFill="1" applyBorder="1" applyAlignment="1">
      <alignment horizontal="center" wrapText="1"/>
    </xf>
    <xf numFmtId="49" fontId="101" fillId="0" borderId="163" xfId="5" applyNumberFormat="1" applyFont="1" applyFill="1" applyBorder="1" applyAlignment="1">
      <alignment horizontal="center" wrapText="1"/>
    </xf>
    <xf numFmtId="49" fontId="151" fillId="0" borderId="163" xfId="5" applyNumberFormat="1" applyFont="1" applyFill="1" applyBorder="1" applyAlignment="1">
      <alignment horizontal="center" wrapText="1"/>
    </xf>
    <xf numFmtId="49" fontId="151" fillId="0" borderId="76" xfId="5" applyNumberFormat="1" applyFont="1" applyFill="1" applyBorder="1" applyAlignment="1">
      <alignment horizontal="center" wrapText="1"/>
    </xf>
    <xf numFmtId="49" fontId="151" fillId="0" borderId="151" xfId="5" applyNumberFormat="1" applyFont="1" applyFill="1" applyBorder="1" applyAlignment="1">
      <alignment horizontal="center" wrapText="1"/>
    </xf>
    <xf numFmtId="49" fontId="151" fillId="0" borderId="164" xfId="5" applyNumberFormat="1" applyFont="1" applyFill="1" applyBorder="1" applyAlignment="1">
      <alignment horizontal="center" wrapText="1"/>
    </xf>
    <xf numFmtId="49" fontId="245" fillId="0" borderId="76" xfId="5" applyNumberFormat="1" applyFont="1" applyFill="1" applyBorder="1" applyAlignment="1">
      <alignment horizontal="center" wrapText="1"/>
    </xf>
    <xf numFmtId="49" fontId="245" fillId="0" borderId="151" xfId="5" applyNumberFormat="1" applyFont="1" applyFill="1" applyBorder="1" applyAlignment="1">
      <alignment horizontal="center" wrapText="1"/>
    </xf>
    <xf numFmtId="49" fontId="245" fillId="0" borderId="163" xfId="5" applyNumberFormat="1" applyFont="1" applyFill="1" applyBorder="1" applyAlignment="1">
      <alignment horizontal="center" wrapText="1"/>
    </xf>
    <xf numFmtId="9" fontId="101" fillId="2" borderId="0" xfId="1" applyFont="1" applyFill="1" applyAlignment="1">
      <alignment horizontal="center" wrapText="1"/>
    </xf>
    <xf numFmtId="10" fontId="10" fillId="2" borderId="85" xfId="1" applyNumberFormat="1" applyFont="1" applyFill="1" applyBorder="1" applyAlignment="1">
      <alignment horizontal="center" wrapText="1"/>
    </xf>
    <xf numFmtId="10" fontId="10" fillId="2" borderId="27" xfId="1" applyNumberFormat="1" applyFont="1" applyFill="1" applyBorder="1" applyAlignment="1">
      <alignment horizontal="center" wrapText="1"/>
    </xf>
    <xf numFmtId="0" fontId="10" fillId="0" borderId="0" xfId="0" applyFont="1" applyAlignment="1">
      <alignment horizontal="center" wrapText="1"/>
    </xf>
    <xf numFmtId="0" fontId="101" fillId="11" borderId="165" xfId="0" applyFont="1" applyFill="1" applyBorder="1">
      <alignment horizontal="left" wrapText="1"/>
    </xf>
    <xf numFmtId="0" fontId="101" fillId="11" borderId="166" xfId="0" applyFont="1" applyFill="1" applyBorder="1" applyAlignment="1">
      <alignment horizontal="right"/>
    </xf>
    <xf numFmtId="0" fontId="101" fillId="11" borderId="167" xfId="0" applyFont="1" applyFill="1" applyBorder="1">
      <alignment horizontal="left" wrapText="1"/>
    </xf>
    <xf numFmtId="0" fontId="101" fillId="11" borderId="168" xfId="0" applyFont="1" applyFill="1" applyBorder="1" applyAlignment="1">
      <alignment horizontal="right" wrapText="1"/>
    </xf>
    <xf numFmtId="0" fontId="101" fillId="11" borderId="168" xfId="0" applyFont="1" applyFill="1" applyBorder="1" applyAlignment="1">
      <alignment horizontal="center" wrapText="1"/>
    </xf>
    <xf numFmtId="0" fontId="101" fillId="11" borderId="167" xfId="0" applyFont="1" applyFill="1" applyBorder="1" applyAlignment="1">
      <alignment horizontal="right" wrapText="1"/>
    </xf>
    <xf numFmtId="169" fontId="10" fillId="11" borderId="169" xfId="0" applyNumberFormat="1" applyFont="1" applyFill="1" applyBorder="1" applyAlignment="1">
      <alignment horizontal="center" wrapText="1"/>
    </xf>
    <xf numFmtId="10" fontId="10" fillId="11" borderId="170" xfId="1" applyNumberFormat="1" applyFont="1" applyFill="1" applyBorder="1" applyAlignment="1">
      <alignment horizontal="center" wrapText="1"/>
    </xf>
    <xf numFmtId="169" fontId="10" fillId="11" borderId="171" xfId="0" applyNumberFormat="1" applyFont="1" applyFill="1" applyBorder="1" applyAlignment="1">
      <alignment horizontal="center" wrapText="1"/>
    </xf>
    <xf numFmtId="169" fontId="101" fillId="11" borderId="167" xfId="0" applyNumberFormat="1" applyFont="1" applyFill="1" applyBorder="1" applyAlignment="1">
      <alignment horizontal="center" wrapText="1"/>
    </xf>
    <xf numFmtId="9" fontId="101" fillId="11" borderId="168" xfId="1" applyFont="1" applyFill="1" applyBorder="1" applyAlignment="1">
      <alignment horizontal="center" wrapText="1"/>
    </xf>
    <xf numFmtId="2" fontId="156" fillId="11" borderId="172" xfId="0" applyNumberFormat="1" applyFont="1" applyFill="1" applyBorder="1" applyAlignment="1">
      <alignment horizontal="center" wrapText="1"/>
    </xf>
    <xf numFmtId="9" fontId="156" fillId="11" borderId="173" xfId="1" applyFont="1" applyFill="1" applyBorder="1" applyAlignment="1">
      <alignment horizontal="center" wrapText="1"/>
    </xf>
    <xf numFmtId="0" fontId="0" fillId="6" borderId="18" xfId="0" applyFill="1" applyBorder="1" applyProtection="1">
      <alignment horizontal="left" wrapText="1"/>
    </xf>
    <xf numFmtId="0" fontId="41" fillId="2" borderId="156" xfId="0" applyNumberFormat="1" applyFont="1" applyFill="1" applyBorder="1" applyAlignment="1" applyProtection="1">
      <alignment horizontal="center" vertical="center" wrapText="1" readingOrder="1"/>
      <protection locked="0"/>
    </xf>
    <xf numFmtId="0" fontId="63" fillId="0" borderId="133" xfId="0" applyNumberFormat="1" applyFont="1" applyFill="1" applyBorder="1" applyAlignment="1" applyProtection="1">
      <alignment horizontal="center" vertical="center" readingOrder="1"/>
    </xf>
    <xf numFmtId="49" fontId="41" fillId="0" borderId="18" xfId="0" applyNumberFormat="1" applyFont="1" applyBorder="1" applyAlignment="1">
      <alignment horizontal="center"/>
    </xf>
    <xf numFmtId="49" fontId="6" fillId="0" borderId="89" xfId="0" applyNumberFormat="1" applyFont="1" applyBorder="1" applyAlignment="1" applyProtection="1">
      <alignment horizontal="left" vertical="center"/>
    </xf>
    <xf numFmtId="0" fontId="10" fillId="0" borderId="18" xfId="0" applyFont="1" applyBorder="1" applyAlignment="1" applyProtection="1">
      <alignment horizontal="right" vertical="top" wrapText="1"/>
    </xf>
    <xf numFmtId="0" fontId="8" fillId="0" borderId="80" xfId="0" applyNumberFormat="1" applyFont="1" applyBorder="1" applyAlignment="1" applyProtection="1">
      <alignment horizontal="left" vertical="center"/>
      <protection locked="0"/>
    </xf>
    <xf numFmtId="49" fontId="201" fillId="11" borderId="110" xfId="0" applyNumberFormat="1" applyFont="1" applyFill="1" applyBorder="1" applyAlignment="1">
      <alignment horizontal="center" vertical="center" wrapText="1" readingOrder="1"/>
    </xf>
    <xf numFmtId="0" fontId="210" fillId="0" borderId="18" xfId="0" applyNumberFormat="1" applyFont="1" applyBorder="1" applyAlignment="1" applyProtection="1">
      <alignment horizontal="left" vertical="center" indent="2"/>
    </xf>
    <xf numFmtId="0" fontId="210" fillId="0" borderId="102" xfId="0" applyNumberFormat="1" applyFont="1" applyBorder="1" applyAlignment="1" applyProtection="1">
      <alignment horizontal="left" vertical="center" indent="2"/>
    </xf>
    <xf numFmtId="49" fontId="41" fillId="0" borderId="148" xfId="0" applyNumberFormat="1" applyFont="1" applyBorder="1" applyAlignment="1" applyProtection="1">
      <alignment horizontal="center" vertical="center" shrinkToFit="1"/>
      <protection locked="0"/>
    </xf>
    <xf numFmtId="0" fontId="210" fillId="0" borderId="18" xfId="0" applyNumberFormat="1" applyFont="1" applyBorder="1" applyAlignment="1" applyProtection="1">
      <alignment horizontal="right" vertical="center"/>
    </xf>
    <xf numFmtId="0" fontId="210" fillId="0" borderId="102" xfId="0" applyNumberFormat="1" applyFont="1" applyBorder="1" applyAlignment="1" applyProtection="1">
      <alignment horizontal="right" vertical="center"/>
    </xf>
    <xf numFmtId="0" fontId="15" fillId="0" borderId="67" xfId="0" applyFont="1" applyBorder="1" applyAlignment="1" applyProtection="1">
      <alignment horizontal="right" vertical="top" wrapText="1"/>
    </xf>
    <xf numFmtId="0" fontId="15" fillId="0" borderId="67" xfId="0" applyFont="1" applyBorder="1" applyAlignment="1" applyProtection="1">
      <alignment horizontal="right" vertical="top"/>
    </xf>
    <xf numFmtId="0" fontId="15" fillId="0" borderId="18" xfId="0" applyFont="1" applyBorder="1" applyAlignment="1" applyProtection="1">
      <alignment horizontal="right" vertical="top"/>
    </xf>
    <xf numFmtId="0" fontId="6" fillId="0" borderId="18" xfId="0" applyFont="1" applyBorder="1" applyAlignment="1" applyProtection="1">
      <alignment horizontal="left" vertical="center"/>
    </xf>
    <xf numFmtId="0" fontId="15" fillId="0" borderId="18" xfId="0" applyNumberFormat="1" applyFont="1" applyBorder="1" applyAlignment="1" applyProtection="1">
      <alignment horizontal="left" vertical="center" wrapText="1"/>
    </xf>
    <xf numFmtId="0" fontId="15" fillId="0" borderId="102" xfId="0" applyNumberFormat="1" applyFont="1" applyBorder="1" applyAlignment="1" applyProtection="1">
      <alignment horizontal="left" vertical="center" wrapText="1"/>
    </xf>
    <xf numFmtId="0" fontId="41" fillId="0" borderId="103" xfId="0" applyNumberFormat="1" applyFont="1" applyBorder="1" applyAlignment="1" applyProtection="1">
      <alignment horizontal="left" vertical="center"/>
      <protection locked="0"/>
    </xf>
    <xf numFmtId="49" fontId="10" fillId="0" borderId="119" xfId="0" applyNumberFormat="1" applyFont="1" applyBorder="1" applyAlignment="1" applyProtection="1">
      <alignment horizontal="left" vertical="center" wrapText="1" readingOrder="1"/>
    </xf>
    <xf numFmtId="49" fontId="95" fillId="0" borderId="52" xfId="0" applyNumberFormat="1" applyFont="1" applyBorder="1" applyAlignment="1" applyProtection="1">
      <alignment horizontal="left" vertical="top" wrapText="1" readingOrder="1"/>
      <protection locked="0"/>
    </xf>
    <xf numFmtId="49" fontId="95" fillId="0" borderId="53" xfId="0" applyNumberFormat="1" applyFont="1" applyBorder="1" applyAlignment="1" applyProtection="1">
      <alignment horizontal="left" vertical="top" wrapText="1" readingOrder="1"/>
      <protection locked="0"/>
    </xf>
    <xf numFmtId="49" fontId="95" fillId="0" borderId="54" xfId="0" applyNumberFormat="1" applyFont="1" applyBorder="1" applyAlignment="1" applyProtection="1">
      <alignment horizontal="left" vertical="top" wrapText="1" readingOrder="1"/>
      <protection locked="0"/>
    </xf>
    <xf numFmtId="0" fontId="148" fillId="0" borderId="1" xfId="0" applyFont="1" applyBorder="1" applyAlignment="1" applyProtection="1">
      <alignment horizontal="right" vertical="top" wrapText="1"/>
    </xf>
    <xf numFmtId="49" fontId="41" fillId="2" borderId="80" xfId="0" applyNumberFormat="1" applyFont="1" applyFill="1" applyBorder="1" applyAlignment="1" applyProtection="1">
      <alignment horizontal="left" vertical="center"/>
      <protection locked="0"/>
    </xf>
    <xf numFmtId="0" fontId="41" fillId="0" borderId="89" xfId="0" applyNumberFormat="1" applyFont="1" applyBorder="1" applyAlignment="1" applyProtection="1">
      <alignment horizontal="left" vertical="center"/>
      <protection locked="0"/>
    </xf>
    <xf numFmtId="0" fontId="8" fillId="0" borderId="80" xfId="0" applyNumberFormat="1" applyFont="1" applyBorder="1" applyAlignment="1" applyProtection="1">
      <alignment horizontal="left" vertical="center" shrinkToFit="1"/>
      <protection locked="0"/>
    </xf>
    <xf numFmtId="0" fontId="95" fillId="0" borderId="53" xfId="0" applyFont="1" applyBorder="1" applyAlignment="1" applyProtection="1">
      <alignment horizontal="left" vertical="top" wrapText="1"/>
      <protection locked="0"/>
    </xf>
    <xf numFmtId="0" fontId="95" fillId="0" borderId="54" xfId="0" applyFont="1" applyBorder="1" applyAlignment="1" applyProtection="1">
      <alignment horizontal="left" vertical="top" wrapText="1"/>
      <protection locked="0"/>
    </xf>
    <xf numFmtId="49" fontId="10" fillId="0" borderId="18" xfId="0" applyNumberFormat="1" applyFont="1" applyBorder="1" applyAlignment="1" applyProtection="1">
      <alignment horizontal="left" vertical="center" wrapText="1" readingOrder="1"/>
    </xf>
    <xf numFmtId="49" fontId="6" fillId="0" borderId="89" xfId="0" applyNumberFormat="1" applyFont="1" applyBorder="1" applyAlignment="1" applyProtection="1">
      <alignment vertical="center"/>
    </xf>
    <xf numFmtId="49" fontId="132" fillId="10" borderId="110" xfId="0" applyNumberFormat="1" applyFont="1" applyFill="1" applyBorder="1" applyAlignment="1">
      <alignment horizontal="center" vertical="center" wrapText="1" readingOrder="1"/>
    </xf>
    <xf numFmtId="49" fontId="36" fillId="0" borderId="103" xfId="0" applyNumberFormat="1" applyFont="1" applyBorder="1" applyAlignment="1" applyProtection="1">
      <alignment vertical="center"/>
    </xf>
    <xf numFmtId="0" fontId="36" fillId="0" borderId="89" xfId="0" applyNumberFormat="1" applyFont="1" applyBorder="1" applyAlignment="1" applyProtection="1">
      <alignment horizontal="left" vertical="center"/>
    </xf>
    <xf numFmtId="49" fontId="63" fillId="2" borderId="80" xfId="0" applyNumberFormat="1" applyFont="1" applyFill="1" applyBorder="1" applyAlignment="1" applyProtection="1">
      <alignment horizontal="left" vertical="center"/>
    </xf>
    <xf numFmtId="0" fontId="145" fillId="2" borderId="18" xfId="0" applyFont="1" applyFill="1" applyBorder="1" applyAlignment="1" applyProtection="1">
      <alignment horizontal="right" vertical="center" wrapText="1"/>
    </xf>
    <xf numFmtId="0" fontId="11" fillId="2" borderId="18" xfId="0" applyFont="1" applyFill="1" applyBorder="1" applyAlignment="1" applyProtection="1">
      <alignment horizontal="right" vertical="center" wrapText="1"/>
    </xf>
    <xf numFmtId="0" fontId="18" fillId="0" borderId="0" xfId="0" applyFont="1" applyAlignment="1">
      <alignment horizontal="center" vertical="center"/>
    </xf>
    <xf numFmtId="0" fontId="0" fillId="0" borderId="18" xfId="0" applyNumberFormat="1" applyBorder="1" applyAlignment="1" applyProtection="1">
      <alignment horizontal="center" wrapText="1"/>
    </xf>
    <xf numFmtId="0" fontId="0" fillId="0" borderId="118" xfId="0" applyNumberFormat="1" applyBorder="1" applyAlignment="1" applyProtection="1">
      <alignment horizontal="center" wrapText="1"/>
    </xf>
    <xf numFmtId="0" fontId="96" fillId="3" borderId="132" xfId="0" applyFont="1" applyFill="1" applyBorder="1" applyAlignment="1">
      <alignment horizontal="left" vertical="top" wrapText="1"/>
    </xf>
    <xf numFmtId="0" fontId="96" fillId="3" borderId="137" xfId="0" applyFont="1" applyFill="1" applyBorder="1" applyAlignment="1">
      <alignment horizontal="left" vertical="top" wrapText="1"/>
    </xf>
    <xf numFmtId="0" fontId="139" fillId="3" borderId="78" xfId="0" applyFont="1" applyFill="1" applyBorder="1" applyAlignment="1">
      <alignment horizontal="center" wrapText="1"/>
    </xf>
    <xf numFmtId="0" fontId="139" fillId="3" borderId="62" xfId="0" applyFont="1" applyFill="1" applyBorder="1" applyAlignment="1">
      <alignment horizontal="center" wrapText="1"/>
    </xf>
    <xf numFmtId="0" fontId="139" fillId="3" borderId="61" xfId="0" applyFont="1" applyFill="1" applyBorder="1" applyAlignment="1">
      <alignment horizontal="center" vertical="center" wrapText="1"/>
    </xf>
    <xf numFmtId="0" fontId="139" fillId="3" borderId="62" xfId="0" applyFont="1" applyFill="1" applyBorder="1" applyAlignment="1">
      <alignment horizontal="center" vertical="center" wrapText="1"/>
    </xf>
    <xf numFmtId="0" fontId="96" fillId="3" borderId="55" xfId="0" applyFont="1" applyFill="1" applyBorder="1" applyAlignment="1">
      <alignment horizontal="left" vertical="top" wrapText="1"/>
    </xf>
    <xf numFmtId="0" fontId="85" fillId="3" borderId="55" xfId="3" applyFont="1" applyFill="1" applyBorder="1" applyAlignment="1">
      <alignment horizontal="center" vertical="center" wrapText="1"/>
    </xf>
    <xf numFmtId="0" fontId="139" fillId="3" borderId="61" xfId="0" applyFont="1" applyFill="1" applyBorder="1" applyAlignment="1" applyProtection="1">
      <alignment horizontal="center" wrapText="1"/>
    </xf>
    <xf numFmtId="0" fontId="139" fillId="3" borderId="62" xfId="0" applyFont="1" applyFill="1" applyBorder="1" applyAlignment="1" applyProtection="1">
      <alignment horizontal="center" wrapText="1"/>
    </xf>
    <xf numFmtId="0" fontId="171" fillId="2" borderId="18" xfId="0" applyFont="1" applyFill="1" applyBorder="1">
      <alignment horizontal="left" wrapText="1"/>
    </xf>
    <xf numFmtId="0" fontId="121" fillId="2" borderId="29" xfId="0" applyFont="1" applyFill="1" applyBorder="1" applyProtection="1">
      <alignment horizontal="left" wrapText="1"/>
    </xf>
    <xf numFmtId="0" fontId="121" fillId="2" borderId="18" xfId="0" applyFont="1" applyFill="1" applyBorder="1" applyProtection="1">
      <alignment horizontal="left" wrapText="1"/>
    </xf>
    <xf numFmtId="0" fontId="148" fillId="2" borderId="18" xfId="0" applyFont="1" applyFill="1" applyBorder="1" applyAlignment="1" applyProtection="1">
      <alignment horizontal="left" vertical="top" wrapText="1"/>
    </xf>
    <xf numFmtId="0" fontId="195" fillId="2" borderId="29" xfId="0" applyFont="1" applyFill="1" applyBorder="1" applyAlignment="1" applyProtection="1">
      <alignment horizontal="left" vertical="top" wrapText="1"/>
    </xf>
    <xf numFmtId="0" fontId="10" fillId="0" borderId="36" xfId="0" applyFont="1" applyBorder="1" applyAlignment="1">
      <alignment horizontal="left" vertical="center"/>
    </xf>
    <xf numFmtId="0" fontId="10" fillId="0" borderId="35" xfId="0" applyFont="1" applyBorder="1" applyAlignment="1">
      <alignment horizontal="left" vertical="center"/>
    </xf>
    <xf numFmtId="0" fontId="70" fillId="0" borderId="0" xfId="0" applyFont="1" applyAlignment="1">
      <alignment horizontal="left" vertical="top" wrapText="1"/>
    </xf>
    <xf numFmtId="0" fontId="70" fillId="0" borderId="32" xfId="0" applyFont="1" applyBorder="1" applyAlignment="1">
      <alignment horizontal="left" vertical="top" wrapText="1"/>
    </xf>
    <xf numFmtId="0" fontId="10" fillId="0" borderId="39" xfId="0" applyFont="1" applyBorder="1" applyAlignment="1">
      <alignment horizontal="center"/>
    </xf>
    <xf numFmtId="0" fontId="10" fillId="0" borderId="34" xfId="0" applyFont="1" applyBorder="1" applyAlignment="1">
      <alignment horizontal="center"/>
    </xf>
    <xf numFmtId="0" fontId="10" fillId="0" borderId="40" xfId="0" applyFont="1" applyBorder="1" applyAlignment="1">
      <alignment horizontal="center"/>
    </xf>
    <xf numFmtId="0" fontId="10" fillId="0" borderId="35" xfId="0" applyFont="1" applyBorder="1" applyAlignment="1">
      <alignment horizontal="center" vertical="top"/>
    </xf>
    <xf numFmtId="0" fontId="221" fillId="2" borderId="165" xfId="0" applyFont="1" applyFill="1" applyBorder="1" applyAlignment="1">
      <alignment horizontal="center" vertical="center" wrapText="1"/>
    </xf>
    <xf numFmtId="0" fontId="221" fillId="2" borderId="174" xfId="0" applyFont="1" applyFill="1" applyBorder="1" applyAlignment="1">
      <alignment horizontal="center" vertical="center" wrapText="1"/>
    </xf>
    <xf numFmtId="0" fontId="221" fillId="2" borderId="166" xfId="0" applyFont="1" applyFill="1" applyBorder="1" applyAlignment="1">
      <alignment horizontal="center" vertical="center" wrapText="1"/>
    </xf>
    <xf numFmtId="0" fontId="221" fillId="2" borderId="167" xfId="0" applyFont="1" applyFill="1" applyBorder="1" applyAlignment="1">
      <alignment horizontal="center" vertical="center" wrapText="1"/>
    </xf>
    <xf numFmtId="0" fontId="221" fillId="2" borderId="18" xfId="0" applyFont="1" applyFill="1" applyBorder="1" applyAlignment="1">
      <alignment horizontal="center" vertical="center" wrapText="1"/>
    </xf>
    <xf numFmtId="0" fontId="221" fillId="2" borderId="168" xfId="0" applyFont="1" applyFill="1" applyBorder="1" applyAlignment="1">
      <alignment horizontal="center" vertical="center" wrapText="1"/>
    </xf>
    <xf numFmtId="0" fontId="221" fillId="2" borderId="172" xfId="0" applyFont="1" applyFill="1" applyBorder="1" applyAlignment="1">
      <alignment horizontal="center" vertical="center" wrapText="1"/>
    </xf>
    <xf numFmtId="0" fontId="221" fillId="2" borderId="175" xfId="0" applyFont="1" applyFill="1" applyBorder="1" applyAlignment="1">
      <alignment horizontal="center" vertical="center" wrapText="1"/>
    </xf>
    <xf numFmtId="0" fontId="221" fillId="2" borderId="173" xfId="0" applyFont="1" applyFill="1" applyBorder="1" applyAlignment="1">
      <alignment horizontal="center" vertical="center" wrapText="1"/>
    </xf>
    <xf numFmtId="43" fontId="41" fillId="0" borderId="18" xfId="2" applyFont="1" applyFill="1" applyBorder="1" applyAlignment="1" applyProtection="1">
      <alignment horizontal="left" vertical="center"/>
      <protection locked="0"/>
    </xf>
    <xf numFmtId="49" fontId="201" fillId="0" borderId="18" xfId="0" applyNumberFormat="1" applyFont="1" applyFill="1" applyBorder="1" applyAlignment="1">
      <alignment horizontal="center" vertical="center" wrapText="1" readingOrder="1"/>
    </xf>
  </cellXfs>
  <cellStyles count="9">
    <cellStyle name="Comma" xfId="2" builtinId="3"/>
    <cellStyle name="Currency" xfId="4" builtinId="4"/>
    <cellStyle name="Hyperlink" xfId="3" builtinId="8"/>
    <cellStyle name="Normal" xfId="0" builtinId="0"/>
    <cellStyle name="Normal 2" xfId="5" xr:uid="{FA0611B6-AF6E-2F43-AD70-8455F19BE066}"/>
    <cellStyle name="Normal 3" xfId="7" xr:uid="{0DC4A274-D921-0D45-BC28-C0D47FACAB55}"/>
    <cellStyle name="Percent" xfId="1" builtinId="5"/>
    <cellStyle name="Percent 2" xfId="8" xr:uid="{3F7EC228-8D5E-114F-8BF2-578F09363C8E}"/>
    <cellStyle name="Style 1" xfId="6" xr:uid="{205640A1-DB38-B44E-BC4C-196A59589652}"/>
  </cellStyles>
  <dxfs count="13">
    <dxf>
      <font>
        <color theme="0"/>
      </font>
      <fill>
        <patternFill>
          <bgColor theme="0"/>
        </patternFill>
      </fill>
    </dxf>
    <dxf>
      <font>
        <color theme="0"/>
      </font>
      <fill>
        <patternFill>
          <bgColor theme="0"/>
        </patternFill>
      </fill>
    </dxf>
    <dxf>
      <font>
        <color theme="0" tint="-0.14996795556505021"/>
      </font>
    </dxf>
    <dxf>
      <font>
        <color theme="0" tint="-0.14996795556505021"/>
      </font>
    </dxf>
    <dxf>
      <font>
        <color theme="0" tint="-0.14996795556505021"/>
      </font>
    </dxf>
    <dxf>
      <font>
        <color theme="0" tint="-0.14996795556505021"/>
      </font>
      <fill>
        <patternFill>
          <bgColor theme="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fill>
        <patternFill>
          <bgColor theme="0"/>
        </patternFill>
      </fill>
    </dxf>
    <dxf>
      <font>
        <color theme="0" tint="-0.14996795556505021"/>
      </font>
    </dxf>
    <dxf>
      <font>
        <color theme="0" tint="-0.14996795556505021"/>
      </font>
      <fill>
        <patternFill>
          <bgColor theme="0"/>
        </patternFill>
      </fill>
    </dxf>
  </dxfs>
  <tableStyles count="0"/>
  <colors>
    <indexedColors>
      <rgbColor rgb="FF000000"/>
      <rgbColor rgb="FFFFFFFF"/>
      <rgbColor rgb="FFFF0000"/>
      <rgbColor rgb="FF00FF00"/>
      <rgbColor rgb="FF0000FF"/>
      <rgbColor rgb="FFFFFF00"/>
      <rgbColor rgb="FFFF00FF"/>
      <rgbColor rgb="FF00FFFF"/>
      <rgbColor rgb="FF000000"/>
      <rgbColor rgb="FF0432FF"/>
      <rgbColor rgb="FF032FF1"/>
      <rgbColor rgb="FFFF3F00"/>
      <rgbColor rgb="FFAB4879"/>
      <rgbColor rgb="FF515151"/>
      <rgbColor rgb="FF0000FF"/>
      <rgbColor rgb="FF2D2929"/>
      <rgbColor rgb="FFEAEAEA"/>
      <rgbColor rgb="FFA5A5A5"/>
      <rgbColor rgb="FF3F3F3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432FF"/>
      <color rgb="FF945200"/>
      <color rgb="FF0096FF"/>
      <color rgb="FF929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Lost Energy</a:t>
            </a:r>
          </a:p>
        </c:rich>
      </c:tx>
      <c:layout>
        <c:manualLayout>
          <c:xMode val="edge"/>
          <c:yMode val="edge"/>
          <c:x val="0.13381409831147528"/>
          <c:y val="3.366225009823566E-2"/>
        </c:manualLayout>
      </c:layout>
      <c:overlay val="0"/>
      <c:spPr>
        <a:noFill/>
        <a:ln>
          <a:noFill/>
        </a:ln>
        <a:effectLst/>
      </c:sp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'ENERGY-BALANCE'!$C$33</c:f>
              <c:strCache>
                <c:ptCount val="1"/>
                <c:pt idx="0">
                  <c:v>B.16 HELI Ae </c:v>
                </c:pt>
              </c:strCache>
            </c:strRef>
          </c:tx>
          <c:spPr>
            <a:solidFill>
              <a:schemeClr val="accent2">
                <a:shade val="39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'ENERGY-BALANCE'!$D$33</c:f>
              <c:numCache>
                <c:formatCode>#,##0.00</c:formatCode>
                <c:ptCount val="1"/>
                <c:pt idx="0">
                  <c:v>76103.692700226864</c:v>
                </c:pt>
              </c:numCache>
            </c:numRef>
          </c:val>
          <c:extLst>
            <c:ext xmlns:c16="http://schemas.microsoft.com/office/drawing/2014/chart" uri="{C3380CC4-5D6E-409C-BE32-E72D297353CC}">
              <c16:uniqueId val="{00000000-B3A6-834E-9ADF-C2C78EBB43CD}"/>
            </c:ext>
          </c:extLst>
        </c:ser>
        <c:ser>
          <c:idx val="1"/>
          <c:order val="1"/>
          <c:tx>
            <c:strRef>
              <c:f>'ENERGY-BALANCE'!$C$34</c:f>
              <c:strCache>
                <c:ptCount val="1"/>
                <c:pt idx="0">
                  <c:v>B.17 HELI Ag </c:v>
                </c:pt>
              </c:strCache>
            </c:strRef>
          </c:tx>
          <c:spPr>
            <a:solidFill>
              <a:schemeClr val="accent2">
                <a:shade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'ENERGY-BALANCE'!$D$34</c:f>
              <c:numCache>
                <c:formatCode>#,##0.00</c:formatCode>
                <c:ptCount val="1"/>
                <c:pt idx="0">
                  <c:v>16788.245448648649</c:v>
                </c:pt>
              </c:numCache>
            </c:numRef>
          </c:val>
          <c:extLst>
            <c:ext xmlns:c16="http://schemas.microsoft.com/office/drawing/2014/chart" uri="{C3380CC4-5D6E-409C-BE32-E72D297353CC}">
              <c16:uniqueId val="{00000001-B3A6-834E-9ADF-C2C78EBB43CD}"/>
            </c:ext>
          </c:extLst>
        </c:ser>
        <c:ser>
          <c:idx val="2"/>
          <c:order val="2"/>
          <c:tx>
            <c:strRef>
              <c:f>'ENERGY-BALANCE'!$C$35</c:f>
              <c:strCache>
                <c:ptCount val="1"/>
                <c:pt idx="0">
                  <c:v>B.18.3 Air Leakage</c:v>
                </c:pt>
              </c:strCache>
            </c:strRef>
          </c:tx>
          <c:spPr>
            <a:solidFill>
              <a:schemeClr val="accent2">
                <a:shade val="5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'ENERGY-BALANCE'!$D$35</c:f>
              <c:numCache>
                <c:formatCode>#,##0.00</c:formatCode>
                <c:ptCount val="1"/>
                <c:pt idx="0">
                  <c:v>23178.387012790419</c:v>
                </c:pt>
              </c:numCache>
            </c:numRef>
          </c:val>
          <c:extLst>
            <c:ext xmlns:c16="http://schemas.microsoft.com/office/drawing/2014/chart" uri="{C3380CC4-5D6E-409C-BE32-E72D297353CC}">
              <c16:uniqueId val="{00000002-B3A6-834E-9ADF-C2C78EBB43CD}"/>
            </c:ext>
          </c:extLst>
        </c:ser>
        <c:ser>
          <c:idx val="3"/>
          <c:order val="3"/>
          <c:tx>
            <c:strRef>
              <c:f>'ENERGY-BALANCE'!$C$36</c:f>
              <c:strCache>
                <c:ptCount val="1"/>
                <c:pt idx="0">
                  <c:v>V.2.3 Net Vent Losses</c:v>
                </c:pt>
              </c:strCache>
            </c:strRef>
          </c:tx>
          <c:spPr>
            <a:solidFill>
              <a:schemeClr val="accent2">
                <a:shade val="6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1">
                          <a:lumMod val="35000"/>
                          <a:lumOff val="65000"/>
                        </a:schemeClr>
                      </a:solidFill>
                    </a:ln>
                    <a:effectLst/>
                  </c:spPr>
                </c15:leaderLines>
              </c:ext>
            </c:extLst>
          </c:dLbls>
          <c:cat>
            <c:strRef>
              <c:f>'ENERGY-BALANCE'!$D$32</c:f>
              <c:strCache>
                <c:ptCount val="1"/>
                <c:pt idx="0">
                  <c:v>Lost (kWh)</c:v>
                </c:pt>
              </c:strCache>
            </c:strRef>
          </c:cat>
          <c:val>
            <c:numRef>
              <c:f>'ENERGY-BALANCE'!$D$36</c:f>
              <c:numCache>
                <c:formatCode>#,##0.00</c:formatCode>
                <c:ptCount val="1"/>
                <c:pt idx="0">
                  <c:v>48980.799999999988</c:v>
                </c:pt>
              </c:numCache>
            </c:numRef>
          </c:val>
          <c:extLst>
            <c:ext xmlns:c16="http://schemas.microsoft.com/office/drawing/2014/chart" uri="{C3380CC4-5D6E-409C-BE32-E72D297353CC}">
              <c16:uniqueId val="{00000000-01B0-3347-ADCE-1AB9BC05B0FE}"/>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a:solidFill>
                <a:schemeClr val="tx1">
                  <a:lumMod val="5000"/>
                  <a:lumOff val="95000"/>
                </a:schemeClr>
              </a:solidFill>
            </a:ln>
            <a:effectLst/>
          </c:spPr>
        </c:min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'ENERGY-BALANCE'!$F$4</c:f>
              <c:strCache>
                <c:ptCount val="1"/>
                <c:pt idx="0">
                  <c:v>Lost (kWh)</c:v>
                </c:pt>
              </c:strCache>
            </c:strRef>
          </c:tx>
          <c:dPt>
            <c:idx val="0"/>
            <c:bubble3D val="0"/>
            <c:spPr>
              <a:solidFill>
                <a:schemeClr val="accent2">
                  <a:tint val="39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2">
                  <a:tint val="48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2">
                  <a:tint val="57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2">
                  <a:tint val="65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2">
                  <a:tint val="74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2">
                  <a:tint val="83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2">
                  <a:tint val="92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2">
                  <a:tint val="96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2">
                  <a:shade val="91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2">
                  <a:shade val="82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2">
                  <a:shade val="73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2">
                  <a:shade val="65000"/>
                </a:schemeClr>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2">
                  <a:shade val="56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2">
                  <a:shade val="47000"/>
                </a:schemeClr>
              </a:solidFill>
              <a:ln>
                <a:noFill/>
              </a:ln>
              <a:effectLst/>
            </c:spPr>
            <c:extLst>
              <c:ext xmlns:c16="http://schemas.microsoft.com/office/drawing/2014/chart" uri="{C3380CC4-5D6E-409C-BE32-E72D297353CC}">
                <c16:uniqueId val="{0000001B-25E9-7045-80F9-8935D36B99CE}"/>
              </c:ext>
            </c:extLst>
          </c:dPt>
          <c:dPt>
            <c:idx val="14"/>
            <c:bubble3D val="0"/>
            <c:spPr>
              <a:solidFill>
                <a:schemeClr val="accent2">
                  <a:shade val="38000"/>
                </a:schemeClr>
              </a:solidFill>
              <a:ln>
                <a:noFill/>
              </a:ln>
              <a:effectLst/>
            </c:spPr>
            <c:extLst>
              <c:ext xmlns:c16="http://schemas.microsoft.com/office/drawing/2014/chart" uri="{C3380CC4-5D6E-409C-BE32-E72D297353CC}">
                <c16:uniqueId val="{0000001D-25E9-7045-80F9-8935D36B99CE}"/>
              </c:ext>
            </c:extLst>
          </c:dPt>
          <c:dPt>
            <c:idx val="15"/>
            <c:bubble3D val="0"/>
            <c:spPr>
              <a:solidFill>
                <a:schemeClr val="accent2">
                  <a:shade val="38000"/>
                </a:schemeClr>
              </a:solidFill>
              <a:ln>
                <a:noFill/>
              </a:ln>
              <a:effectLst/>
            </c:spPr>
            <c:extLst>
              <c:ext xmlns:c16="http://schemas.microsoft.com/office/drawing/2014/chart" uri="{C3380CC4-5D6E-409C-BE32-E72D297353CC}">
                <c16:uniqueId val="{0000001F-9DDC-2845-AE85-93D38D107539}"/>
              </c:ext>
            </c:extLst>
          </c:dPt>
          <c:dPt>
            <c:idx val="16"/>
            <c:bubble3D val="0"/>
            <c:spPr>
              <a:solidFill>
                <a:schemeClr val="accent2">
                  <a:shade val="37000"/>
                </a:schemeClr>
              </a:solidFill>
              <a:ln>
                <a:noFill/>
              </a:ln>
              <a:effectLst/>
            </c:spPr>
            <c:extLst>
              <c:ext xmlns:c16="http://schemas.microsoft.com/office/drawing/2014/chart" uri="{C3380CC4-5D6E-409C-BE32-E72D297353CC}">
                <c16:uniqueId val="{00000021-C3AD-1144-AA4D-02A16892AB10}"/>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shade val="95000"/>
                      <a:satMod val="104999"/>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'ENERGY-BALANCE'!$E$5:$E$21</c:f>
              <c:strCache>
                <c:ptCount val="17"/>
                <c:pt idx="0">
                  <c:v>B.4 Roof</c:v>
                </c:pt>
                <c:pt idx="1">
                  <c:v>B.5 Walls Ae</c:v>
                </c:pt>
                <c:pt idx="3">
                  <c:v>B.7.0 Doors</c:v>
                </c:pt>
                <c:pt idx="4">
                  <c:v>B.8.1 Windows N</c:v>
                </c:pt>
                <c:pt idx="5">
                  <c:v>B.8.2 Windows E</c:v>
                </c:pt>
                <c:pt idx="6">
                  <c:v>B.8.3 Windows S</c:v>
                </c:pt>
                <c:pt idx="7">
                  <c:v>B.8.4 Windows W</c:v>
                </c:pt>
                <c:pt idx="10">
                  <c:v>B.10 Floor Slab</c:v>
                </c:pt>
                <c:pt idx="11">
                  <c:v>B.12 TB Penalty</c:v>
                </c:pt>
                <c:pt idx="12">
                  <c:v>B.18.3 Air Leakage</c:v>
                </c:pt>
                <c:pt idx="13">
                  <c:v>V.2.3 Unrecovered Ventilation</c:v>
                </c:pt>
                <c:pt idx="14">
                  <c:v>G.5 Unusable Gains</c:v>
                </c:pt>
                <c:pt idx="16">
                  <c:v> W.2.W SHW Wasted</c:v>
                </c:pt>
              </c:strCache>
            </c:strRef>
          </c:cat>
          <c:val>
            <c:numRef>
              <c:f>'ENERGY-BALANCE'!$F$5:$F$21</c:f>
              <c:numCache>
                <c:formatCode>#,##0.00</c:formatCode>
                <c:ptCount val="17"/>
                <c:pt idx="0">
                  <c:v>16666.503529411766</c:v>
                </c:pt>
                <c:pt idx="1">
                  <c:v>11765.603587443946</c:v>
                </c:pt>
                <c:pt idx="2">
                  <c:v>0</c:v>
                </c:pt>
                <c:pt idx="3">
                  <c:v>745.2</c:v>
                </c:pt>
                <c:pt idx="4">
                  <c:v>8062.0704000000005</c:v>
                </c:pt>
                <c:pt idx="5">
                  <c:v>380.54880000000003</c:v>
                </c:pt>
                <c:pt idx="6">
                  <c:v>15798.24</c:v>
                </c:pt>
                <c:pt idx="7">
                  <c:v>10001.577600000001</c:v>
                </c:pt>
                <c:pt idx="8">
                  <c:v>0</c:v>
                </c:pt>
                <c:pt idx="9">
                  <c:v>0</c:v>
                </c:pt>
                <c:pt idx="10">
                  <c:v>13990.204540540542</c:v>
                </c:pt>
                <c:pt idx="11">
                  <c:v>15481.989691479248</c:v>
                </c:pt>
                <c:pt idx="12">
                  <c:v>23178.387012790419</c:v>
                </c:pt>
                <c:pt idx="13">
                  <c:v>48980.799999999988</c:v>
                </c:pt>
                <c:pt idx="14">
                  <c:v>68819.020840991987</c:v>
                </c:pt>
                <c:pt idx="16">
                  <c:v>12828.144</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ENERGY</a:t>
            </a:r>
            <a:r>
              <a:rPr lang="en-US" baseline="0"/>
              <a:t> GAINED</a:t>
            </a:r>
            <a:endParaRPr lang="en-US"/>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'ENERGY-BALANCE'!$C$46</c:f>
              <c:strCache>
                <c:ptCount val="1"/>
                <c:pt idx="0">
                  <c:v>B.4 Roof</c:v>
                </c:pt>
              </c:strCache>
            </c:strRef>
          </c:tx>
          <c:spPr>
            <a:solidFill>
              <a:schemeClr val="accent6">
                <a:tint val="36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'ENERGY-BALANCE'!$D$46</c:f>
              <c:numCache>
                <c:formatCode>#,##0.00</c:formatCode>
                <c:ptCount val="1"/>
                <c:pt idx="0">
                  <c:v>710.13797647058823</c:v>
                </c:pt>
              </c:numCache>
            </c:numRef>
          </c:val>
          <c:extLst>
            <c:ext xmlns:c16="http://schemas.microsoft.com/office/drawing/2014/chart" uri="{C3380CC4-5D6E-409C-BE32-E72D297353CC}">
              <c16:uniqueId val="{00000000-B3A6-834E-9ADF-C2C78EBB43CD}"/>
            </c:ext>
          </c:extLst>
        </c:ser>
        <c:ser>
          <c:idx val="1"/>
          <c:order val="1"/>
          <c:tx>
            <c:strRef>
              <c:f>'ENERGY-BALANCE'!$C$47</c:f>
              <c:strCache>
                <c:ptCount val="1"/>
                <c:pt idx="0">
                  <c:v>B.5 Walls Ae</c:v>
                </c:pt>
              </c:strCache>
            </c:strRef>
          </c:tx>
          <c:spPr>
            <a:solidFill>
              <a:schemeClr val="accent6">
                <a:tint val="42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'ENERGY-BALANCE'!$D$47</c:f>
              <c:numCache>
                <c:formatCode>#,##0.00</c:formatCode>
                <c:ptCount val="1"/>
                <c:pt idx="0">
                  <c:v>501.31702242152471</c:v>
                </c:pt>
              </c:numCache>
            </c:numRef>
          </c:val>
          <c:extLst>
            <c:ext xmlns:c16="http://schemas.microsoft.com/office/drawing/2014/chart" uri="{C3380CC4-5D6E-409C-BE32-E72D297353CC}">
              <c16:uniqueId val="{00000001-B3A6-834E-9ADF-C2C78EBB43CD}"/>
            </c:ext>
          </c:extLst>
        </c:ser>
        <c:ser>
          <c:idx val="2"/>
          <c:order val="2"/>
          <c:tx>
            <c:strRef>
              <c:f>'ENERGY-BALANCE'!$C$48</c:f>
              <c:strCache>
                <c:ptCount val="1"/>
              </c:strCache>
            </c:strRef>
          </c:tx>
          <c:spPr>
            <a:solidFill>
              <a:schemeClr val="accent6">
                <a:tint val="48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'ENERGY-BALANCE'!$D$48</c:f>
              <c:numCache>
                <c:formatCode>#,##0.00</c:formatCode>
                <c:ptCount val="1"/>
                <c:pt idx="0">
                  <c:v>0</c:v>
                </c:pt>
              </c:numCache>
            </c:numRef>
          </c:val>
          <c:extLst>
            <c:ext xmlns:c16="http://schemas.microsoft.com/office/drawing/2014/chart" uri="{C3380CC4-5D6E-409C-BE32-E72D297353CC}">
              <c16:uniqueId val="{00000002-B3A6-834E-9ADF-C2C78EBB43CD}"/>
            </c:ext>
          </c:extLst>
        </c:ser>
        <c:ser>
          <c:idx val="3"/>
          <c:order val="3"/>
          <c:tx>
            <c:strRef>
              <c:f>'ENERGY-BALANCE'!$C$49</c:f>
              <c:strCache>
                <c:ptCount val="1"/>
                <c:pt idx="0">
                  <c:v>B.7.0 Doors</c:v>
                </c:pt>
              </c:strCache>
            </c:strRef>
          </c:tx>
          <c:spPr>
            <a:solidFill>
              <a:schemeClr val="accent6">
                <a:tint val="54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'ENERGY-BALANCE'!$D$49</c:f>
              <c:numCache>
                <c:formatCode>#,##0.00</c:formatCode>
                <c:ptCount val="1"/>
                <c:pt idx="0">
                  <c:v>31.752000000000002</c:v>
                </c:pt>
              </c:numCache>
            </c:numRef>
          </c:val>
          <c:extLst>
            <c:ext xmlns:c16="http://schemas.microsoft.com/office/drawing/2014/chart" uri="{C3380CC4-5D6E-409C-BE32-E72D297353CC}">
              <c16:uniqueId val="{00000000-01B0-3347-ADCE-1AB9BC05B0FE}"/>
            </c:ext>
          </c:extLst>
        </c:ser>
        <c:ser>
          <c:idx val="4"/>
          <c:order val="4"/>
          <c:tx>
            <c:strRef>
              <c:f>'ENERGY-BALANCE'!$C$50</c:f>
              <c:strCache>
                <c:ptCount val="1"/>
                <c:pt idx="0">
                  <c:v>B.8.1 Window Area North</c:v>
                </c:pt>
              </c:strCache>
            </c:strRef>
          </c:tx>
          <c:spPr>
            <a:solidFill>
              <a:schemeClr val="accent6">
                <a:tint val="60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'ENERGY-BALANCE'!$D$50</c:f>
              <c:numCache>
                <c:formatCode>#,##0.00</c:formatCode>
                <c:ptCount val="1"/>
                <c:pt idx="0">
                  <c:v>343.51430399999998</c:v>
                </c:pt>
              </c:numCache>
            </c:numRef>
          </c:val>
          <c:extLst>
            <c:ext xmlns:c16="http://schemas.microsoft.com/office/drawing/2014/chart" uri="{C3380CC4-5D6E-409C-BE32-E72D297353CC}">
              <c16:uniqueId val="{00000000-67EC-E148-8503-29015E8069BA}"/>
            </c:ext>
          </c:extLst>
        </c:ser>
        <c:ser>
          <c:idx val="5"/>
          <c:order val="5"/>
          <c:tx>
            <c:strRef>
              <c:f>'ENERGY-BALANCE'!$C$51</c:f>
              <c:strCache>
                <c:ptCount val="1"/>
                <c:pt idx="0">
                  <c:v>B.8.2 Window Area East</c:v>
                </c:pt>
              </c:strCache>
            </c:strRef>
          </c:tx>
          <c:spPr>
            <a:solidFill>
              <a:schemeClr val="accent6">
                <a:tint val="65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'ENERGY-BALANCE'!$D$51</c:f>
              <c:numCache>
                <c:formatCode>#,##0.00</c:formatCode>
                <c:ptCount val="1"/>
                <c:pt idx="0">
                  <c:v>16.214687999999999</c:v>
                </c:pt>
              </c:numCache>
            </c:numRef>
          </c:val>
          <c:extLst>
            <c:ext xmlns:c16="http://schemas.microsoft.com/office/drawing/2014/chart" uri="{C3380CC4-5D6E-409C-BE32-E72D297353CC}">
              <c16:uniqueId val="{00000001-67EC-E148-8503-29015E8069BA}"/>
            </c:ext>
          </c:extLst>
        </c:ser>
        <c:ser>
          <c:idx val="6"/>
          <c:order val="6"/>
          <c:tx>
            <c:strRef>
              <c:f>'ENERGY-BALANCE'!$C$52</c:f>
              <c:strCache>
                <c:ptCount val="1"/>
                <c:pt idx="0">
                  <c:v>B.8.3 Window Area South</c:v>
                </c:pt>
              </c:strCache>
            </c:strRef>
          </c:tx>
          <c:spPr>
            <a:solidFill>
              <a:schemeClr val="accent6">
                <a:tint val="71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'ENERGY-BALANCE'!$D$52</c:f>
              <c:numCache>
                <c:formatCode>#,##0.00</c:formatCode>
                <c:ptCount val="1"/>
                <c:pt idx="0">
                  <c:v>673.14240000000007</c:v>
                </c:pt>
              </c:numCache>
            </c:numRef>
          </c:val>
          <c:extLst>
            <c:ext xmlns:c16="http://schemas.microsoft.com/office/drawing/2014/chart" uri="{C3380CC4-5D6E-409C-BE32-E72D297353CC}">
              <c16:uniqueId val="{00000002-67EC-E148-8503-29015E8069BA}"/>
            </c:ext>
          </c:extLst>
        </c:ser>
        <c:ser>
          <c:idx val="7"/>
          <c:order val="7"/>
          <c:tx>
            <c:strRef>
              <c:f>'ENERGY-BALANCE'!$C$53</c:f>
              <c:strCache>
                <c:ptCount val="1"/>
                <c:pt idx="0">
                  <c:v>B.8.4 Window Area West</c:v>
                </c:pt>
              </c:strCache>
            </c:strRef>
          </c:tx>
          <c:spPr>
            <a:solidFill>
              <a:schemeClr val="accent6">
                <a:tint val="77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'ENERGY-BALANCE'!$D$53</c:f>
              <c:numCache>
                <c:formatCode>#,##0.00</c:formatCode>
                <c:ptCount val="1"/>
                <c:pt idx="0">
                  <c:v>426.15417599999995</c:v>
                </c:pt>
              </c:numCache>
            </c:numRef>
          </c:val>
          <c:extLst>
            <c:ext xmlns:c16="http://schemas.microsoft.com/office/drawing/2014/chart" uri="{C3380CC4-5D6E-409C-BE32-E72D297353CC}">
              <c16:uniqueId val="{00000003-67EC-E148-8503-29015E8069BA}"/>
            </c:ext>
          </c:extLst>
        </c:ser>
        <c:ser>
          <c:idx val="8"/>
          <c:order val="8"/>
          <c:tx>
            <c:strRef>
              <c:f>'ENERGY-BALANCE'!$C$54</c:f>
              <c:strCache>
                <c:ptCount val="1"/>
                <c:pt idx="0">
                  <c:v>B.8.5 Skylights</c:v>
                </c:pt>
              </c:strCache>
            </c:strRef>
          </c:tx>
          <c:spPr>
            <a:solidFill>
              <a:schemeClr val="accent6">
                <a:tint val="8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'ENERGY-BALANCE'!$D$54</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'ENERGY-BALANCE'!$C$55</c:f>
              <c:strCache>
                <c:ptCount val="1"/>
              </c:strCache>
            </c:strRef>
          </c:tx>
          <c:spPr>
            <a:solidFill>
              <a:schemeClr val="accent6">
                <a:tint val="8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'ENERGY-BALANCE'!$D$55</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'ENERGY-BALANCE'!$C$56</c:f>
              <c:strCache>
                <c:ptCount val="1"/>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'ENERGY-BALANCE'!$D$56</c:f>
              <c:numCache>
                <c:formatCode>#,##0.00</c:formatCode>
                <c:ptCount val="1"/>
                <c:pt idx="0">
                  <c:v>0</c:v>
                </c:pt>
              </c:numCache>
            </c:numRef>
          </c:val>
          <c:extLst>
            <c:ext xmlns:c16="http://schemas.microsoft.com/office/drawing/2014/chart" uri="{C3380CC4-5D6E-409C-BE32-E72D297353CC}">
              <c16:uniqueId val="{00000006-67EC-E148-8503-29015E8069BA}"/>
            </c:ext>
          </c:extLst>
        </c:ser>
        <c:ser>
          <c:idx val="11"/>
          <c:order val="11"/>
          <c:tx>
            <c:strRef>
              <c:f>'ENERGY-BALANCE'!$C$57</c:f>
              <c:strCache>
                <c:ptCount val="1"/>
              </c:strCache>
            </c:strRef>
          </c:tx>
          <c:spPr>
            <a:solidFill>
              <a:schemeClr val="accent6"/>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'ENERGY-BALANCE'!$D$57</c:f>
              <c:numCache>
                <c:formatCode>#,##0.00</c:formatCode>
                <c:ptCount val="1"/>
                <c:pt idx="0">
                  <c:v>0</c:v>
                </c:pt>
              </c:numCache>
            </c:numRef>
          </c:val>
          <c:extLst>
            <c:ext xmlns:c16="http://schemas.microsoft.com/office/drawing/2014/chart" uri="{C3380CC4-5D6E-409C-BE32-E72D297353CC}">
              <c16:uniqueId val="{00000007-67EC-E148-8503-29015E8069BA}"/>
            </c:ext>
          </c:extLst>
        </c:ser>
        <c:ser>
          <c:idx val="12"/>
          <c:order val="12"/>
          <c:tx>
            <c:strRef>
              <c:f>'ENERGY-BALANCE'!$C$58</c:f>
              <c:strCache>
                <c:ptCount val="1"/>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'ENERGY-BALANCE'!$D$58</c:f>
              <c:numCache>
                <c:formatCode>#,##0.00</c:formatCode>
                <c:ptCount val="1"/>
                <c:pt idx="0">
                  <c:v>0</c:v>
                </c:pt>
              </c:numCache>
            </c:numRef>
          </c:val>
          <c:extLst>
            <c:ext xmlns:c16="http://schemas.microsoft.com/office/drawing/2014/chart" uri="{C3380CC4-5D6E-409C-BE32-E72D297353CC}">
              <c16:uniqueId val="{00000008-67EC-E148-8503-29015E8069BA}"/>
            </c:ext>
          </c:extLst>
        </c:ser>
        <c:ser>
          <c:idx val="13"/>
          <c:order val="13"/>
          <c:tx>
            <c:strRef>
              <c:f>'ENERGY-BALANCE'!$C$59</c:f>
              <c:strCache>
                <c:ptCount val="1"/>
              </c:strCache>
            </c:strRef>
          </c:tx>
          <c:spPr>
            <a:solidFill>
              <a:schemeClr val="accent6">
                <a:shade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'ENERGY-BALANCE'!$D$59</c:f>
              <c:numCache>
                <c:formatCode>#,##0.00</c:formatCode>
                <c:ptCount val="1"/>
                <c:pt idx="0">
                  <c:v>0</c:v>
                </c:pt>
              </c:numCache>
            </c:numRef>
          </c:val>
          <c:extLst>
            <c:ext xmlns:c16="http://schemas.microsoft.com/office/drawing/2014/chart" uri="{C3380CC4-5D6E-409C-BE32-E72D297353CC}">
              <c16:uniqueId val="{00000009-67EC-E148-8503-29015E8069BA}"/>
            </c:ext>
          </c:extLst>
        </c:ser>
        <c:ser>
          <c:idx val="14"/>
          <c:order val="14"/>
          <c:tx>
            <c:strRef>
              <c:f>'ENERGY-BALANCE'!$C$60</c:f>
              <c:strCache>
                <c:ptCount val="1"/>
              </c:strCache>
            </c:strRef>
          </c:tx>
          <c:spPr>
            <a:solidFill>
              <a:schemeClr val="accent6">
                <a:shade val="82000"/>
              </a:schemeClr>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'ENERGY-BALANCE'!$D$60</c:f>
              <c:numCache>
                <c:formatCode>#,##0.00</c:formatCode>
                <c:ptCount val="1"/>
                <c:pt idx="0">
                  <c:v>0</c:v>
                </c:pt>
              </c:numCache>
            </c:numRef>
          </c:val>
          <c:extLst>
            <c:ext xmlns:c16="http://schemas.microsoft.com/office/drawing/2014/chart" uri="{C3380CC4-5D6E-409C-BE32-E72D297353CC}">
              <c16:uniqueId val="{00000000-92D6-8444-927B-08E35B51D6D6}"/>
            </c:ext>
          </c:extLst>
        </c:ser>
        <c:ser>
          <c:idx val="15"/>
          <c:order val="15"/>
          <c:tx>
            <c:strRef>
              <c:f>'ENERGY-BALANCE'!$C$61</c:f>
              <c:strCache>
                <c:ptCount val="1"/>
                <c:pt idx="0">
                  <c:v>G.8.4 Windows W</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'ENERGY-BALANCE'!$D$61</c:f>
              <c:numCache>
                <c:formatCode>#,##0.00</c:formatCode>
                <c:ptCount val="1"/>
                <c:pt idx="0">
                  <c:v>130.15337999999997</c:v>
                </c:pt>
              </c:numCache>
            </c:numRef>
          </c:val>
          <c:extLst>
            <c:ext xmlns:c16="http://schemas.microsoft.com/office/drawing/2014/chart" uri="{C3380CC4-5D6E-409C-BE32-E72D297353CC}">
              <c16:uniqueId val="{00000001-92D6-8444-927B-08E35B51D6D6}"/>
            </c:ext>
          </c:extLst>
        </c:ser>
        <c:ser>
          <c:idx val="16"/>
          <c:order val="16"/>
          <c:tx>
            <c:strRef>
              <c:f>'ENERGY-BALANCE'!$C$62</c:f>
              <c:strCache>
                <c:ptCount val="1"/>
              </c:strCache>
            </c:strRef>
          </c:tx>
          <c:spPr>
            <a:solidFill>
              <a:schemeClr val="accent6">
                <a:shade val="70000"/>
              </a:schemeClr>
            </a:solidFill>
            <a:ln>
              <a:noFill/>
            </a:ln>
            <a:effectLst/>
          </c:spPr>
          <c:invertIfNegative val="0"/>
          <c:dLbls>
            <c:dLbl>
              <c:idx val="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6F30-8649-8D8B-1ECD40111A9F}"/>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4999"/>
                        </a:schemeClr>
                      </a:solidFill>
                      <a:prstDash val="solid"/>
                      <a:round/>
                    </a:ln>
                    <a:effectLst/>
                  </c:spPr>
                </c15:leaderLines>
              </c:ext>
            </c:extLst>
          </c:dLbls>
          <c:cat>
            <c:strRef>
              <c:f>'ENERGY-BALANCE'!$D$45</c:f>
              <c:strCache>
                <c:ptCount val="1"/>
                <c:pt idx="0">
                  <c:v>Gained (kWh)</c:v>
                </c:pt>
              </c:strCache>
            </c:strRef>
          </c:cat>
          <c:val>
            <c:numRef>
              <c:f>'ENERGY-BALANCE'!$D$62</c:f>
              <c:numCache>
                <c:formatCode>#,##0.00</c:formatCode>
                <c:ptCount val="1"/>
                <c:pt idx="0">
                  <c:v>0</c:v>
                </c:pt>
              </c:numCache>
            </c:numRef>
          </c:val>
          <c:extLst>
            <c:ext xmlns:c16="http://schemas.microsoft.com/office/drawing/2014/chart" uri="{C3380CC4-5D6E-409C-BE32-E72D297353CC}">
              <c16:uniqueId val="{00000002-92D6-8444-927B-08E35B51D6D6}"/>
            </c:ext>
          </c:extLst>
        </c:ser>
        <c:ser>
          <c:idx val="17"/>
          <c:order val="17"/>
          <c:tx>
            <c:strRef>
              <c:f>'ENERGY-BALANCE'!$C$63</c:f>
              <c:strCache>
                <c:ptCount val="1"/>
                <c:pt idx="0">
                  <c:v>B.19.6 Air Leakage</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'ENERGY-BALANCE'!$D$63</c:f>
              <c:numCache>
                <c:formatCode>#,##0.00</c:formatCode>
                <c:ptCount val="1"/>
                <c:pt idx="0">
                  <c:v>987.60083793628723</c:v>
                </c:pt>
              </c:numCache>
            </c:numRef>
          </c:val>
          <c:extLst>
            <c:ext xmlns:c16="http://schemas.microsoft.com/office/drawing/2014/chart" uri="{C3380CC4-5D6E-409C-BE32-E72D297353CC}">
              <c16:uniqueId val="{00000000-F06F-8541-B1E4-60F6559EB26E}"/>
            </c:ext>
          </c:extLst>
        </c:ser>
        <c:ser>
          <c:idx val="18"/>
          <c:order val="18"/>
          <c:tx>
            <c:strRef>
              <c:f>'ENERGY-BALANCE'!$C$64</c:f>
              <c:strCache>
                <c:ptCount val="1"/>
                <c:pt idx="0">
                  <c:v>V.4.1 Incoming Ventil. Energy</c:v>
                </c:pt>
              </c:strCache>
            </c:strRef>
          </c:tx>
          <c:spPr>
            <a:solidFill>
              <a:schemeClr val="accent6">
                <a:shade val="5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'ENERGY-BALANCE'!$D$64</c:f>
              <c:numCache>
                <c:formatCode>#,##0.00</c:formatCode>
                <c:ptCount val="1"/>
                <c:pt idx="0">
                  <c:v>30257.36908356542</c:v>
                </c:pt>
              </c:numCache>
            </c:numRef>
          </c:val>
          <c:extLst>
            <c:ext xmlns:c16="http://schemas.microsoft.com/office/drawing/2014/chart" uri="{C3380CC4-5D6E-409C-BE32-E72D297353CC}">
              <c16:uniqueId val="{00000001-F06F-8541-B1E4-60F6559EB26E}"/>
            </c:ext>
          </c:extLst>
        </c:ser>
        <c:ser>
          <c:idx val="19"/>
          <c:order val="19"/>
          <c:tx>
            <c:strRef>
              <c:f>'ENERGY-BALANCE'!$C$65</c:f>
              <c:strCache>
                <c:ptCount val="1"/>
              </c:strCache>
            </c:strRef>
          </c:tx>
          <c:spPr>
            <a:solidFill>
              <a:schemeClr val="accent6">
                <a:shade val="53000"/>
              </a:schemeClr>
            </a:solidFill>
            <a:ln>
              <a:noFill/>
            </a:ln>
            <a:effectLst/>
          </c:spPr>
          <c:invertIfNegative val="0"/>
          <c:dLbls>
            <c:dLbl>
              <c:idx val="0"/>
              <c:dLblPos val="ctr"/>
              <c:showLegendKey val="0"/>
              <c:showVal val="0"/>
              <c:showCatName val="0"/>
              <c:showSerName val="1"/>
              <c:showPercent val="0"/>
              <c:showBubbleSize val="0"/>
              <c:extLst>
                <c:ext xmlns:c15="http://schemas.microsoft.com/office/drawing/2012/chart" uri="{CE6537A1-D6FC-4f65-9D91-7224C49458BB}">
                  <c15:layout>
                    <c:manualLayout>
                      <c:w val="0.19457091154003173"/>
                      <c:h val="7.9606889318659974E-2"/>
                    </c:manualLayout>
                  </c15:layout>
                </c:ext>
                <c:ext xmlns:c16="http://schemas.microsoft.com/office/drawing/2014/chart" uri="{C3380CC4-5D6E-409C-BE32-E72D297353CC}">
                  <c16:uniqueId val="{00000004-F06F-8541-B1E4-60F6559EB26E}"/>
                </c:ext>
              </c:extLst>
            </c:dLbl>
            <c:spPr>
              <a:noFill/>
              <a:ln>
                <a:noFill/>
              </a:ln>
              <a:effectLst/>
            </c:spPr>
            <c:txPr>
              <a:bodyPr rot="0" spcFirstLastPara="1" vertOverflow="overflow" horzOverflow="overflow" vert="horz" wrap="non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'ENERGY-BALANCE'!$D$45</c:f>
              <c:strCache>
                <c:ptCount val="1"/>
                <c:pt idx="0">
                  <c:v>Gained (kWh)</c:v>
                </c:pt>
              </c:strCache>
            </c:strRef>
          </c:cat>
          <c:val>
            <c:numRef>
              <c:f>'ENERGY-BALANCE'!$D$65</c:f>
              <c:numCache>
                <c:formatCode>#,##0.00</c:formatCode>
                <c:ptCount val="1"/>
                <c:pt idx="0">
                  <c:v>0</c:v>
                </c:pt>
              </c:numCache>
            </c:numRef>
          </c:val>
          <c:extLst>
            <c:ext xmlns:c16="http://schemas.microsoft.com/office/drawing/2014/chart" uri="{C3380CC4-5D6E-409C-BE32-E72D297353CC}">
              <c16:uniqueId val="{00000002-F06F-8541-B1E4-60F6559EB26E}"/>
            </c:ext>
          </c:extLst>
        </c:ser>
        <c:ser>
          <c:idx val="20"/>
          <c:order val="20"/>
          <c:tx>
            <c:strRef>
              <c:f>'ENERGY-BALANCE'!$C$66</c:f>
              <c:strCache>
                <c:ptCount val="1"/>
                <c:pt idx="0">
                  <c:v>G.1.2 Occupant Gains</c:v>
                </c:pt>
              </c:strCache>
            </c:strRef>
          </c:tx>
          <c:spPr>
            <a:solidFill>
              <a:schemeClr val="accent6">
                <a:shade val="4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'ENERGY-BALANCE'!$D$66</c:f>
              <c:numCache>
                <c:formatCode>#,##0.00</c:formatCode>
                <c:ptCount val="1"/>
                <c:pt idx="0">
                  <c:v>21269.925976319999</c:v>
                </c:pt>
              </c:numCache>
            </c:numRef>
          </c:val>
          <c:extLst>
            <c:ext xmlns:c16="http://schemas.microsoft.com/office/drawing/2014/chart" uri="{C3380CC4-5D6E-409C-BE32-E72D297353CC}">
              <c16:uniqueId val="{00000000-E107-EA42-970C-CF756BF46A44}"/>
            </c:ext>
          </c:extLst>
        </c:ser>
        <c:ser>
          <c:idx val="21"/>
          <c:order val="21"/>
          <c:tx>
            <c:strRef>
              <c:f>'ENERGY-BALANCE'!$C$67</c:f>
              <c:strCache>
                <c:ptCount val="1"/>
                <c:pt idx="0">
                  <c:v>G.2 Plug/Light/Eqpt. Subtotals</c:v>
                </c:pt>
              </c:strCache>
            </c:strRef>
          </c:tx>
          <c:spPr>
            <a:solidFill>
              <a:schemeClr val="accent6">
                <a:shade val="41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'ENERGY-BALANCE'!$D$45</c:f>
              <c:strCache>
                <c:ptCount val="1"/>
                <c:pt idx="0">
                  <c:v>Gained (kWh)</c:v>
                </c:pt>
              </c:strCache>
            </c:strRef>
          </c:cat>
          <c:val>
            <c:numRef>
              <c:f>'ENERGY-BALANCE'!$D$67</c:f>
              <c:numCache>
                <c:formatCode>#,##0.00</c:formatCode>
                <c:ptCount val="1"/>
                <c:pt idx="0">
                  <c:v>27744.768</c:v>
                </c:pt>
              </c:numCache>
            </c:numRef>
          </c:val>
          <c:extLst>
            <c:ext xmlns:c16="http://schemas.microsoft.com/office/drawing/2014/chart" uri="{C3380CC4-5D6E-409C-BE32-E72D297353CC}">
              <c16:uniqueId val="{00000001-E107-EA42-970C-CF756BF46A44}"/>
            </c:ext>
          </c:extLst>
        </c:ser>
        <c:ser>
          <c:idx val="22"/>
          <c:order val="22"/>
          <c:tx>
            <c:strRef>
              <c:f>'ENERGY-BALANCE'!$C$68</c:f>
              <c:strCache>
                <c:ptCount val="1"/>
                <c:pt idx="0">
                  <c:v>W.1.3 DHW System Losses</c:v>
                </c:pt>
              </c:strCache>
            </c:strRef>
          </c:tx>
          <c:spPr>
            <a:solidFill>
              <a:schemeClr val="accent6">
                <a:shade val="3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'ENERGY-BALANCE'!$D$45</c:f>
              <c:strCache>
                <c:ptCount val="1"/>
                <c:pt idx="0">
                  <c:v>Gained (kWh)</c:v>
                </c:pt>
              </c:strCache>
            </c:strRef>
          </c:cat>
          <c:val>
            <c:numRef>
              <c:f>'ENERGY-BALANCE'!$D$68</c:f>
              <c:numCache>
                <c:formatCode>#,##0.00</c:formatCode>
                <c:ptCount val="1"/>
                <c:pt idx="0">
                  <c:v>0</c:v>
                </c:pt>
              </c:numCache>
            </c:numRef>
          </c:val>
          <c:extLst>
            <c:ext xmlns:c16="http://schemas.microsoft.com/office/drawing/2014/chart" uri="{C3380CC4-5D6E-409C-BE32-E72D297353CC}">
              <c16:uniqueId val="{00000002-E107-EA42-970C-CF756BF46A44}"/>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min val="0"/>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SUPPLIED Energy</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'ENERGY-BALANCE'!$C$5</c:f>
              <c:strCache>
                <c:ptCount val="1"/>
                <c:pt idx="0">
                  <c:v>G.1.2 Occupant Activity</c:v>
                </c:pt>
              </c:strCache>
            </c:strRef>
          </c:tx>
          <c:spPr>
            <a:solidFill>
              <a:schemeClr val="accent3">
                <a:shade val="38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'ENERGY-BALANCE'!$D$5</c:f>
              <c:numCache>
                <c:formatCode>#,##0.00</c:formatCode>
                <c:ptCount val="1"/>
                <c:pt idx="0">
                  <c:v>43426.098868319998</c:v>
                </c:pt>
              </c:numCache>
            </c:numRef>
          </c:val>
          <c:extLst>
            <c:ext xmlns:c16="http://schemas.microsoft.com/office/drawing/2014/chart" uri="{C3380CC4-5D6E-409C-BE32-E72D297353CC}">
              <c16:uniqueId val="{00000000-B3A6-834E-9ADF-C2C78EBB43CD}"/>
            </c:ext>
          </c:extLst>
        </c:ser>
        <c:ser>
          <c:idx val="1"/>
          <c:order val="1"/>
          <c:tx>
            <c:strRef>
              <c:f>'ENERGY-BALANCE'!$C$6</c:f>
              <c:strCache>
                <c:ptCount val="1"/>
                <c:pt idx="0">
                  <c:v>G.2 Plug/Light/Eqpt. Subtotals</c:v>
                </c:pt>
              </c:strCache>
            </c:strRef>
          </c:tx>
          <c:spPr>
            <a:solidFill>
              <a:schemeClr val="accent3">
                <a:shade val="4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'ENERGY-BALANCE'!$D$6</c:f>
              <c:numCache>
                <c:formatCode>#,##0.00</c:formatCode>
                <c:ptCount val="1"/>
                <c:pt idx="0">
                  <c:v>56645.567999999999</c:v>
                </c:pt>
              </c:numCache>
            </c:numRef>
          </c:val>
          <c:extLst>
            <c:ext xmlns:c16="http://schemas.microsoft.com/office/drawing/2014/chart" uri="{C3380CC4-5D6E-409C-BE32-E72D297353CC}">
              <c16:uniqueId val="{00000001-B3A6-834E-9ADF-C2C78EBB43CD}"/>
            </c:ext>
          </c:extLst>
        </c:ser>
        <c:ser>
          <c:idx val="2"/>
          <c:order val="2"/>
          <c:tx>
            <c:strRef>
              <c:f>'ENERGY-BALANCE'!$C$7</c:f>
              <c:strCache>
                <c:ptCount val="1"/>
              </c:strCache>
            </c:strRef>
          </c:tx>
          <c:spPr>
            <a:solidFill>
              <a:schemeClr val="accent3">
                <a:shade val="54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'ENERGY-BALANCE'!$D$7</c:f>
              <c:numCache>
                <c:formatCode>#,##0.00</c:formatCode>
                <c:ptCount val="1"/>
              </c:numCache>
            </c:numRef>
          </c:val>
          <c:extLst>
            <c:ext xmlns:c16="http://schemas.microsoft.com/office/drawing/2014/chart" uri="{C3380CC4-5D6E-409C-BE32-E72D297353CC}">
              <c16:uniqueId val="{00000002-B3A6-834E-9ADF-C2C78EBB43CD}"/>
            </c:ext>
          </c:extLst>
        </c:ser>
        <c:ser>
          <c:idx val="3"/>
          <c:order val="3"/>
          <c:tx>
            <c:strRef>
              <c:f>'ENERGY-BALANCE'!$C$8</c:f>
              <c:strCache>
                <c:ptCount val="1"/>
                <c:pt idx="0">
                  <c:v>G.7 Doors</c:v>
                </c:pt>
              </c:strCache>
            </c:strRef>
          </c:tx>
          <c:spPr>
            <a:solidFill>
              <a:schemeClr val="accent3">
                <a:shade val="62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'ENERGY-BALANCE'!$D$8</c:f>
              <c:numCache>
                <c:formatCode>#,##0.00</c:formatCode>
                <c:ptCount val="1"/>
                <c:pt idx="0">
                  <c:v>375</c:v>
                </c:pt>
              </c:numCache>
            </c:numRef>
          </c:val>
          <c:extLst>
            <c:ext xmlns:c16="http://schemas.microsoft.com/office/drawing/2014/chart" uri="{C3380CC4-5D6E-409C-BE32-E72D297353CC}">
              <c16:uniqueId val="{00000000-01B0-3347-ADCE-1AB9BC05B0FE}"/>
            </c:ext>
          </c:extLst>
        </c:ser>
        <c:ser>
          <c:idx val="4"/>
          <c:order val="4"/>
          <c:tx>
            <c:strRef>
              <c:f>'ENERGY-BALANCE'!$C$9</c:f>
              <c:strCache>
                <c:ptCount val="1"/>
                <c:pt idx="0">
                  <c:v>G.8.1 Window Area North</c:v>
                </c:pt>
              </c:strCache>
            </c:strRef>
          </c:tx>
          <c:spPr>
            <a:solidFill>
              <a:schemeClr val="accent3">
                <a:shade val="71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'ENERGY-BALANCE'!$D$9</c:f>
              <c:numCache>
                <c:formatCode>#,##0.00</c:formatCode>
                <c:ptCount val="1"/>
                <c:pt idx="0">
                  <c:v>106.29340000000001</c:v>
                </c:pt>
              </c:numCache>
            </c:numRef>
          </c:val>
          <c:extLst>
            <c:ext xmlns:c16="http://schemas.microsoft.com/office/drawing/2014/chart" uri="{C3380CC4-5D6E-409C-BE32-E72D297353CC}">
              <c16:uniqueId val="{00000000-67EC-E148-8503-29015E8069BA}"/>
            </c:ext>
          </c:extLst>
        </c:ser>
        <c:ser>
          <c:idx val="5"/>
          <c:order val="5"/>
          <c:tx>
            <c:strRef>
              <c:f>'ENERGY-BALANCE'!$C$10</c:f>
              <c:strCache>
                <c:ptCount val="1"/>
                <c:pt idx="0">
                  <c:v>G.8.2 Window Area East</c:v>
                </c:pt>
              </c:strCache>
            </c:strRef>
          </c:tx>
          <c:spPr>
            <a:solidFill>
              <a:schemeClr val="accent3">
                <a:shade val="79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'ENERGY-BALANCE'!$D$10</c:f>
              <c:numCache>
                <c:formatCode>#,##0.00</c:formatCode>
                <c:ptCount val="1"/>
                <c:pt idx="0">
                  <c:v>294.68020000000001</c:v>
                </c:pt>
              </c:numCache>
            </c:numRef>
          </c:val>
          <c:extLst>
            <c:ext xmlns:c16="http://schemas.microsoft.com/office/drawing/2014/chart" uri="{C3380CC4-5D6E-409C-BE32-E72D297353CC}">
              <c16:uniqueId val="{00000001-67EC-E148-8503-29015E8069BA}"/>
            </c:ext>
          </c:extLst>
        </c:ser>
        <c:ser>
          <c:idx val="6"/>
          <c:order val="6"/>
          <c:tx>
            <c:strRef>
              <c:f>'ENERGY-BALANCE'!$C$11</c:f>
              <c:strCache>
                <c:ptCount val="1"/>
                <c:pt idx="0">
                  <c:v>G.8.3 Window Area South</c:v>
                </c:pt>
              </c:strCache>
            </c:strRef>
          </c:tx>
          <c:spPr>
            <a:solidFill>
              <a:schemeClr val="accent3">
                <a:shade val="87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'ENERGY-BALANCE'!$D$11</c:f>
              <c:numCache>
                <c:formatCode>#,##0.00</c:formatCode>
                <c:ptCount val="1"/>
                <c:pt idx="0">
                  <c:v>11247.66</c:v>
                </c:pt>
              </c:numCache>
            </c:numRef>
          </c:val>
          <c:extLst>
            <c:ext xmlns:c16="http://schemas.microsoft.com/office/drawing/2014/chart" uri="{C3380CC4-5D6E-409C-BE32-E72D297353CC}">
              <c16:uniqueId val="{00000002-67EC-E148-8503-29015E8069BA}"/>
            </c:ext>
          </c:extLst>
        </c:ser>
        <c:ser>
          <c:idx val="7"/>
          <c:order val="7"/>
          <c:tx>
            <c:strRef>
              <c:f>'ENERGY-BALANCE'!$C$12</c:f>
              <c:strCache>
                <c:ptCount val="1"/>
                <c:pt idx="0">
                  <c:v>G.8.4 Window Area West</c:v>
                </c:pt>
              </c:strCache>
            </c:strRef>
          </c:tx>
          <c:spPr>
            <a:solidFill>
              <a:schemeClr val="accent3">
                <a:shade val="95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'ENERGY-BALANCE'!$D$12</c:f>
              <c:numCache>
                <c:formatCode>#,##0.00</c:formatCode>
                <c:ptCount val="1"/>
                <c:pt idx="0">
                  <c:v>2603.0675999999999</c:v>
                </c:pt>
              </c:numCache>
            </c:numRef>
          </c:val>
          <c:extLst>
            <c:ext xmlns:c16="http://schemas.microsoft.com/office/drawing/2014/chart" uri="{C3380CC4-5D6E-409C-BE32-E72D297353CC}">
              <c16:uniqueId val="{00000003-67EC-E148-8503-29015E8069BA}"/>
            </c:ext>
          </c:extLst>
        </c:ser>
        <c:ser>
          <c:idx val="8"/>
          <c:order val="8"/>
          <c:tx>
            <c:strRef>
              <c:f>'ENERGY-BALANCE'!$C$13</c:f>
              <c:strCache>
                <c:ptCount val="1"/>
              </c:strCache>
            </c:strRef>
          </c:tx>
          <c:spPr>
            <a:solidFill>
              <a:schemeClr val="accent3">
                <a:tint val="9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'ENERGY-BALANCE'!$D$13</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'ENERGY-BALANCE'!$C$14</c:f>
              <c:strCache>
                <c:ptCount val="1"/>
              </c:strCache>
            </c:strRef>
          </c:tx>
          <c:spPr>
            <a:solidFill>
              <a:schemeClr val="accent3">
                <a:tint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'ENERGY-BALANCE'!$D$14</c:f>
              <c:numCache>
                <c:formatCode>#,##0.00</c:formatCode>
                <c:ptCount val="1"/>
              </c:numCache>
            </c:numRef>
          </c:val>
          <c:extLst>
            <c:ext xmlns:c16="http://schemas.microsoft.com/office/drawing/2014/chart" uri="{C3380CC4-5D6E-409C-BE32-E72D297353CC}">
              <c16:uniqueId val="{00000005-67EC-E148-8503-29015E8069BA}"/>
            </c:ext>
          </c:extLst>
        </c:ser>
        <c:ser>
          <c:idx val="10"/>
          <c:order val="10"/>
          <c:tx>
            <c:strRef>
              <c:f>'ENERGY-BALANCE'!$C$15</c:f>
              <c:strCache>
                <c:ptCount val="1"/>
              </c:strCache>
            </c:strRef>
          </c:tx>
          <c:spPr>
            <a:solidFill>
              <a:schemeClr val="accent3">
                <a:tint val="80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'ENERGY-BALANCE'!$D$15</c:f>
              <c:numCache>
                <c:formatCode>#,##0.00</c:formatCode>
                <c:ptCount val="1"/>
              </c:numCache>
            </c:numRef>
          </c:val>
          <c:extLst>
            <c:ext xmlns:c16="http://schemas.microsoft.com/office/drawing/2014/chart" uri="{C3380CC4-5D6E-409C-BE32-E72D297353CC}">
              <c16:uniqueId val="{00000006-67EC-E148-8503-29015E8069BA}"/>
            </c:ext>
          </c:extLst>
        </c:ser>
        <c:ser>
          <c:idx val="11"/>
          <c:order val="11"/>
          <c:tx>
            <c:strRef>
              <c:f>'ENERGY-BALANCE'!$C$16</c:f>
              <c:strCache>
                <c:ptCount val="1"/>
              </c:strCache>
            </c:strRef>
          </c:tx>
          <c:spPr>
            <a:solidFill>
              <a:schemeClr val="accent3">
                <a:tint val="72000"/>
              </a:schemeClr>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'ENERGY-BALANCE'!$D$16</c:f>
              <c:numCache>
                <c:formatCode>#,##0.00</c:formatCode>
                <c:ptCount val="1"/>
              </c:numCache>
            </c:numRef>
          </c:val>
          <c:extLst>
            <c:ext xmlns:c16="http://schemas.microsoft.com/office/drawing/2014/chart" uri="{C3380CC4-5D6E-409C-BE32-E72D297353CC}">
              <c16:uniqueId val="{00000007-67EC-E148-8503-29015E8069BA}"/>
            </c:ext>
          </c:extLst>
        </c:ser>
        <c:ser>
          <c:idx val="12"/>
          <c:order val="12"/>
          <c:tx>
            <c:strRef>
              <c:f>'ENERGY-BALANCE'!$C$17</c:f>
              <c:strCache>
                <c:ptCount val="1"/>
              </c:strCache>
            </c:strRef>
          </c:tx>
          <c:spPr>
            <a:solidFill>
              <a:schemeClr val="accent3">
                <a:tint val="6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'ENERGY-BALANCE'!$D$17</c:f>
              <c:numCache>
                <c:formatCode>#,##0.00</c:formatCode>
                <c:ptCount val="1"/>
              </c:numCache>
            </c:numRef>
          </c:val>
          <c:extLst>
            <c:ext xmlns:c16="http://schemas.microsoft.com/office/drawing/2014/chart" uri="{C3380CC4-5D6E-409C-BE32-E72D297353CC}">
              <c16:uniqueId val="{00000008-67EC-E148-8503-29015E8069BA}"/>
            </c:ext>
          </c:extLst>
        </c:ser>
        <c:ser>
          <c:idx val="13"/>
          <c:order val="13"/>
          <c:tx>
            <c:strRef>
              <c:f>'ENERGY-BALANCE'!$C$18</c:f>
              <c:strCache>
                <c:ptCount val="1"/>
                <c:pt idx="0">
                  <c:v>M.2.1.S Energy Sink</c:v>
                </c:pt>
              </c:strCache>
            </c:strRef>
          </c:tx>
          <c:spPr>
            <a:solidFill>
              <a:schemeClr val="accent3">
                <a:tint val="5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'ENERGY-BALANCE'!$D$18</c:f>
              <c:numCache>
                <c:formatCode>#,##0.00</c:formatCode>
                <c:ptCount val="1"/>
                <c:pt idx="0">
                  <c:v>86642.649429381039</c:v>
                </c:pt>
              </c:numCache>
            </c:numRef>
          </c:val>
          <c:extLst>
            <c:ext xmlns:c16="http://schemas.microsoft.com/office/drawing/2014/chart" uri="{C3380CC4-5D6E-409C-BE32-E72D297353CC}">
              <c16:uniqueId val="{00000009-67EC-E148-8503-29015E8069BA}"/>
            </c:ext>
          </c:extLst>
        </c:ser>
        <c:ser>
          <c:idx val="14"/>
          <c:order val="14"/>
          <c:tx>
            <c:strRef>
              <c:f>'ENERGY-BALANCE'!$C$19</c:f>
              <c:strCache>
                <c:ptCount val="1"/>
                <c:pt idx="0">
                  <c:v>M.2.1.D Heat System Demand</c:v>
                </c:pt>
              </c:strCache>
            </c:strRef>
          </c:tx>
          <c:spPr>
            <a:solidFill>
              <a:schemeClr val="accent3">
                <a:tint val="4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'ENERGY-BALANCE'!$D$19</c:f>
              <c:numCache>
                <c:formatCode>#,##0.00</c:formatCode>
                <c:ptCount val="1"/>
                <c:pt idx="0">
                  <c:v>32529.128504956876</c:v>
                </c:pt>
              </c:numCache>
            </c:numRef>
          </c:val>
          <c:extLst>
            <c:ext xmlns:c16="http://schemas.microsoft.com/office/drawing/2014/chart" uri="{C3380CC4-5D6E-409C-BE32-E72D297353CC}">
              <c16:uniqueId val="{00000000-5F85-4443-A0AF-9CE7A2F4FADF}"/>
            </c:ext>
          </c:extLst>
        </c:ser>
        <c:ser>
          <c:idx val="15"/>
          <c:order val="15"/>
          <c:tx>
            <c:strRef>
              <c:f>'ENERGY-BALANCE'!$C$21</c:f>
              <c:strCache>
                <c:ptCount val="1"/>
                <c:pt idx="0">
                  <c:v>W.2.D.N SHW Net Demand</c:v>
                </c:pt>
              </c:strCache>
            </c:strRef>
          </c:tx>
          <c:spPr>
            <a:solidFill>
              <a:schemeClr val="accent3">
                <a:tint val="3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'ENERGY-BALANCE'!$D$4</c:f>
              <c:strCache>
                <c:ptCount val="1"/>
                <c:pt idx="0">
                  <c:v>Supplied kWh</c:v>
                </c:pt>
              </c:strCache>
            </c:strRef>
          </c:cat>
          <c:val>
            <c:numRef>
              <c:f>'ENERGY-BALANCE'!$D$21</c:f>
              <c:numCache>
                <c:formatCode>#,##0.00</c:formatCode>
                <c:ptCount val="1"/>
                <c:pt idx="0">
                  <c:v>12828.144</c:v>
                </c:pt>
              </c:numCache>
            </c:numRef>
          </c:val>
          <c:extLst>
            <c:ext xmlns:c16="http://schemas.microsoft.com/office/drawing/2014/chart" uri="{C3380CC4-5D6E-409C-BE32-E72D297353CC}">
              <c16:uniqueId val="{00000001-5F85-4443-A0AF-9CE7A2F4FADF}"/>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SUPPLIED Energy</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'ENERGY-BALANCE'!$E$33</c:f>
              <c:strCache>
                <c:ptCount val="1"/>
                <c:pt idx="0">
                  <c:v>G.3 Net Usable Gains (NRC)</c:v>
                </c:pt>
              </c:strCache>
            </c:strRef>
          </c:tx>
          <c:spPr>
            <a:solidFill>
              <a:schemeClr val="accent3">
                <a:shade val="53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'ENERGY-BALANCE'!$F$33</c:f>
              <c:numCache>
                <c:formatCode>#,##0.00</c:formatCode>
                <c:ptCount val="1"/>
                <c:pt idx="0">
                  <c:v>45879.347227327999</c:v>
                </c:pt>
              </c:numCache>
            </c:numRef>
          </c:val>
          <c:extLst>
            <c:ext xmlns:c16="http://schemas.microsoft.com/office/drawing/2014/chart" uri="{C3380CC4-5D6E-409C-BE32-E72D297353CC}">
              <c16:uniqueId val="{00000000-B3A6-834E-9ADF-C2C78EBB43CD}"/>
            </c:ext>
          </c:extLst>
        </c:ser>
        <c:ser>
          <c:idx val="1"/>
          <c:order val="1"/>
          <c:tx>
            <c:strRef>
              <c:f>'ENERGY-BALANCE'!$E$34</c:f>
              <c:strCache>
                <c:ptCount val="1"/>
                <c:pt idx="0">
                  <c:v>HP Free Energy (HP)</c:v>
                </c:pt>
              </c:strCache>
            </c:strRef>
          </c:tx>
          <c:spPr>
            <a:solidFill>
              <a:schemeClr val="accent3">
                <a:shade val="76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'ENERGY-BALANCE'!$F$34</c:f>
              <c:numCache>
                <c:formatCode>#,##0.00</c:formatCode>
                <c:ptCount val="1"/>
                <c:pt idx="0">
                  <c:v>86642.649429381039</c:v>
                </c:pt>
              </c:numCache>
            </c:numRef>
          </c:val>
          <c:extLst>
            <c:ext xmlns:c16="http://schemas.microsoft.com/office/drawing/2014/chart" uri="{C3380CC4-5D6E-409C-BE32-E72D297353CC}">
              <c16:uniqueId val="{00000001-B3A6-834E-9ADF-C2C78EBB43CD}"/>
            </c:ext>
          </c:extLst>
        </c:ser>
        <c:ser>
          <c:idx val="2"/>
          <c:order val="2"/>
          <c:tx>
            <c:strRef>
              <c:f>'ENERGY-BALANCE'!$E$35</c:f>
              <c:strCache>
                <c:ptCount val="1"/>
                <c:pt idx="0">
                  <c:v>TED NRC: Heatpump Load</c:v>
                </c:pt>
              </c:strCache>
            </c:strRef>
          </c:tx>
          <c:spPr>
            <a:solidFill>
              <a:schemeClr val="accent3"/>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'ENERGY-BALANCE'!$F$35</c:f>
              <c:numCache>
                <c:formatCode>#,##0.00</c:formatCode>
                <c:ptCount val="1"/>
                <c:pt idx="0">
                  <c:v>32529.128504956876</c:v>
                </c:pt>
              </c:numCache>
            </c:numRef>
          </c:val>
          <c:extLst>
            <c:ext xmlns:c16="http://schemas.microsoft.com/office/drawing/2014/chart" uri="{C3380CC4-5D6E-409C-BE32-E72D297353CC}">
              <c16:uniqueId val="{00000002-B3A6-834E-9ADF-C2C78EBB43CD}"/>
            </c:ext>
          </c:extLst>
        </c:ser>
        <c:ser>
          <c:idx val="3"/>
          <c:order val="3"/>
          <c:tx>
            <c:strRef>
              <c:f>'ENERGY-BALANCE'!$E$36</c:f>
              <c:strCache>
                <c:ptCount val="1"/>
              </c:strCache>
            </c:strRef>
          </c:tx>
          <c:spPr>
            <a:solidFill>
              <a:schemeClr val="accent3">
                <a:tint val="77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'ENERGY-BALANCE'!$F$36</c:f>
              <c:numCache>
                <c:formatCode>#,##0.00</c:formatCode>
                <c:ptCount val="1"/>
              </c:numCache>
            </c:numRef>
          </c:val>
          <c:extLst>
            <c:ext xmlns:c16="http://schemas.microsoft.com/office/drawing/2014/chart" uri="{C3380CC4-5D6E-409C-BE32-E72D297353CC}">
              <c16:uniqueId val="{00000000-01B0-3347-ADCE-1AB9BC05B0FE}"/>
            </c:ext>
          </c:extLst>
        </c:ser>
        <c:ser>
          <c:idx val="4"/>
          <c:order val="4"/>
          <c:tx>
            <c:strRef>
              <c:f>'ENERGY-BALANCE'!$E$37</c:f>
              <c:strCache>
                <c:ptCount val="1"/>
              </c:strCache>
            </c:strRef>
          </c:tx>
          <c:spPr>
            <a:solidFill>
              <a:schemeClr val="accent3">
                <a:tint val="54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'ENERGY-BALANCE'!$F$32</c:f>
              <c:strCache>
                <c:ptCount val="1"/>
                <c:pt idx="0">
                  <c:v>Supplied (kWh)</c:v>
                </c:pt>
              </c:strCache>
            </c:strRef>
          </c:cat>
          <c:val>
            <c:numRef>
              <c:f>'ENERGY-BALANCE'!$F$37</c:f>
              <c:numCache>
                <c:formatCode>#,##0.00</c:formatCode>
                <c:ptCount val="1"/>
              </c:numCache>
            </c:numRef>
          </c:val>
          <c:extLst>
            <c:ext xmlns:c16="http://schemas.microsoft.com/office/drawing/2014/chart" uri="{C3380CC4-5D6E-409C-BE32-E72D297353CC}">
              <c16:uniqueId val="{00000000-67EC-E148-8503-29015E8069BA}"/>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Lost Energy</a:t>
            </a:r>
          </a:p>
        </c:rich>
      </c:tx>
      <c:layout>
        <c:manualLayout>
          <c:xMode val="edge"/>
          <c:yMode val="edge"/>
          <c:x val="0.13381409831147528"/>
          <c:y val="3.366225009823566E-2"/>
        </c:manualLayout>
      </c:layout>
      <c:overlay val="0"/>
      <c:spPr>
        <a:noFill/>
        <a:ln>
          <a:noFill/>
        </a:ln>
        <a:effectLst/>
      </c:sp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'ENERGY-BALANCE'!$E$5</c:f>
              <c:strCache>
                <c:ptCount val="1"/>
                <c:pt idx="0">
                  <c:v>B.4 Roof</c:v>
                </c:pt>
              </c:strCache>
            </c:strRef>
          </c:tx>
          <c:spPr>
            <a:solidFill>
              <a:schemeClr val="accent2">
                <a:shade val="39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'ENERGY-BALANCE'!$F$5</c:f>
              <c:numCache>
                <c:formatCode>#,##0.00</c:formatCode>
                <c:ptCount val="1"/>
                <c:pt idx="0">
                  <c:v>16666.503529411766</c:v>
                </c:pt>
              </c:numCache>
            </c:numRef>
          </c:val>
          <c:extLst>
            <c:ext xmlns:c16="http://schemas.microsoft.com/office/drawing/2014/chart" uri="{C3380CC4-5D6E-409C-BE32-E72D297353CC}">
              <c16:uniqueId val="{00000000-B3A6-834E-9ADF-C2C78EBB43CD}"/>
            </c:ext>
          </c:extLst>
        </c:ser>
        <c:ser>
          <c:idx val="1"/>
          <c:order val="1"/>
          <c:tx>
            <c:strRef>
              <c:f>'ENERGY-BALANCE'!$E$6</c:f>
              <c:strCache>
                <c:ptCount val="1"/>
                <c:pt idx="0">
                  <c:v>B.5 Walls Ae</c:v>
                </c:pt>
              </c:strCache>
            </c:strRef>
          </c:tx>
          <c:spPr>
            <a:solidFill>
              <a:schemeClr val="accent2">
                <a:shade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'ENERGY-BALANCE'!$F$6</c:f>
              <c:numCache>
                <c:formatCode>#,##0.00</c:formatCode>
                <c:ptCount val="1"/>
                <c:pt idx="0">
                  <c:v>11765.603587443946</c:v>
                </c:pt>
              </c:numCache>
            </c:numRef>
          </c:val>
          <c:extLst>
            <c:ext xmlns:c16="http://schemas.microsoft.com/office/drawing/2014/chart" uri="{C3380CC4-5D6E-409C-BE32-E72D297353CC}">
              <c16:uniqueId val="{00000001-B3A6-834E-9ADF-C2C78EBB43CD}"/>
            </c:ext>
          </c:extLst>
        </c:ser>
        <c:ser>
          <c:idx val="2"/>
          <c:order val="2"/>
          <c:tx>
            <c:strRef>
              <c:f>'ENERGY-BALANCE'!$E$7</c:f>
              <c:strCache>
                <c:ptCount val="1"/>
              </c:strCache>
            </c:strRef>
          </c:tx>
          <c:spPr>
            <a:solidFill>
              <a:schemeClr val="accent2">
                <a:shade val="58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'ENERGY-BALANCE'!$F$7</c:f>
              <c:numCache>
                <c:formatCode>#,##0.00</c:formatCode>
                <c:ptCount val="1"/>
                <c:pt idx="0">
                  <c:v>0</c:v>
                </c:pt>
              </c:numCache>
            </c:numRef>
          </c:val>
          <c:extLst>
            <c:ext xmlns:c16="http://schemas.microsoft.com/office/drawing/2014/chart" uri="{C3380CC4-5D6E-409C-BE32-E72D297353CC}">
              <c16:uniqueId val="{00000002-B3A6-834E-9ADF-C2C78EBB43CD}"/>
            </c:ext>
          </c:extLst>
        </c:ser>
        <c:ser>
          <c:idx val="3"/>
          <c:order val="3"/>
          <c:tx>
            <c:strRef>
              <c:f>'ENERGY-BALANCE'!$E$8</c:f>
              <c:strCache>
                <c:ptCount val="1"/>
                <c:pt idx="0">
                  <c:v>B.7.0 Doors</c:v>
                </c:pt>
              </c:strCache>
            </c:strRef>
          </c:tx>
          <c:spPr>
            <a:solidFill>
              <a:schemeClr val="accent2">
                <a:shade val="67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'ENERGY-BALANCE'!$F$8</c:f>
              <c:numCache>
                <c:formatCode>#,##0.00</c:formatCode>
                <c:ptCount val="1"/>
                <c:pt idx="0">
                  <c:v>745.2</c:v>
                </c:pt>
              </c:numCache>
            </c:numRef>
          </c:val>
          <c:extLst>
            <c:ext xmlns:c16="http://schemas.microsoft.com/office/drawing/2014/chart" uri="{C3380CC4-5D6E-409C-BE32-E72D297353CC}">
              <c16:uniqueId val="{00000000-01B0-3347-ADCE-1AB9BC05B0FE}"/>
            </c:ext>
          </c:extLst>
        </c:ser>
        <c:ser>
          <c:idx val="4"/>
          <c:order val="4"/>
          <c:tx>
            <c:strRef>
              <c:f>'ENERGY-BALANCE'!$E$9</c:f>
              <c:strCache>
                <c:ptCount val="1"/>
                <c:pt idx="0">
                  <c:v>B.8.1 Windows N</c:v>
                </c:pt>
              </c:strCache>
            </c:strRef>
          </c:tx>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'ENERGY-BALANCE'!$F$9</c:f>
              <c:numCache>
                <c:formatCode>#,##0.00</c:formatCode>
                <c:ptCount val="1"/>
                <c:pt idx="0">
                  <c:v>8062.0704000000005</c:v>
                </c:pt>
              </c:numCache>
            </c:numRef>
          </c:val>
          <c:extLst>
            <c:ext xmlns:c16="http://schemas.microsoft.com/office/drawing/2014/chart" uri="{C3380CC4-5D6E-409C-BE32-E72D297353CC}">
              <c16:uniqueId val="{00000000-67EC-E148-8503-29015E8069BA}"/>
            </c:ext>
          </c:extLst>
        </c:ser>
        <c:ser>
          <c:idx val="5"/>
          <c:order val="5"/>
          <c:tx>
            <c:strRef>
              <c:f>'ENERGY-BALANCE'!$E$10</c:f>
              <c:strCache>
                <c:ptCount val="1"/>
                <c:pt idx="0">
                  <c:v>B.8.2 Windows E</c:v>
                </c:pt>
              </c:strCache>
            </c:strRef>
          </c:tx>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'ENERGY-BALANCE'!$F$10</c:f>
              <c:numCache>
                <c:formatCode>#,##0.00</c:formatCode>
                <c:ptCount val="1"/>
                <c:pt idx="0">
                  <c:v>380.54880000000003</c:v>
                </c:pt>
              </c:numCache>
            </c:numRef>
          </c:val>
          <c:extLst>
            <c:ext xmlns:c16="http://schemas.microsoft.com/office/drawing/2014/chart" uri="{C3380CC4-5D6E-409C-BE32-E72D297353CC}">
              <c16:uniqueId val="{00000001-67EC-E148-8503-29015E8069BA}"/>
            </c:ext>
          </c:extLst>
        </c:ser>
        <c:ser>
          <c:idx val="6"/>
          <c:order val="6"/>
          <c:tx>
            <c:strRef>
              <c:f>'ENERGY-BALANCE'!$E$11</c:f>
              <c:strCache>
                <c:ptCount val="1"/>
                <c:pt idx="0">
                  <c:v>B.8.3 Windows S</c:v>
                </c:pt>
              </c:strCache>
            </c:strRef>
          </c:tx>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'ENERGY-BALANCE'!$F$11</c:f>
              <c:numCache>
                <c:formatCode>#,##0.00</c:formatCode>
                <c:ptCount val="1"/>
                <c:pt idx="0">
                  <c:v>15798.24</c:v>
                </c:pt>
              </c:numCache>
            </c:numRef>
          </c:val>
          <c:extLst>
            <c:ext xmlns:c16="http://schemas.microsoft.com/office/drawing/2014/chart" uri="{C3380CC4-5D6E-409C-BE32-E72D297353CC}">
              <c16:uniqueId val="{00000002-67EC-E148-8503-29015E8069BA}"/>
            </c:ext>
          </c:extLst>
        </c:ser>
        <c:ser>
          <c:idx val="7"/>
          <c:order val="7"/>
          <c:tx>
            <c:strRef>
              <c:f>'ENERGY-BALANCE'!$E$12</c:f>
              <c:strCache>
                <c:ptCount val="1"/>
                <c:pt idx="0">
                  <c:v>B.8.4 Windows W</c:v>
                </c:pt>
              </c:strCache>
            </c:strRef>
          </c:tx>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'ENERGY-BALANCE'!$F$12</c:f>
              <c:numCache>
                <c:formatCode>#,##0.00</c:formatCode>
                <c:ptCount val="1"/>
                <c:pt idx="0">
                  <c:v>10001.577600000001</c:v>
                </c:pt>
              </c:numCache>
            </c:numRef>
          </c:val>
          <c:extLst>
            <c:ext xmlns:c16="http://schemas.microsoft.com/office/drawing/2014/chart" uri="{C3380CC4-5D6E-409C-BE32-E72D297353CC}">
              <c16:uniqueId val="{00000003-67EC-E148-8503-29015E8069BA}"/>
            </c:ext>
          </c:extLst>
        </c:ser>
        <c:ser>
          <c:idx val="8"/>
          <c:order val="8"/>
          <c:tx>
            <c:strRef>
              <c:f>'ENERGY-BALANCE'!$E$13</c:f>
              <c:strCache>
                <c:ptCount val="1"/>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'ENERGY-BALANCE'!$F$13</c:f>
              <c:numCache>
                <c:formatCode>#,##0.00</c:formatCode>
                <c:ptCount val="1"/>
                <c:pt idx="0">
                  <c:v>0</c:v>
                </c:pt>
              </c:numCache>
            </c:numRef>
          </c:val>
          <c:extLst>
            <c:ext xmlns:c16="http://schemas.microsoft.com/office/drawing/2014/chart" uri="{C3380CC4-5D6E-409C-BE32-E72D297353CC}">
              <c16:uniqueId val="{00000004-67EC-E148-8503-29015E8069BA}"/>
            </c:ext>
          </c:extLst>
        </c:ser>
        <c:ser>
          <c:idx val="9"/>
          <c:order val="9"/>
          <c:tx>
            <c:strRef>
              <c:f>'ENERGY-BALANCE'!$E$14</c:f>
              <c:strCache>
                <c:ptCount val="1"/>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'ENERGY-BALANCE'!$F$14</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'ENERGY-BALANCE'!$E$15</c:f>
              <c:strCache>
                <c:ptCount val="1"/>
                <c:pt idx="0">
                  <c:v>B.10 Floor Slab</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'ENERGY-BALANCE'!$F$15</c:f>
              <c:numCache>
                <c:formatCode>#,##0.00</c:formatCode>
                <c:ptCount val="1"/>
                <c:pt idx="0">
                  <c:v>13990.204540540542</c:v>
                </c:pt>
              </c:numCache>
            </c:numRef>
          </c:val>
          <c:extLst>
            <c:ext xmlns:c16="http://schemas.microsoft.com/office/drawing/2014/chart" uri="{C3380CC4-5D6E-409C-BE32-E72D297353CC}">
              <c16:uniqueId val="{00000006-67EC-E148-8503-29015E8069BA}"/>
            </c:ext>
          </c:extLst>
        </c:ser>
        <c:ser>
          <c:idx val="11"/>
          <c:order val="11"/>
          <c:tx>
            <c:strRef>
              <c:f>'ENERGY-BALANCE'!$E$16</c:f>
              <c:strCache>
                <c:ptCount val="1"/>
                <c:pt idx="0">
                  <c:v>B.12 TB Penalty</c:v>
                </c:pt>
              </c:strCache>
            </c:strRef>
          </c:tx>
          <c:invertIfNegative val="0"/>
          <c:dLbls>
            <c:spPr>
              <a:noFill/>
              <a:ln>
                <a:noFill/>
              </a:ln>
              <a:effectLst/>
            </c:spPr>
            <c:txPr>
              <a:bodyPr vertOverflow="overflow" horzOverflow="overflow"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'ENERGY-BALANCE'!$F$16</c:f>
              <c:numCache>
                <c:formatCode>#,##0.00</c:formatCode>
                <c:ptCount val="1"/>
                <c:pt idx="0">
                  <c:v>15481.989691479248</c:v>
                </c:pt>
              </c:numCache>
            </c:numRef>
          </c:val>
          <c:extLst>
            <c:ext xmlns:c16="http://schemas.microsoft.com/office/drawing/2014/chart" uri="{C3380CC4-5D6E-409C-BE32-E72D297353CC}">
              <c16:uniqueId val="{00000007-67EC-E148-8503-29015E8069BA}"/>
            </c:ext>
          </c:extLst>
        </c:ser>
        <c:ser>
          <c:idx val="12"/>
          <c:order val="12"/>
          <c:tx>
            <c:strRef>
              <c:f>'ENERGY-BALANCE'!$E$17</c:f>
              <c:strCache>
                <c:ptCount val="1"/>
                <c:pt idx="0">
                  <c:v>B.18.3 Air Leakage</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'ENERGY-BALANCE'!$F$17</c:f>
              <c:numCache>
                <c:formatCode>#,##0.00</c:formatCode>
                <c:ptCount val="1"/>
                <c:pt idx="0">
                  <c:v>23178.387012790419</c:v>
                </c:pt>
              </c:numCache>
            </c:numRef>
          </c:val>
          <c:extLst>
            <c:ext xmlns:c16="http://schemas.microsoft.com/office/drawing/2014/chart" uri="{C3380CC4-5D6E-409C-BE32-E72D297353CC}">
              <c16:uniqueId val="{00000008-67EC-E148-8503-29015E8069BA}"/>
            </c:ext>
          </c:extLst>
        </c:ser>
        <c:ser>
          <c:idx val="13"/>
          <c:order val="13"/>
          <c:tx>
            <c:strRef>
              <c:f>'ENERGY-BALANCE'!$E$18</c:f>
              <c:strCache>
                <c:ptCount val="1"/>
                <c:pt idx="0">
                  <c:v>V.2.3 Unrecovered Ventilation</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'ENERGY-BALANCE'!$F$18</c:f>
              <c:numCache>
                <c:formatCode>#,##0.00</c:formatCode>
                <c:ptCount val="1"/>
                <c:pt idx="0">
                  <c:v>48980.799999999988</c:v>
                </c:pt>
              </c:numCache>
            </c:numRef>
          </c:val>
          <c:extLst>
            <c:ext xmlns:c16="http://schemas.microsoft.com/office/drawing/2014/chart" uri="{C3380CC4-5D6E-409C-BE32-E72D297353CC}">
              <c16:uniqueId val="{00000009-67EC-E148-8503-29015E8069BA}"/>
            </c:ext>
          </c:extLst>
        </c:ser>
        <c:ser>
          <c:idx val="14"/>
          <c:order val="14"/>
          <c:tx>
            <c:strRef>
              <c:f>'ENERGY-BALANCE'!$E$19</c:f>
              <c:strCache>
                <c:ptCount val="1"/>
                <c:pt idx="0">
                  <c:v>G.5 Unusable Gains</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'ENERGY-BALANCE'!$F$4</c:f>
              <c:strCache>
                <c:ptCount val="1"/>
                <c:pt idx="0">
                  <c:v>Lost (kWh)</c:v>
                </c:pt>
              </c:strCache>
            </c:strRef>
          </c:cat>
          <c:val>
            <c:numRef>
              <c:f>'ENERGY-BALANCE'!$F$19</c:f>
              <c:numCache>
                <c:formatCode>#,##0.00</c:formatCode>
                <c:ptCount val="1"/>
                <c:pt idx="0">
                  <c:v>68819.020840991987</c:v>
                </c:pt>
              </c:numCache>
            </c:numRef>
          </c:val>
          <c:extLst>
            <c:ext xmlns:c16="http://schemas.microsoft.com/office/drawing/2014/chart" uri="{C3380CC4-5D6E-409C-BE32-E72D297353CC}">
              <c16:uniqueId val="{00000001-EB16-D64C-9EF0-465C3F5ECB89}"/>
            </c:ext>
          </c:extLst>
        </c:ser>
        <c:ser>
          <c:idx val="15"/>
          <c:order val="15"/>
          <c:tx>
            <c:strRef>
              <c:f>'ENERGY-BALANCE'!$E$21</c:f>
              <c:strCache>
                <c:ptCount val="1"/>
                <c:pt idx="0">
                  <c:v> W.2.W SHW Wasted</c:v>
                </c:pt>
              </c:strCache>
            </c:strRef>
          </c:tx>
          <c:invertIfNegative val="0"/>
          <c:dLbls>
            <c:spPr>
              <a:noFill/>
              <a:ln>
                <a:noFill/>
              </a:ln>
              <a:effectLst/>
            </c:spPr>
            <c:txPr>
              <a:bodyPr wrap="none" lIns="38100" tIns="19050" rIns="38100" bIns="19050" anchor="ctr">
                <a:spAutoFit/>
              </a:bodyPr>
              <a:lstStyle/>
              <a:p>
                <a:pPr>
                  <a:defRPr>
                    <a:solidFill>
                      <a:schemeClr val="bg1"/>
                    </a:solidFill>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'ENERGY-BALANCE'!$F$4</c:f>
              <c:strCache>
                <c:ptCount val="1"/>
                <c:pt idx="0">
                  <c:v>Lost (kWh)</c:v>
                </c:pt>
              </c:strCache>
            </c:strRef>
          </c:cat>
          <c:val>
            <c:numRef>
              <c:f>'ENERGY-BALANCE'!$F$21</c:f>
              <c:numCache>
                <c:formatCode>#,##0.00</c:formatCode>
                <c:ptCount val="1"/>
                <c:pt idx="0">
                  <c:v>12828.144</c:v>
                </c:pt>
              </c:numCache>
            </c:numRef>
          </c:val>
          <c:extLst>
            <c:ext xmlns:c16="http://schemas.microsoft.com/office/drawing/2014/chart" uri="{C3380CC4-5D6E-409C-BE32-E72D297353CC}">
              <c16:uniqueId val="{00000000-A980-F84B-96DE-D524489ED066}"/>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scaling>
        <c:delete val="0"/>
        <c:axPos val="l"/>
        <c:minorGridlines>
          <c:spPr>
            <a:ln>
              <a:solidFill>
                <a:schemeClr val="tx1">
                  <a:lumMod val="5000"/>
                  <a:lumOff val="95000"/>
                </a:schemeClr>
              </a:solidFill>
            </a:ln>
            <a:effectLst/>
          </c:spPr>
        </c:min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ENERGY</a:t>
            </a:r>
            <a:r>
              <a:rPr lang="en-US" baseline="0"/>
              <a:t> ReMOVED</a:t>
            </a:r>
          </a:p>
        </c:rich>
      </c:tx>
      <c:layout>
        <c:manualLayout>
          <c:xMode val="edge"/>
          <c:yMode val="edge"/>
          <c:x val="0.13381409831147528"/>
          <c:y val="3.3662250098235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76493360769792318"/>
          <c:h val="0.84644792182847972"/>
        </c:manualLayout>
      </c:layout>
      <c:barChart>
        <c:barDir val="col"/>
        <c:grouping val="stacked"/>
        <c:varyColors val="0"/>
        <c:ser>
          <c:idx val="0"/>
          <c:order val="0"/>
          <c:tx>
            <c:strRef>
              <c:f>'ENERGY-BALANCE'!$E$46</c:f>
              <c:strCache>
                <c:ptCount val="1"/>
                <c:pt idx="0">
                  <c:v>T.5.2 CED less Free Cool - VX</c:v>
                </c:pt>
              </c:strCache>
            </c:strRef>
          </c:tx>
          <c:spPr>
            <a:solidFill>
              <a:schemeClr val="accent1">
                <a:shade val="35000"/>
              </a:schemeClr>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'ENERGY-BALANCE'!$F$46</c:f>
              <c:numCache>
                <c:formatCode>#,##0.00</c:formatCode>
                <c:ptCount val="1"/>
                <c:pt idx="0">
                  <c:v>8038.670098583887</c:v>
                </c:pt>
              </c:numCache>
            </c:numRef>
          </c:val>
          <c:extLst>
            <c:ext xmlns:c16="http://schemas.microsoft.com/office/drawing/2014/chart" uri="{C3380CC4-5D6E-409C-BE32-E72D297353CC}">
              <c16:uniqueId val="{00000000-B3A6-834E-9ADF-C2C78EBB43CD}"/>
            </c:ext>
          </c:extLst>
        </c:ser>
        <c:ser>
          <c:idx val="1"/>
          <c:order val="1"/>
          <c:tx>
            <c:strRef>
              <c:f>'ENERGY-BALANCE'!$E$47</c:f>
              <c:strCache>
                <c:ptCount val="1"/>
              </c:strCache>
            </c:strRef>
          </c:tx>
          <c:spPr>
            <a:solidFill>
              <a:schemeClr val="accent1">
                <a:shade val="41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'ENERGY-BALANCE'!$F$47</c:f>
              <c:numCache>
                <c:formatCode>#,##0.00</c:formatCode>
                <c:ptCount val="1"/>
              </c:numCache>
            </c:numRef>
          </c:val>
          <c:extLst>
            <c:ext xmlns:c16="http://schemas.microsoft.com/office/drawing/2014/chart" uri="{C3380CC4-5D6E-409C-BE32-E72D297353CC}">
              <c16:uniqueId val="{00000001-B3A6-834E-9ADF-C2C78EBB43CD}"/>
            </c:ext>
          </c:extLst>
        </c:ser>
        <c:ser>
          <c:idx val="2"/>
          <c:order val="2"/>
          <c:tx>
            <c:strRef>
              <c:f>'ENERGY-BALANCE'!$E$48</c:f>
              <c:strCache>
                <c:ptCount val="1"/>
              </c:strCache>
            </c:strRef>
          </c:tx>
          <c:spPr>
            <a:solidFill>
              <a:schemeClr val="accent1">
                <a:shade val="47000"/>
              </a:schemeClr>
            </a:solidFill>
            <a:ln>
              <a:noFill/>
            </a:ln>
            <a:effectLst/>
          </c:spPr>
          <c:invertIfNegative val="0"/>
          <c:dLbls>
            <c:dLbl>
              <c:idx val="0"/>
              <c:layout>
                <c:manualLayout>
                  <c:x val="-5.0925337632079971E-17"/>
                  <c:y val="1.550101584835019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'ENERGY-BALANCE'!$F$48</c:f>
              <c:numCache>
                <c:formatCode>#,##0.00</c:formatCode>
                <c:ptCount val="1"/>
              </c:numCache>
            </c:numRef>
          </c:val>
          <c:extLst>
            <c:ext xmlns:c16="http://schemas.microsoft.com/office/drawing/2014/chart" uri="{C3380CC4-5D6E-409C-BE32-E72D297353CC}">
              <c16:uniqueId val="{00000002-B3A6-834E-9ADF-C2C78EBB43CD}"/>
            </c:ext>
          </c:extLst>
        </c:ser>
        <c:ser>
          <c:idx val="3"/>
          <c:order val="3"/>
          <c:tx>
            <c:strRef>
              <c:f>'ENERGY-BALANCE'!$E$49</c:f>
              <c:strCache>
                <c:ptCount val="1"/>
              </c:strCache>
            </c:strRef>
          </c:tx>
          <c:spPr>
            <a:solidFill>
              <a:schemeClr val="accent1">
                <a:shade val="53000"/>
              </a:schemeClr>
            </a:solidFill>
            <a:ln>
              <a:noFill/>
            </a:ln>
            <a:effectLst/>
          </c:spPr>
          <c:invertIfNegative val="0"/>
          <c:dLbls>
            <c:dLbl>
              <c:idx val="0"/>
              <c:layout>
                <c:manualLayout>
                  <c:x val="2.7777777777777267E-3"/>
                  <c:y val="0"/>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7EC-E148-8503-29015E8069BA}"/>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'ENERGY-BALANCE'!$F$49</c:f>
              <c:numCache>
                <c:formatCode>#,##0.00</c:formatCode>
                <c:ptCount val="1"/>
              </c:numCache>
            </c:numRef>
          </c:val>
          <c:extLst>
            <c:ext xmlns:c16="http://schemas.microsoft.com/office/drawing/2014/chart" uri="{C3380CC4-5D6E-409C-BE32-E72D297353CC}">
              <c16:uniqueId val="{00000000-01B0-3347-ADCE-1AB9BC05B0FE}"/>
            </c:ext>
          </c:extLst>
        </c:ser>
        <c:ser>
          <c:idx val="4"/>
          <c:order val="4"/>
          <c:tx>
            <c:strRef>
              <c:f>'ENERGY-BALANCE'!$E$50</c:f>
              <c:strCache>
                <c:ptCount val="1"/>
              </c:strCache>
            </c:strRef>
          </c:tx>
          <c:spPr>
            <a:solidFill>
              <a:schemeClr val="accent1">
                <a:shade val="59000"/>
              </a:schemeClr>
            </a:solidFill>
            <a:ln>
              <a:noFill/>
            </a:ln>
            <a:effectLst/>
          </c:spPr>
          <c:invertIfNegative val="0"/>
          <c:dLbls>
            <c:dLbl>
              <c:idx val="0"/>
              <c:layout>
                <c:manualLayout>
                  <c:x val="8.3403650322245847E-3"/>
                  <c:y val="-1.766461030783207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'ENERGY-BALANCE'!$F$50</c:f>
              <c:numCache>
                <c:formatCode>#,##0.00</c:formatCode>
                <c:ptCount val="1"/>
              </c:numCache>
            </c:numRef>
          </c:val>
          <c:extLst>
            <c:ext xmlns:c16="http://schemas.microsoft.com/office/drawing/2014/chart" uri="{C3380CC4-5D6E-409C-BE32-E72D297353CC}">
              <c16:uniqueId val="{00000000-67EC-E148-8503-29015E8069BA}"/>
            </c:ext>
          </c:extLst>
        </c:ser>
        <c:ser>
          <c:idx val="5"/>
          <c:order val="5"/>
          <c:tx>
            <c:strRef>
              <c:f>'ENERGY-BALANCE'!$E$51</c:f>
              <c:strCache>
                <c:ptCount val="1"/>
              </c:strCache>
            </c:strRef>
          </c:tx>
          <c:spPr>
            <a:solidFill>
              <a:schemeClr val="accent1">
                <a:shade val="65000"/>
              </a:schemeClr>
            </a:solidFill>
            <a:ln>
              <a:noFill/>
            </a:ln>
            <a:effectLst/>
          </c:spPr>
          <c:invertIfNegative val="0"/>
          <c:dLbls>
            <c:dLbl>
              <c:idx val="0"/>
              <c:layout>
                <c:manualLayout>
                  <c:x val="8.3298530712555465E-3"/>
                  <c:y val="4.35073779835348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'ENERGY-BALANCE'!$F$51</c:f>
              <c:numCache>
                <c:formatCode>#,##0.00</c:formatCode>
                <c:ptCount val="1"/>
              </c:numCache>
            </c:numRef>
          </c:val>
          <c:extLst>
            <c:ext xmlns:c16="http://schemas.microsoft.com/office/drawing/2014/chart" uri="{C3380CC4-5D6E-409C-BE32-E72D297353CC}">
              <c16:uniqueId val="{00000001-67EC-E148-8503-29015E8069BA}"/>
            </c:ext>
          </c:extLst>
        </c:ser>
        <c:ser>
          <c:idx val="6"/>
          <c:order val="6"/>
          <c:tx>
            <c:strRef>
              <c:f>'ENERGY-BALANCE'!$E$52</c:f>
              <c:strCache>
                <c:ptCount val="1"/>
              </c:strCache>
            </c:strRef>
          </c:tx>
          <c:spPr>
            <a:solidFill>
              <a:schemeClr val="accent1">
                <a:shade val="70000"/>
              </a:schemeClr>
            </a:solidFill>
            <a:ln>
              <a:noFill/>
            </a:ln>
            <a:effectLst/>
          </c:spPr>
          <c:invertIfNegative val="0"/>
          <c:dLbls>
            <c:dLbl>
              <c:idx val="0"/>
              <c:layout>
                <c:manualLayout>
                  <c:x val="5.5415554242046593E-3"/>
                  <c:y val="6.526106697530099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'ENERGY-BALANCE'!$F$52</c:f>
              <c:numCache>
                <c:formatCode>#,##0.00</c:formatCode>
                <c:ptCount val="1"/>
              </c:numCache>
            </c:numRef>
          </c:val>
          <c:extLst>
            <c:ext xmlns:c16="http://schemas.microsoft.com/office/drawing/2014/chart" uri="{C3380CC4-5D6E-409C-BE32-E72D297353CC}">
              <c16:uniqueId val="{00000002-67EC-E148-8503-29015E8069BA}"/>
            </c:ext>
          </c:extLst>
        </c:ser>
        <c:ser>
          <c:idx val="7"/>
          <c:order val="7"/>
          <c:tx>
            <c:strRef>
              <c:f>'ENERGY-BALANCE'!$E$53</c:f>
              <c:strCache>
                <c:ptCount val="1"/>
              </c:strCache>
            </c:strRef>
          </c:tx>
          <c:spPr>
            <a:solidFill>
              <a:schemeClr val="accent1">
                <a:shade val="76000"/>
              </a:schemeClr>
            </a:solidFill>
            <a:ln>
              <a:noFill/>
            </a:ln>
            <a:effectLst/>
          </c:spPr>
          <c:invertIfNegative val="0"/>
          <c:dLbls>
            <c:dLbl>
              <c:idx val="0"/>
              <c:layout>
                <c:manualLayout>
                  <c:x val="8.3228450972761027E-3"/>
                  <c:y val="4.25309597928805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67EC-E148-8503-29015E8069BA}"/>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'ENERGY-BALANCE'!$F$53</c:f>
              <c:numCache>
                <c:formatCode>#,##0.00</c:formatCode>
                <c:ptCount val="1"/>
              </c:numCache>
            </c:numRef>
          </c:val>
          <c:extLst>
            <c:ext xmlns:c16="http://schemas.microsoft.com/office/drawing/2014/chart" uri="{C3380CC4-5D6E-409C-BE32-E72D297353CC}">
              <c16:uniqueId val="{00000003-67EC-E148-8503-29015E8069BA}"/>
            </c:ext>
          </c:extLst>
        </c:ser>
        <c:ser>
          <c:idx val="8"/>
          <c:order val="8"/>
          <c:tx>
            <c:strRef>
              <c:f>'ENERGY-BALANCE'!$E$54</c:f>
              <c:strCache>
                <c:ptCount val="1"/>
              </c:strCache>
            </c:strRef>
          </c:tx>
          <c:spPr>
            <a:solidFill>
              <a:schemeClr val="accent1">
                <a:shade val="82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'ENERGY-BALANCE'!$F$54</c:f>
              <c:numCache>
                <c:formatCode>#,##0.00</c:formatCode>
                <c:ptCount val="1"/>
              </c:numCache>
            </c:numRef>
          </c:val>
          <c:extLst>
            <c:ext xmlns:c16="http://schemas.microsoft.com/office/drawing/2014/chart" uri="{C3380CC4-5D6E-409C-BE32-E72D297353CC}">
              <c16:uniqueId val="{00000004-67EC-E148-8503-29015E8069BA}"/>
            </c:ext>
          </c:extLst>
        </c:ser>
        <c:ser>
          <c:idx val="9"/>
          <c:order val="9"/>
          <c:tx>
            <c:strRef>
              <c:f>'ENERGY-BALANCE'!$E$55</c:f>
              <c:strCache>
                <c:ptCount val="1"/>
              </c:strCache>
            </c:strRef>
          </c:tx>
          <c:spPr>
            <a:solidFill>
              <a:schemeClr val="accent1">
                <a:shade val="8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'ENERGY-BALANCE'!$F$55</c:f>
              <c:numCache>
                <c:formatCode>#,##0.00</c:formatCode>
                <c:ptCount val="1"/>
                <c:pt idx="0">
                  <c:v>0</c:v>
                </c:pt>
              </c:numCache>
            </c:numRef>
          </c:val>
          <c:extLst>
            <c:ext xmlns:c16="http://schemas.microsoft.com/office/drawing/2014/chart" uri="{C3380CC4-5D6E-409C-BE32-E72D297353CC}">
              <c16:uniqueId val="{00000005-67EC-E148-8503-29015E8069BA}"/>
            </c:ext>
          </c:extLst>
        </c:ser>
        <c:ser>
          <c:idx val="10"/>
          <c:order val="10"/>
          <c:tx>
            <c:strRef>
              <c:f>'ENERGY-BALANCE'!$E$56</c:f>
              <c:strCache>
                <c:ptCount val="1"/>
                <c:pt idx="0">
                  <c:v>B.10 Floor Slab</c:v>
                </c:pt>
              </c:strCache>
            </c:strRef>
          </c:tx>
          <c:spPr>
            <a:solidFill>
              <a:schemeClr val="accent1">
                <a:shade val="94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'ENERGY-BALANCE'!$F$56</c:f>
              <c:numCache>
                <c:formatCode>#,##0.00</c:formatCode>
                <c:ptCount val="1"/>
                <c:pt idx="0">
                  <c:v>5995.8019459459465</c:v>
                </c:pt>
              </c:numCache>
            </c:numRef>
          </c:val>
          <c:extLst>
            <c:ext xmlns:c16="http://schemas.microsoft.com/office/drawing/2014/chart" uri="{C3380CC4-5D6E-409C-BE32-E72D297353CC}">
              <c16:uniqueId val="{00000006-67EC-E148-8503-29015E8069BA}"/>
            </c:ext>
          </c:extLst>
        </c:ser>
        <c:ser>
          <c:idx val="11"/>
          <c:order val="11"/>
          <c:tx>
            <c:strRef>
              <c:f>'ENERGY-BALANCE'!$E$57</c:f>
              <c:strCache>
                <c:ptCount val="1"/>
              </c:strCache>
            </c:strRef>
          </c:tx>
          <c:spPr>
            <a:solidFill>
              <a:schemeClr val="accent1"/>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'ENERGY-BALANCE'!$F$57</c:f>
              <c:numCache>
                <c:formatCode>#,##0.00</c:formatCode>
                <c:ptCount val="1"/>
              </c:numCache>
            </c:numRef>
          </c:val>
          <c:extLst>
            <c:ext xmlns:c16="http://schemas.microsoft.com/office/drawing/2014/chart" uri="{C3380CC4-5D6E-409C-BE32-E72D297353CC}">
              <c16:uniqueId val="{00000007-67EC-E148-8503-29015E8069BA}"/>
            </c:ext>
          </c:extLst>
        </c:ser>
        <c:ser>
          <c:idx val="12"/>
          <c:order val="12"/>
          <c:tx>
            <c:strRef>
              <c:f>'ENERGY-BALANCE'!$E$58</c:f>
              <c:strCache>
                <c:ptCount val="1"/>
              </c:strCache>
            </c:strRef>
          </c:tx>
          <c:spPr>
            <a:solidFill>
              <a:schemeClr val="accent1">
                <a:tint val="9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'ENERGY-BALANCE'!$F$58</c:f>
              <c:numCache>
                <c:formatCode>#,##0.00</c:formatCode>
                <c:ptCount val="1"/>
              </c:numCache>
            </c:numRef>
          </c:val>
          <c:extLst>
            <c:ext xmlns:c16="http://schemas.microsoft.com/office/drawing/2014/chart" uri="{C3380CC4-5D6E-409C-BE32-E72D297353CC}">
              <c16:uniqueId val="{00000008-67EC-E148-8503-29015E8069BA}"/>
            </c:ext>
          </c:extLst>
        </c:ser>
        <c:ser>
          <c:idx val="13"/>
          <c:order val="13"/>
          <c:tx>
            <c:strRef>
              <c:f>'ENERGY-BALANCE'!$E$59</c:f>
              <c:strCache>
                <c:ptCount val="1"/>
              </c:strCache>
            </c:strRef>
          </c:tx>
          <c:spPr>
            <a:solidFill>
              <a:schemeClr val="accent1">
                <a:tint val="89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'ENERGY-BALANCE'!$F$59</c:f>
              <c:numCache>
                <c:formatCode>#,##0.00</c:formatCode>
                <c:ptCount val="1"/>
              </c:numCache>
            </c:numRef>
          </c:val>
          <c:extLst>
            <c:ext xmlns:c16="http://schemas.microsoft.com/office/drawing/2014/chart" uri="{C3380CC4-5D6E-409C-BE32-E72D297353CC}">
              <c16:uniqueId val="{00000009-67EC-E148-8503-29015E8069BA}"/>
            </c:ext>
          </c:extLst>
        </c:ser>
        <c:ser>
          <c:idx val="14"/>
          <c:order val="14"/>
          <c:tx>
            <c:strRef>
              <c:f>'ENERGY-BALANCE'!$E$60</c:f>
              <c:strCache>
                <c:ptCount val="1"/>
              </c:strCache>
            </c:strRef>
          </c:tx>
          <c:spPr>
            <a:solidFill>
              <a:schemeClr val="accent1">
                <a:tint val="83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'ENERGY-BALANCE'!$F$60</c:f>
              <c:numCache>
                <c:formatCode>#,##0.00</c:formatCode>
                <c:ptCount val="1"/>
              </c:numCache>
            </c:numRef>
          </c:val>
          <c:extLst>
            <c:ext xmlns:c16="http://schemas.microsoft.com/office/drawing/2014/chart" uri="{C3380CC4-5D6E-409C-BE32-E72D297353CC}">
              <c16:uniqueId val="{00000000-92D6-8444-927B-08E35B51D6D6}"/>
            </c:ext>
          </c:extLst>
        </c:ser>
        <c:ser>
          <c:idx val="15"/>
          <c:order val="15"/>
          <c:tx>
            <c:strRef>
              <c:f>'ENERGY-BALANCE'!$E$61</c:f>
              <c:strCache>
                <c:ptCount val="1"/>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'ENERGY-BALANCE'!$F$61</c:f>
              <c:numCache>
                <c:formatCode>#,##0.00</c:formatCode>
                <c:ptCount val="1"/>
              </c:numCache>
            </c:numRef>
          </c:val>
          <c:extLst>
            <c:ext xmlns:c16="http://schemas.microsoft.com/office/drawing/2014/chart" uri="{C3380CC4-5D6E-409C-BE32-E72D297353CC}">
              <c16:uniqueId val="{00000001-92D6-8444-927B-08E35B51D6D6}"/>
            </c:ext>
          </c:extLst>
        </c:ser>
        <c:ser>
          <c:idx val="16"/>
          <c:order val="16"/>
          <c:tx>
            <c:strRef>
              <c:f>'ENERGY-BALANCE'!$E$62</c:f>
              <c:strCache>
                <c:ptCount val="1"/>
              </c:strCache>
            </c:strRef>
          </c:tx>
          <c:spPr>
            <a:solidFill>
              <a:schemeClr val="accent1">
                <a:tint val="71000"/>
              </a:schemeClr>
            </a:solidFill>
            <a:ln>
              <a:noFill/>
            </a:ln>
            <a:effectLst/>
          </c:spPr>
          <c:invertIfNegative val="0"/>
          <c:dLbls>
            <c:dLbl>
              <c:idx val="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6F30-8649-8D8B-1ECD40111A9F}"/>
                </c:ext>
              </c:extLst>
            </c:dLbl>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4999"/>
                        </a:schemeClr>
                      </a:solidFill>
                      <a:prstDash val="solid"/>
                      <a:round/>
                    </a:ln>
                    <a:effectLst/>
                  </c:spPr>
                </c15:leaderLines>
              </c:ext>
            </c:extLst>
          </c:dLbls>
          <c:cat>
            <c:strRef>
              <c:f>'ENERGY-BALANCE'!$F$45</c:f>
              <c:strCache>
                <c:ptCount val="1"/>
                <c:pt idx="0">
                  <c:v>Removed (kWh)</c:v>
                </c:pt>
              </c:strCache>
            </c:strRef>
          </c:cat>
          <c:val>
            <c:numRef>
              <c:f>'ENERGY-BALANCE'!$F$62</c:f>
              <c:numCache>
                <c:formatCode>#,##0.00</c:formatCode>
                <c:ptCount val="1"/>
              </c:numCache>
            </c:numRef>
          </c:val>
          <c:extLst>
            <c:ext xmlns:c16="http://schemas.microsoft.com/office/drawing/2014/chart" uri="{C3380CC4-5D6E-409C-BE32-E72D297353CC}">
              <c16:uniqueId val="{00000002-92D6-8444-927B-08E35B51D6D6}"/>
            </c:ext>
          </c:extLst>
        </c:ser>
        <c:ser>
          <c:idx val="17"/>
          <c:order val="17"/>
          <c:tx>
            <c:strRef>
              <c:f>'ENERGY-BALANCE'!$E$63</c:f>
              <c:strCache>
                <c:ptCount val="1"/>
                <c:pt idx="0">
                  <c:v>V.4.1 Ventilation Free Cooling/Vent Capacity</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'ENERGY-BALANCE'!$F$63</c:f>
              <c:numCache>
                <c:formatCode>#,##0.00</c:formatCode>
                <c:ptCount val="1"/>
                <c:pt idx="0">
                  <c:v>41469.805440000004</c:v>
                </c:pt>
              </c:numCache>
            </c:numRef>
          </c:val>
          <c:extLst>
            <c:ext xmlns:c16="http://schemas.microsoft.com/office/drawing/2014/chart" uri="{C3380CC4-5D6E-409C-BE32-E72D297353CC}">
              <c16:uniqueId val="{00000000-CC31-174A-98AD-2C3365B771B1}"/>
            </c:ext>
          </c:extLst>
        </c:ser>
        <c:ser>
          <c:idx val="18"/>
          <c:order val="18"/>
          <c:tx>
            <c:strRef>
              <c:f>'ENERGY-BALANCE'!$E$64</c:f>
              <c:strCache>
                <c:ptCount val="1"/>
                <c:pt idx="0">
                  <c:v>V.3.3 Ventilation Exhaust</c:v>
                </c:pt>
              </c:strCache>
            </c:strRef>
          </c:tx>
          <c:spPr>
            <a:solidFill>
              <a:schemeClr val="accent1">
                <a:tint val="60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'ENERGY-BALANCE'!$F$64</c:f>
              <c:numCache>
                <c:formatCode>#,##0.00</c:formatCode>
                <c:ptCount val="1"/>
                <c:pt idx="0">
                  <c:v>26929.058484373225</c:v>
                </c:pt>
              </c:numCache>
            </c:numRef>
          </c:val>
          <c:extLst>
            <c:ext xmlns:c16="http://schemas.microsoft.com/office/drawing/2014/chart" uri="{C3380CC4-5D6E-409C-BE32-E72D297353CC}">
              <c16:uniqueId val="{00000001-CC31-174A-98AD-2C3365B771B1}"/>
            </c:ext>
          </c:extLst>
        </c:ser>
        <c:ser>
          <c:idx val="19"/>
          <c:order val="19"/>
          <c:tx>
            <c:strRef>
              <c:f>'ENERGY-BALANCE'!$E$65</c:f>
              <c:strCache>
                <c:ptCount val="1"/>
                <c:pt idx="0">
                  <c:v>B.12 TB Penalty</c:v>
                </c:pt>
              </c:strCache>
            </c:strRef>
          </c:tx>
          <c:spPr>
            <a:solidFill>
              <a:schemeClr val="accent1">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'ENERGY-BALANCE'!$F$65</c:f>
              <c:numCache>
                <c:formatCode>#,##0.00</c:formatCode>
                <c:ptCount val="1"/>
                <c:pt idx="0">
                  <c:v>658.71387581076669</c:v>
                </c:pt>
              </c:numCache>
            </c:numRef>
          </c:val>
          <c:extLst>
            <c:ext xmlns:c16="http://schemas.microsoft.com/office/drawing/2014/chart" uri="{C3380CC4-5D6E-409C-BE32-E72D297353CC}">
              <c16:uniqueId val="{00000002-CC31-174A-98AD-2C3365B771B1}"/>
            </c:ext>
          </c:extLst>
        </c:ser>
        <c:ser>
          <c:idx val="20"/>
          <c:order val="20"/>
          <c:tx>
            <c:strRef>
              <c:f>'ENERGY-BALANCE'!$E$66</c:f>
              <c:strCache>
                <c:ptCount val="1"/>
              </c:strCache>
            </c:strRef>
          </c:tx>
          <c:spPr>
            <a:solidFill>
              <a:schemeClr val="accent1">
                <a:tint val="48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'ENERGY-BALANCE'!$F$45</c:f>
              <c:strCache>
                <c:ptCount val="1"/>
                <c:pt idx="0">
                  <c:v>Removed (kWh)</c:v>
                </c:pt>
              </c:strCache>
            </c:strRef>
          </c:cat>
          <c:val>
            <c:numRef>
              <c:f>'ENERGY-BALANCE'!$F$66</c:f>
              <c:numCache>
                <c:formatCode>#,##0.00</c:formatCode>
                <c:ptCount val="1"/>
              </c:numCache>
            </c:numRef>
          </c:val>
          <c:extLst>
            <c:ext xmlns:c16="http://schemas.microsoft.com/office/drawing/2014/chart" uri="{C3380CC4-5D6E-409C-BE32-E72D297353CC}">
              <c16:uniqueId val="{00000003-CC31-174A-98AD-2C3365B771B1}"/>
            </c:ext>
          </c:extLst>
        </c:ser>
        <c:ser>
          <c:idx val="21"/>
          <c:order val="21"/>
          <c:tx>
            <c:strRef>
              <c:f>'ENERGY-BALANCE'!$E$67</c:f>
              <c:strCache>
                <c:ptCount val="1"/>
              </c:strCache>
            </c:strRef>
          </c:tx>
          <c:spPr>
            <a:solidFill>
              <a:schemeClr val="accent1">
                <a:tint val="4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'ENERGY-BALANCE'!$F$67</c:f>
              <c:numCache>
                <c:formatCode>#,##0.00</c:formatCode>
                <c:ptCount val="1"/>
              </c:numCache>
            </c:numRef>
          </c:val>
          <c:extLst>
            <c:ext xmlns:c16="http://schemas.microsoft.com/office/drawing/2014/chart" uri="{C3380CC4-5D6E-409C-BE32-E72D297353CC}">
              <c16:uniqueId val="{00000004-CC31-174A-98AD-2C3365B771B1}"/>
            </c:ext>
          </c:extLst>
        </c:ser>
        <c:ser>
          <c:idx val="22"/>
          <c:order val="22"/>
          <c:tx>
            <c:strRef>
              <c:f>'ENERGY-BALANCE'!$E$68</c:f>
              <c:strCache>
                <c:ptCount val="1"/>
              </c:strCache>
            </c:strRef>
          </c:tx>
          <c:spPr>
            <a:solidFill>
              <a:schemeClr val="accent1">
                <a:tint val="3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'ENERGY-BALANCE'!$F$45</c:f>
              <c:strCache>
                <c:ptCount val="1"/>
                <c:pt idx="0">
                  <c:v>Removed (kWh)</c:v>
                </c:pt>
              </c:strCache>
            </c:strRef>
          </c:cat>
          <c:val>
            <c:numRef>
              <c:f>'ENERGY-BALANCE'!$F$68</c:f>
              <c:numCache>
                <c:formatCode>#,##0.00</c:formatCode>
                <c:ptCount val="1"/>
              </c:numCache>
            </c:numRef>
          </c:val>
          <c:extLst>
            <c:ext xmlns:c16="http://schemas.microsoft.com/office/drawing/2014/chart" uri="{C3380CC4-5D6E-409C-BE32-E72D297353CC}">
              <c16:uniqueId val="{00000005-CC31-174A-98AD-2C3365B771B1}"/>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9092016"/>
        <c:crosses val="autoZero"/>
        <c:auto val="1"/>
        <c:lblAlgn val="ctr"/>
        <c:lblOffset val="100"/>
        <c:noMultiLvlLbl val="0"/>
      </c:catAx>
      <c:valAx>
        <c:axId val="619092016"/>
        <c:scaling>
          <c:orientation val="minMax"/>
          <c:min val="0"/>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'ENERGY-BALANCE'!$D$45</c:f>
              <c:strCache>
                <c:ptCount val="1"/>
                <c:pt idx="0">
                  <c:v>Gained (kWh)</c:v>
                </c:pt>
              </c:strCache>
            </c:strRef>
          </c:tx>
          <c:dPt>
            <c:idx val="0"/>
            <c:bubble3D val="0"/>
            <c:spPr>
              <a:solidFill>
                <a:schemeClr val="accent6">
                  <a:tint val="36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6">
                  <a:tint val="42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6">
                  <a:tint val="48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6">
                  <a:tint val="54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6">
                  <a:tint val="60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6">
                  <a:tint val="65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6">
                  <a:tint val="71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6">
                  <a:tint val="77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6">
                  <a:tint val="83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6">
                  <a:tint val="89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6">
                  <a:tint val="95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6"/>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6">
                  <a:shade val="94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6">
                  <a:shade val="88000"/>
                </a:schemeClr>
              </a:solidFill>
              <a:ln>
                <a:noFill/>
              </a:ln>
              <a:effectLst/>
            </c:spPr>
            <c:extLst>
              <c:ext xmlns:c16="http://schemas.microsoft.com/office/drawing/2014/chart" uri="{C3380CC4-5D6E-409C-BE32-E72D297353CC}">
                <c16:uniqueId val="{0000001B-6D36-824C-9B4C-47E4A8C9163A}"/>
              </c:ext>
            </c:extLst>
          </c:dPt>
          <c:dPt>
            <c:idx val="14"/>
            <c:bubble3D val="0"/>
            <c:spPr>
              <a:solidFill>
                <a:schemeClr val="accent6">
                  <a:shade val="82000"/>
                </a:schemeClr>
              </a:solidFill>
              <a:ln>
                <a:noFill/>
              </a:ln>
              <a:effectLst/>
            </c:spPr>
            <c:extLst>
              <c:ext xmlns:c16="http://schemas.microsoft.com/office/drawing/2014/chart" uri="{C3380CC4-5D6E-409C-BE32-E72D297353CC}">
                <c16:uniqueId val="{0000001D-6D36-824C-9B4C-47E4A8C9163A}"/>
              </c:ext>
            </c:extLst>
          </c:dPt>
          <c:dPt>
            <c:idx val="15"/>
            <c:bubble3D val="0"/>
            <c:spPr>
              <a:solidFill>
                <a:schemeClr val="accent6">
                  <a:shade val="76000"/>
                </a:schemeClr>
              </a:solidFill>
              <a:ln>
                <a:noFill/>
              </a:ln>
              <a:effectLst/>
            </c:spPr>
            <c:extLst>
              <c:ext xmlns:c16="http://schemas.microsoft.com/office/drawing/2014/chart" uri="{C3380CC4-5D6E-409C-BE32-E72D297353CC}">
                <c16:uniqueId val="{0000001F-6D36-824C-9B4C-47E4A8C9163A}"/>
              </c:ext>
            </c:extLst>
          </c:dPt>
          <c:dPt>
            <c:idx val="16"/>
            <c:bubble3D val="0"/>
            <c:spPr>
              <a:solidFill>
                <a:schemeClr val="accent6">
                  <a:shade val="70000"/>
                </a:schemeClr>
              </a:solidFill>
              <a:ln>
                <a:noFill/>
              </a:ln>
              <a:effectLst/>
            </c:spPr>
            <c:extLst>
              <c:ext xmlns:c16="http://schemas.microsoft.com/office/drawing/2014/chart" uri="{C3380CC4-5D6E-409C-BE32-E72D297353CC}">
                <c16:uniqueId val="{00000021-6D36-824C-9B4C-47E4A8C9163A}"/>
              </c:ext>
            </c:extLst>
          </c:dPt>
          <c:dPt>
            <c:idx val="17"/>
            <c:bubble3D val="0"/>
            <c:spPr>
              <a:solidFill>
                <a:schemeClr val="accent6">
                  <a:shade val="65000"/>
                </a:schemeClr>
              </a:solidFill>
              <a:ln>
                <a:noFill/>
              </a:ln>
              <a:effectLst/>
            </c:spPr>
            <c:extLst>
              <c:ext xmlns:c16="http://schemas.microsoft.com/office/drawing/2014/chart" uri="{C3380CC4-5D6E-409C-BE32-E72D297353CC}">
                <c16:uniqueId val="{00000023-6D36-824C-9B4C-47E4A8C9163A}"/>
              </c:ext>
            </c:extLst>
          </c:dPt>
          <c:dPt>
            <c:idx val="18"/>
            <c:bubble3D val="0"/>
            <c:spPr>
              <a:solidFill>
                <a:schemeClr val="accent6">
                  <a:shade val="59000"/>
                </a:schemeClr>
              </a:solidFill>
              <a:ln>
                <a:noFill/>
              </a:ln>
              <a:effectLst/>
            </c:spPr>
            <c:extLst>
              <c:ext xmlns:c16="http://schemas.microsoft.com/office/drawing/2014/chart" uri="{C3380CC4-5D6E-409C-BE32-E72D297353CC}">
                <c16:uniqueId val="{00000025-6D36-824C-9B4C-47E4A8C9163A}"/>
              </c:ext>
            </c:extLst>
          </c:dPt>
          <c:dPt>
            <c:idx val="19"/>
            <c:bubble3D val="0"/>
            <c:spPr>
              <a:solidFill>
                <a:schemeClr val="accent6">
                  <a:shade val="53000"/>
                </a:schemeClr>
              </a:solidFill>
              <a:ln>
                <a:noFill/>
              </a:ln>
              <a:effectLst/>
            </c:spPr>
            <c:extLst>
              <c:ext xmlns:c16="http://schemas.microsoft.com/office/drawing/2014/chart" uri="{C3380CC4-5D6E-409C-BE32-E72D297353CC}">
                <c16:uniqueId val="{00000027-6D36-824C-9B4C-47E4A8C9163A}"/>
              </c:ext>
            </c:extLst>
          </c:dPt>
          <c:dPt>
            <c:idx val="20"/>
            <c:bubble3D val="0"/>
            <c:spPr>
              <a:solidFill>
                <a:schemeClr val="accent6">
                  <a:shade val="47000"/>
                </a:schemeClr>
              </a:solidFill>
              <a:ln>
                <a:noFill/>
              </a:ln>
              <a:effectLst/>
            </c:spPr>
            <c:extLst>
              <c:ext xmlns:c16="http://schemas.microsoft.com/office/drawing/2014/chart" uri="{C3380CC4-5D6E-409C-BE32-E72D297353CC}">
                <c16:uniqueId val="{00000029-6D36-824C-9B4C-47E4A8C9163A}"/>
              </c:ext>
            </c:extLst>
          </c:dPt>
          <c:dPt>
            <c:idx val="21"/>
            <c:bubble3D val="0"/>
            <c:spPr>
              <a:solidFill>
                <a:schemeClr val="accent6">
                  <a:shade val="41000"/>
                </a:schemeClr>
              </a:solidFill>
              <a:ln>
                <a:noFill/>
              </a:ln>
              <a:effectLst/>
            </c:spPr>
            <c:extLst>
              <c:ext xmlns:c16="http://schemas.microsoft.com/office/drawing/2014/chart" uri="{C3380CC4-5D6E-409C-BE32-E72D297353CC}">
                <c16:uniqueId val="{0000002B-E11E-D649-8448-B12BB055A167}"/>
              </c:ext>
            </c:extLst>
          </c:dPt>
          <c:dPt>
            <c:idx val="22"/>
            <c:bubble3D val="0"/>
            <c:spPr>
              <a:solidFill>
                <a:schemeClr val="accent6">
                  <a:shade val="35000"/>
                </a:schemeClr>
              </a:solidFill>
              <a:ln>
                <a:noFill/>
              </a:ln>
              <a:effectLst/>
            </c:spPr>
            <c:extLst>
              <c:ext xmlns:c16="http://schemas.microsoft.com/office/drawing/2014/chart" uri="{C3380CC4-5D6E-409C-BE32-E72D297353CC}">
                <c16:uniqueId val="{0000002D-E11E-D649-8448-B12BB055A167}"/>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bestFit"/>
            <c:showLegendKey val="0"/>
            <c:showVal val="0"/>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'ENERGY-BALANCE'!$C$46:$C$68</c:f>
              <c:strCache>
                <c:ptCount val="23"/>
                <c:pt idx="0">
                  <c:v>B.4 Roof</c:v>
                </c:pt>
                <c:pt idx="1">
                  <c:v>B.5 Walls Ae</c:v>
                </c:pt>
                <c:pt idx="3">
                  <c:v>B.7.0 Doors</c:v>
                </c:pt>
                <c:pt idx="4">
                  <c:v>B.8.1 Window Area North</c:v>
                </c:pt>
                <c:pt idx="5">
                  <c:v>B.8.2 Window Area East</c:v>
                </c:pt>
                <c:pt idx="6">
                  <c:v>B.8.3 Window Area South</c:v>
                </c:pt>
                <c:pt idx="7">
                  <c:v>B.8.4 Window Area West</c:v>
                </c:pt>
                <c:pt idx="8">
                  <c:v>B.8.5 Skylights</c:v>
                </c:pt>
                <c:pt idx="15">
                  <c:v>G.8.4 Windows W</c:v>
                </c:pt>
                <c:pt idx="17">
                  <c:v>B.19.6 Air Leakage</c:v>
                </c:pt>
                <c:pt idx="18">
                  <c:v>V.4.1 Incoming Ventil. Energy</c:v>
                </c:pt>
                <c:pt idx="20">
                  <c:v>G.1.2 Occupant Gains</c:v>
                </c:pt>
                <c:pt idx="21">
                  <c:v>G.2 Plug/Light/Eqpt. Subtotals</c:v>
                </c:pt>
                <c:pt idx="22">
                  <c:v>W.1.3 DHW System Losses</c:v>
                </c:pt>
              </c:strCache>
            </c:strRef>
          </c:cat>
          <c:val>
            <c:numRef>
              <c:f>'ENERGY-BALANCE'!$D$46:$D$68</c:f>
              <c:numCache>
                <c:formatCode>#,##0.00</c:formatCode>
                <c:ptCount val="23"/>
                <c:pt idx="0">
                  <c:v>710.13797647058823</c:v>
                </c:pt>
                <c:pt idx="1">
                  <c:v>501.31702242152471</c:v>
                </c:pt>
                <c:pt idx="2">
                  <c:v>0</c:v>
                </c:pt>
                <c:pt idx="3">
                  <c:v>31.752000000000002</c:v>
                </c:pt>
                <c:pt idx="4">
                  <c:v>343.51430399999998</c:v>
                </c:pt>
                <c:pt idx="5">
                  <c:v>16.214687999999999</c:v>
                </c:pt>
                <c:pt idx="6">
                  <c:v>673.14240000000007</c:v>
                </c:pt>
                <c:pt idx="7">
                  <c:v>426.15417599999995</c:v>
                </c:pt>
                <c:pt idx="8">
                  <c:v>0</c:v>
                </c:pt>
                <c:pt idx="9">
                  <c:v>0</c:v>
                </c:pt>
                <c:pt idx="10">
                  <c:v>0</c:v>
                </c:pt>
                <c:pt idx="11">
                  <c:v>0</c:v>
                </c:pt>
                <c:pt idx="12">
                  <c:v>0</c:v>
                </c:pt>
                <c:pt idx="13">
                  <c:v>0</c:v>
                </c:pt>
                <c:pt idx="14">
                  <c:v>0</c:v>
                </c:pt>
                <c:pt idx="15">
                  <c:v>130.15337999999997</c:v>
                </c:pt>
                <c:pt idx="16">
                  <c:v>0</c:v>
                </c:pt>
                <c:pt idx="17">
                  <c:v>987.60083793628723</c:v>
                </c:pt>
                <c:pt idx="18">
                  <c:v>30257.36908356542</c:v>
                </c:pt>
                <c:pt idx="19">
                  <c:v>0</c:v>
                </c:pt>
                <c:pt idx="20">
                  <c:v>21269.925976319999</c:v>
                </c:pt>
                <c:pt idx="21">
                  <c:v>27744.768</c:v>
                </c:pt>
                <c:pt idx="22">
                  <c:v>0</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0"/>
        </c:dLbls>
        <c:firstSliceAng val="12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ln>
                <a:noFill/>
              </a:ln>
              <a:solidFill>
                <a:schemeClr val="bg1"/>
              </a:solidFill>
              <a:latin typeface="+mn-lt"/>
              <a:ea typeface="+mn-ea"/>
              <a:cs typeface="+mn-cs"/>
            </a:defRPr>
          </a:pPr>
          <a:endParaRPr lang="en-US"/>
        </a:p>
      </c:txPr>
    </c:title>
    <c:autoTitleDeleted val="0"/>
    <c:plotArea>
      <c:layout/>
      <c:pieChart>
        <c:varyColors val="1"/>
        <c:ser>
          <c:idx val="0"/>
          <c:order val="0"/>
          <c:tx>
            <c:strRef>
              <c:f>'ENERGY-BALANCE'!$D$32</c:f>
              <c:strCache>
                <c:ptCount val="1"/>
                <c:pt idx="0">
                  <c:v>Lost (kWh)</c:v>
                </c:pt>
              </c:strCache>
            </c:strRef>
          </c:tx>
          <c:dPt>
            <c:idx val="0"/>
            <c:bubble3D val="0"/>
            <c:spPr>
              <a:solidFill>
                <a:schemeClr val="accent2">
                  <a:shade val="58000"/>
                </a:schemeClr>
              </a:solidFill>
              <a:ln>
                <a:noFill/>
              </a:ln>
              <a:effectLst/>
            </c:spPr>
            <c:extLst>
              <c:ext xmlns:c16="http://schemas.microsoft.com/office/drawing/2014/chart" uri="{C3380CC4-5D6E-409C-BE32-E72D297353CC}">
                <c16:uniqueId val="{00000001-82EE-004E-AFB4-2C41B786A9D4}"/>
              </c:ext>
            </c:extLst>
          </c:dPt>
          <c:dPt>
            <c:idx val="1"/>
            <c:bubble3D val="0"/>
            <c:spPr>
              <a:solidFill>
                <a:schemeClr val="accent2">
                  <a:shade val="86000"/>
                </a:schemeClr>
              </a:solidFill>
              <a:ln>
                <a:noFill/>
              </a:ln>
              <a:effectLst/>
            </c:spPr>
            <c:extLst>
              <c:ext xmlns:c16="http://schemas.microsoft.com/office/drawing/2014/chart" uri="{C3380CC4-5D6E-409C-BE32-E72D297353CC}">
                <c16:uniqueId val="{00000002-82EE-004E-AFB4-2C41B786A9D4}"/>
              </c:ext>
            </c:extLst>
          </c:dPt>
          <c:dPt>
            <c:idx val="2"/>
            <c:bubble3D val="0"/>
            <c:spPr>
              <a:solidFill>
                <a:schemeClr val="accent2">
                  <a:tint val="86000"/>
                </a:schemeClr>
              </a:solidFill>
              <a:ln>
                <a:noFill/>
              </a:ln>
              <a:effectLst/>
            </c:spPr>
            <c:extLst>
              <c:ext xmlns:c16="http://schemas.microsoft.com/office/drawing/2014/chart" uri="{C3380CC4-5D6E-409C-BE32-E72D297353CC}">
                <c16:uniqueId val="{00000003-82EE-004E-AFB4-2C41B786A9D4}"/>
              </c:ext>
            </c:extLst>
          </c:dPt>
          <c:dPt>
            <c:idx val="3"/>
            <c:bubble3D val="0"/>
            <c:spPr>
              <a:solidFill>
                <a:schemeClr val="accent2">
                  <a:tint val="58000"/>
                </a:schemeClr>
              </a:solidFill>
              <a:ln>
                <a:noFill/>
              </a:ln>
              <a:effectLst/>
            </c:spPr>
            <c:extLst>
              <c:ext xmlns:c16="http://schemas.microsoft.com/office/drawing/2014/chart" uri="{C3380CC4-5D6E-409C-BE32-E72D297353CC}">
                <c16:uniqueId val="{00000004-82EE-004E-AFB4-2C41B786A9D4}"/>
              </c:ext>
            </c:extLst>
          </c:dPt>
          <c:dPt>
            <c:idx val="4"/>
            <c:bubble3D val="0"/>
            <c:spPr>
              <a:solidFill>
                <a:schemeClr val="accent2">
                  <a:tint val="30000"/>
                </a:schemeClr>
              </a:solidFill>
              <a:ln>
                <a:noFill/>
              </a:ln>
              <a:effectLst/>
            </c:spPr>
            <c:extLst>
              <c:ext xmlns:c16="http://schemas.microsoft.com/office/drawing/2014/chart" uri="{C3380CC4-5D6E-409C-BE32-E72D297353CC}">
                <c16:uniqueId val="{00000005-82EE-004E-AFB4-2C41B786A9D4}"/>
              </c:ext>
            </c:extLst>
          </c:dPt>
          <c:dPt>
            <c:idx val="5"/>
            <c:bubble3D val="0"/>
            <c:spPr>
              <a:solidFill>
                <a:schemeClr val="accent2">
                  <a:tint val="2000"/>
                </a:schemeClr>
              </a:solidFill>
              <a:ln>
                <a:noFill/>
              </a:ln>
              <a:effectLst/>
            </c:spPr>
            <c:extLst>
              <c:ext xmlns:c16="http://schemas.microsoft.com/office/drawing/2014/chart" uri="{C3380CC4-5D6E-409C-BE32-E72D297353CC}">
                <c16:uniqueId val="{00000006-82EE-004E-AFB4-2C41B786A9D4}"/>
              </c:ext>
            </c:extLst>
          </c:dPt>
          <c:dPt>
            <c:idx val="6"/>
            <c:bubble3D val="0"/>
            <c:spPr>
              <a:solidFill>
                <a:schemeClr val="accent2">
                  <a:tint val="74000"/>
                </a:schemeClr>
              </a:solidFill>
              <a:ln>
                <a:noFill/>
              </a:ln>
              <a:effectLst/>
            </c:spPr>
            <c:extLst>
              <c:ext xmlns:c16="http://schemas.microsoft.com/office/drawing/2014/chart" uri="{C3380CC4-5D6E-409C-BE32-E72D297353CC}">
                <c16:uniqueId val="{00000007-82EE-004E-AFB4-2C41B786A9D4}"/>
              </c:ext>
            </c:extLst>
          </c:dPt>
          <c:dPt>
            <c:idx val="7"/>
            <c:bubble3D val="0"/>
            <c:spPr>
              <a:solidFill>
                <a:schemeClr val="accent2">
                  <a:tint val="46000"/>
                </a:schemeClr>
              </a:solidFill>
              <a:ln>
                <a:noFill/>
              </a:ln>
              <a:effectLst/>
            </c:spPr>
            <c:extLst>
              <c:ext xmlns:c16="http://schemas.microsoft.com/office/drawing/2014/chart" uri="{C3380CC4-5D6E-409C-BE32-E72D297353CC}">
                <c16:uniqueId val="{00000008-82EE-004E-AFB4-2C41B786A9D4}"/>
              </c:ext>
            </c:extLst>
          </c:dPt>
          <c:dPt>
            <c:idx val="8"/>
            <c:bubble3D val="0"/>
            <c:spPr>
              <a:solidFill>
                <a:schemeClr val="accent2">
                  <a:tint val="18000"/>
                </a:schemeClr>
              </a:solidFill>
              <a:ln>
                <a:noFill/>
              </a:ln>
              <a:effectLst/>
            </c:spPr>
            <c:extLst>
              <c:ext xmlns:c16="http://schemas.microsoft.com/office/drawing/2014/chart" uri="{C3380CC4-5D6E-409C-BE32-E72D297353CC}">
                <c16:uniqueId val="{00000009-82EE-004E-AFB4-2C41B786A9D4}"/>
              </c:ext>
            </c:extLst>
          </c:dPt>
          <c:dPt>
            <c:idx val="9"/>
            <c:bubble3D val="0"/>
            <c:spPr>
              <a:solidFill>
                <a:schemeClr val="accent2">
                  <a:tint val="90000"/>
                </a:schemeClr>
              </a:solidFill>
              <a:ln>
                <a:noFill/>
              </a:ln>
              <a:effectLst/>
            </c:spPr>
            <c:extLst>
              <c:ext xmlns:c16="http://schemas.microsoft.com/office/drawing/2014/chart" uri="{C3380CC4-5D6E-409C-BE32-E72D297353CC}">
                <c16:uniqueId val="{0000000A-82EE-004E-AFB4-2C41B786A9D4}"/>
              </c:ext>
            </c:extLst>
          </c:dPt>
          <c:dPt>
            <c:idx val="10"/>
            <c:bubble3D val="0"/>
            <c:spPr>
              <a:solidFill>
                <a:schemeClr val="accent2">
                  <a:tint val="62000"/>
                </a:schemeClr>
              </a:solidFill>
              <a:ln>
                <a:noFill/>
              </a:ln>
              <a:effectLst/>
            </c:spPr>
            <c:extLst>
              <c:ext xmlns:c16="http://schemas.microsoft.com/office/drawing/2014/chart" uri="{C3380CC4-5D6E-409C-BE32-E72D297353CC}">
                <c16:uniqueId val="{0000000B-82EE-004E-AFB4-2C41B786A9D4}"/>
              </c:ext>
            </c:extLst>
          </c:dPt>
          <c:dPt>
            <c:idx val="11"/>
            <c:bubble3D val="0"/>
            <c:spPr>
              <a:solidFill>
                <a:schemeClr val="accent2">
                  <a:tint val="34000"/>
                </a:schemeClr>
              </a:solidFill>
              <a:ln>
                <a:noFill/>
              </a:ln>
              <a:effectLst/>
            </c:spPr>
            <c:extLst>
              <c:ext xmlns:c16="http://schemas.microsoft.com/office/drawing/2014/chart" uri="{C3380CC4-5D6E-409C-BE32-E72D297353CC}">
                <c16:uniqueId val="{0000000C-82EE-004E-AFB4-2C41B786A9D4}"/>
              </c:ext>
            </c:extLst>
          </c:dPt>
          <c:dPt>
            <c:idx val="12"/>
            <c:bubble3D val="0"/>
            <c:spPr>
              <a:solidFill>
                <a:schemeClr val="accent2">
                  <a:tint val="6000"/>
                </a:schemeClr>
              </a:solidFill>
              <a:ln>
                <a:noFill/>
              </a:ln>
              <a:effectLst/>
            </c:spPr>
            <c:extLst>
              <c:ext xmlns:c16="http://schemas.microsoft.com/office/drawing/2014/chart" uri="{C3380CC4-5D6E-409C-BE32-E72D297353CC}">
                <c16:uniqueId val="{0000000D-82EE-004E-AFB4-2C41B786A9D4}"/>
              </c:ext>
            </c:extLst>
          </c:dPt>
          <c:dPt>
            <c:idx val="13"/>
            <c:bubble3D val="0"/>
            <c:spPr>
              <a:solidFill>
                <a:schemeClr val="accent2">
                  <a:tint val="78000"/>
                </a:schemeClr>
              </a:solidFill>
              <a:ln>
                <a:noFill/>
              </a:ln>
              <a:effectLst/>
            </c:spPr>
            <c:extLst>
              <c:ext xmlns:c16="http://schemas.microsoft.com/office/drawing/2014/chart" uri="{C3380CC4-5D6E-409C-BE32-E72D297353CC}">
                <c16:uniqueId val="{0000001B-C0DD-E94A-B14F-F41D246F802D}"/>
              </c:ext>
            </c:extLst>
          </c:dPt>
          <c:dPt>
            <c:idx val="14"/>
            <c:bubble3D val="0"/>
            <c:spPr>
              <a:solidFill>
                <a:schemeClr val="accent2">
                  <a:tint val="50000"/>
                </a:schemeClr>
              </a:solidFill>
              <a:ln>
                <a:noFill/>
              </a:ln>
              <a:effectLst/>
            </c:spPr>
            <c:extLst>
              <c:ext xmlns:c16="http://schemas.microsoft.com/office/drawing/2014/chart" uri="{C3380CC4-5D6E-409C-BE32-E72D297353CC}">
                <c16:uniqueId val="{0000001D-C0DD-E94A-B14F-F41D246F802D}"/>
              </c:ext>
            </c:extLst>
          </c:dPt>
          <c:dLbls>
            <c:spPr>
              <a:noFill/>
              <a:ln>
                <a:noFill/>
              </a:ln>
              <a:effectLst/>
            </c:spPr>
            <c:txPr>
              <a:bodyPr rot="0" spcFirstLastPara="1" vertOverflow="overflow" horzOverflow="overflow" vert="horz" wrap="none" anchor="ctr" anchorCtr="0">
                <a:spAutoFit/>
              </a:bodyPr>
              <a:lstStyle/>
              <a:p>
                <a:pPr>
                  <a:defRPr sz="1050" b="0" i="0" u="none" strike="noStrike" kern="1200" baseline="0">
                    <a:ln>
                      <a:no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shade val="95000"/>
                      <a:satMod val="104999"/>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'ENERGY-BALANCE'!$C$33:$C$36</c:f>
              <c:strCache>
                <c:ptCount val="4"/>
                <c:pt idx="0">
                  <c:v>B.16 HELI Ae </c:v>
                </c:pt>
                <c:pt idx="1">
                  <c:v>B.17 HELI Ag </c:v>
                </c:pt>
                <c:pt idx="2">
                  <c:v>B.18.3 Air Leakage</c:v>
                </c:pt>
                <c:pt idx="3">
                  <c:v>V.2.3 Net Vent Losses</c:v>
                </c:pt>
              </c:strCache>
            </c:strRef>
          </c:cat>
          <c:val>
            <c:numRef>
              <c:f>'ENERGY-BALANCE'!$D$33:$D$36</c:f>
              <c:numCache>
                <c:formatCode>#,##0.00</c:formatCode>
                <c:ptCount val="4"/>
                <c:pt idx="0">
                  <c:v>76103.692700226864</c:v>
                </c:pt>
                <c:pt idx="1">
                  <c:v>16788.245448648649</c:v>
                </c:pt>
                <c:pt idx="2">
                  <c:v>23178.387012790419</c:v>
                </c:pt>
                <c:pt idx="3">
                  <c:v>48980.799999999988</c:v>
                </c:pt>
              </c:numCache>
            </c:numRef>
          </c:val>
          <c:extLst>
            <c:ext xmlns:c16="http://schemas.microsoft.com/office/drawing/2014/chart" uri="{C3380CC4-5D6E-409C-BE32-E72D297353CC}">
              <c16:uniqueId val="{00000000-82EE-004E-AFB4-2C41B786A9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olid"/>
      <a:round/>
    </a:ln>
    <a:effectLst/>
  </c:spPr>
  <c:txPr>
    <a:bodyPr/>
    <a:lstStyle/>
    <a:p>
      <a:pPr>
        <a:defRPr sz="1800">
          <a:ln>
            <a:noFill/>
          </a:ln>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Operational vs. EMBODIED</a:t>
            </a:r>
            <a:r>
              <a:rPr lang="en-US" baseline="0"/>
              <a:t> CARBON </a:t>
            </a:r>
          </a:p>
          <a:p>
            <a:pPr>
              <a:defRPr sz="1600" cap="all" spc="120" normalizeH="0">
                <a:solidFill>
                  <a:schemeClr val="tx1">
                    <a:lumMod val="65000"/>
                    <a:lumOff val="35000"/>
                  </a:schemeClr>
                </a:solidFill>
              </a:defRPr>
            </a:pPr>
            <a:r>
              <a:rPr lang="en-US" baseline="0"/>
              <a:t>(MT CO2e/Service Life)</a:t>
            </a:r>
          </a:p>
        </c:rich>
      </c:tx>
      <c:layout>
        <c:manualLayout>
          <c:xMode val="edge"/>
          <c:yMode val="edge"/>
          <c:x val="0.22211467402191168"/>
          <c:y val="2.448019995257127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07529527559053"/>
          <c:y val="8.2313605960545252E-2"/>
          <c:w val="0.84947371989460219"/>
          <c:h val="0.83267474160019894"/>
        </c:manualLayout>
      </c:layout>
      <c:barChart>
        <c:barDir val="col"/>
        <c:grouping val="stacked"/>
        <c:varyColors val="0"/>
        <c:ser>
          <c:idx val="0"/>
          <c:order val="0"/>
          <c:tx>
            <c:strRef>
              <c:f>'CARBON IMPACTS'!$C$5</c:f>
              <c:strCache>
                <c:ptCount val="1"/>
                <c:pt idx="0">
                  <c:v>Target Building</c:v>
                </c:pt>
              </c:strCache>
            </c:strRef>
          </c:tx>
          <c:spPr>
            <a:solidFill>
              <a:schemeClr val="accent1"/>
            </a:solidFill>
            <a:ln>
              <a:noFill/>
            </a:ln>
            <a:effectLst/>
          </c:spPr>
          <c:invertIfNegative val="0"/>
          <c:dLbls>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'CARBON IMPACTS'!$D$4:$E$4</c:f>
              <c:strCache>
                <c:ptCount val="2"/>
                <c:pt idx="0">
                  <c:v>Operational B6 (MTCO2e)</c:v>
                </c:pt>
                <c:pt idx="1">
                  <c:v>Embodied A1-A3 (MTCO2e)</c:v>
                </c:pt>
              </c:strCache>
            </c:strRef>
          </c:cat>
          <c:val>
            <c:numRef>
              <c:f>'CARBON IMPACTS'!$D$5:$E$5</c:f>
              <c:numCache>
                <c:formatCode>#,##0.00</c:formatCode>
                <c:ptCount val="2"/>
                <c:pt idx="0">
                  <c:v>338.99189999999999</c:v>
                </c:pt>
                <c:pt idx="1">
                  <c:v>390.8180984</c:v>
                </c:pt>
              </c:numCache>
            </c:numRef>
          </c:val>
          <c:extLst>
            <c:ext xmlns:c16="http://schemas.microsoft.com/office/drawing/2014/chart" uri="{C3380CC4-5D6E-409C-BE32-E72D297353CC}">
              <c16:uniqueId val="{00000000-AA16-8744-B6A8-A243FF534996}"/>
            </c:ext>
          </c:extLst>
        </c:ser>
        <c:ser>
          <c:idx val="1"/>
          <c:order val="1"/>
          <c:tx>
            <c:strRef>
              <c:f>'CARBON IMPACTS'!$C$6</c:f>
              <c:strCache>
                <c:ptCount val="1"/>
                <c:pt idx="0">
                  <c:v>Reference Building</c:v>
                </c:pt>
              </c:strCache>
            </c:strRef>
          </c:tx>
          <c:spPr>
            <a:solidFill>
              <a:schemeClr val="accent2"/>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'CARBON IMPACTS'!$D$4:$E$4</c:f>
              <c:strCache>
                <c:ptCount val="2"/>
                <c:pt idx="0">
                  <c:v>Operational B6 (MTCO2e)</c:v>
                </c:pt>
                <c:pt idx="1">
                  <c:v>Embodied A1-A3 (MTCO2e)</c:v>
                </c:pt>
              </c:strCache>
            </c:strRef>
          </c:cat>
          <c:val>
            <c:numRef>
              <c:f>'CARBON IMPACTS'!$D$6:$E$6</c:f>
              <c:numCache>
                <c:formatCode>#,##0.00</c:formatCode>
                <c:ptCount val="2"/>
                <c:pt idx="0">
                  <c:v>850.99640501567228</c:v>
                </c:pt>
                <c:pt idx="1">
                  <c:v>390.8180984</c:v>
                </c:pt>
              </c:numCache>
            </c:numRef>
          </c:val>
          <c:extLst>
            <c:ext xmlns:c16="http://schemas.microsoft.com/office/drawing/2014/chart" uri="{C3380CC4-5D6E-409C-BE32-E72D297353CC}">
              <c16:uniqueId val="{00000001-AA16-8744-B6A8-A243FF534996}"/>
            </c:ext>
          </c:extLst>
        </c:ser>
        <c:dLbls>
          <c:dLblPos val="ctr"/>
          <c:showLegendKey val="0"/>
          <c:showVal val="1"/>
          <c:showCatName val="0"/>
          <c:showSerName val="0"/>
          <c:showPercent val="0"/>
          <c:showBubbleSize val="0"/>
        </c:dLbls>
        <c:gapWidth val="79"/>
        <c:overlap val="100"/>
        <c:axId val="619090368"/>
        <c:axId val="619092016"/>
      </c:barChart>
      <c:catAx>
        <c:axId val="619090368"/>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0"/>
          <a:lstStyle/>
          <a:p>
            <a:pPr>
              <a:defRPr sz="1200" b="1" i="0" u="none" strike="noStrike" kern="1200" cap="all" spc="120" normalizeH="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9092016"/>
        <c:crosses val="autoZero"/>
        <c:auto val="1"/>
        <c:lblAlgn val="ctr"/>
        <c:lblOffset val="100"/>
        <c:noMultiLvlLbl val="0"/>
      </c:catAx>
      <c:valAx>
        <c:axId val="619092016"/>
        <c:scaling>
          <c:orientation val="minMax"/>
        </c:scaling>
        <c:delete val="0"/>
        <c:axPos val="l"/>
        <c:minorGridlines>
          <c:spPr>
            <a:ln w="9525" cap="flat" cmpd="sng" algn="ctr">
              <a:solidFill>
                <a:schemeClr val="tx1">
                  <a:lumMod val="5000"/>
                  <a:lumOff val="95000"/>
                </a:schemeClr>
              </a:solidFill>
              <a:prstDash val="solid"/>
              <a:round/>
            </a:ln>
            <a:effectLst/>
          </c:spPr>
        </c:minorGridlines>
        <c:numFmt formatCode="#,##0.00" sourceLinked="1"/>
        <c:majorTickMark val="out"/>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90368"/>
        <c:crosses val="autoZero"/>
        <c:crossBetween val="between"/>
      </c:valAx>
      <c:spPr>
        <a:noFill/>
        <a:ln>
          <a:noFill/>
        </a:ln>
        <a:effectLst/>
      </c:spPr>
    </c:plotArea>
    <c:plotVisOnly val="1"/>
    <c:dispBlanksAs val="zero"/>
    <c:showDLblsOverMax val="0"/>
  </c:chart>
  <c:spPr>
    <a:solidFill>
      <a:schemeClr val="lt1"/>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Linear Regression of Thermal Energy Demand vs Other Loads</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'Regression-Test'!$F$4</c:f>
              <c:strCache>
                <c:ptCount val="1"/>
                <c:pt idx="0">
                  <c:v>TED Energy Use kWh</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1.6639973936134693E-2"/>
                  <c:y val="-2.4361856876324195E-2"/>
                </c:manualLayout>
              </c:layout>
              <c:numFmt formatCode="General"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'Regression-Test'!$F$5:$F$16</c:f>
              <c:numCache>
                <c:formatCode>0</c:formatCode>
                <c:ptCount val="12"/>
                <c:pt idx="0">
                  <c:v>22416.211429448958</c:v>
                </c:pt>
                <c:pt idx="1">
                  <c:v>20247.285071044011</c:v>
                </c:pt>
                <c:pt idx="2">
                  <c:v>16278.864865830557</c:v>
                </c:pt>
                <c:pt idx="3">
                  <c:v>9760.1686128222755</c:v>
                </c:pt>
                <c:pt idx="4">
                  <c:v>3610.9048714104388</c:v>
                </c:pt>
                <c:pt idx="5">
                  <c:v>1084.463179202475</c:v>
                </c:pt>
                <c:pt idx="6">
                  <c:v>357.51533380301373</c:v>
                </c:pt>
                <c:pt idx="7">
                  <c:v>536.27300070452054</c:v>
                </c:pt>
                <c:pt idx="8">
                  <c:v>1811.4110246019361</c:v>
                </c:pt>
                <c:pt idx="9">
                  <c:v>7960.6747660137717</c:v>
                </c:pt>
                <c:pt idx="10">
                  <c:v>14467.453841228622</c:v>
                </c:pt>
                <c:pt idx="11">
                  <c:v>20616.717582640456</c:v>
                </c:pt>
              </c:numCache>
            </c:numRef>
          </c:yVal>
          <c:smooth val="0"/>
          <c:extLst>
            <c:ext xmlns:c16="http://schemas.microsoft.com/office/drawing/2014/chart" uri="{C3380CC4-5D6E-409C-BE32-E72D297353CC}">
              <c16:uniqueId val="{00000000-6EC1-1B43-A263-F5F23A5184F9}"/>
            </c:ext>
          </c:extLst>
        </c:ser>
        <c:ser>
          <c:idx val="1"/>
          <c:order val="1"/>
          <c:tx>
            <c:strRef>
              <c:f>'Regression-Test'!$G$4</c:f>
              <c:strCache>
                <c:ptCount val="1"/>
                <c:pt idx="0">
                  <c:v>Air Leakage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3.2042948021246253E-3"/>
                  <c:y val="-2.960108149131960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'Regression-Test'!$G$5:$G$16</c:f>
              <c:numCache>
                <c:formatCode>0</c:formatCode>
                <c:ptCount val="12"/>
                <c:pt idx="0">
                  <c:v>4359.8545971058775</c:v>
                </c:pt>
                <c:pt idx="1">
                  <c:v>3938.0079534730921</c:v>
                </c:pt>
                <c:pt idx="2">
                  <c:v>3166.1676659471714</c:v>
                </c:pt>
                <c:pt idx="3">
                  <c:v>1898.3098963475354</c:v>
                </c:pt>
                <c:pt idx="4">
                  <c:v>702.30512648754973</c:v>
                </c:pt>
                <c:pt idx="5">
                  <c:v>210.92332181639281</c:v>
                </c:pt>
                <c:pt idx="6">
                  <c:v>69.535161038371257</c:v>
                </c:pt>
                <c:pt idx="7">
                  <c:v>104.30274155755689</c:v>
                </c:pt>
                <c:pt idx="8">
                  <c:v>352.31148259441437</c:v>
                </c:pt>
                <c:pt idx="9">
                  <c:v>1548.3162524544</c:v>
                </c:pt>
                <c:pt idx="10">
                  <c:v>2813.8561833527569</c:v>
                </c:pt>
                <c:pt idx="11">
                  <c:v>4009.8609532127421</c:v>
                </c:pt>
              </c:numCache>
            </c:numRef>
          </c:yVal>
          <c:smooth val="0"/>
          <c:extLst>
            <c:ext xmlns:c16="http://schemas.microsoft.com/office/drawing/2014/chart" uri="{C3380CC4-5D6E-409C-BE32-E72D297353CC}">
              <c16:uniqueId val="{00000001-6EC1-1B43-A263-F5F23A5184F9}"/>
            </c:ext>
          </c:extLst>
        </c:ser>
        <c:ser>
          <c:idx val="2"/>
          <c:order val="2"/>
          <c:tx>
            <c:strRef>
              <c:f>'Regression-Test'!$H$4</c:f>
              <c:strCache>
                <c:ptCount val="1"/>
                <c:pt idx="0">
                  <c:v>Vent Losses</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1"/>
            <c:dispEq val="1"/>
            <c:trendlineLbl>
              <c:layout>
                <c:manualLayout>
                  <c:x val="7.089839886133989E-2"/>
                  <c:y val="4.468266767858836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'Regression-Test'!$H$5:$H$16</c:f>
              <c:numCache>
                <c:formatCode>0</c:formatCode>
                <c:ptCount val="12"/>
                <c:pt idx="0">
                  <c:v>9213.2884799999974</c:v>
                </c:pt>
                <c:pt idx="1">
                  <c:v>8321.8379199999981</c:v>
                </c:pt>
                <c:pt idx="2">
                  <c:v>6690.7772799999984</c:v>
                </c:pt>
                <c:pt idx="3">
                  <c:v>4011.5275199999992</c:v>
                </c:pt>
                <c:pt idx="4">
                  <c:v>1484.1182399999998</c:v>
                </c:pt>
                <c:pt idx="5">
                  <c:v>445.72527999999994</c:v>
                </c:pt>
                <c:pt idx="6">
                  <c:v>146.94239999999996</c:v>
                </c:pt>
                <c:pt idx="7">
                  <c:v>220.41359999999992</c:v>
                </c:pt>
                <c:pt idx="8">
                  <c:v>744.50815999999986</c:v>
                </c:pt>
                <c:pt idx="9">
                  <c:v>3271.9174399999993</c:v>
                </c:pt>
                <c:pt idx="10">
                  <c:v>5946.2691199999981</c:v>
                </c:pt>
                <c:pt idx="11">
                  <c:v>8473.6783999999971</c:v>
                </c:pt>
              </c:numCache>
            </c:numRef>
          </c:yVal>
          <c:smooth val="0"/>
          <c:extLst>
            <c:ext xmlns:c16="http://schemas.microsoft.com/office/drawing/2014/chart" uri="{C3380CC4-5D6E-409C-BE32-E72D297353CC}">
              <c16:uniqueId val="{00000002-6EC1-1B43-A263-F5F23A5184F9}"/>
            </c:ext>
          </c:extLst>
        </c:ser>
        <c:ser>
          <c:idx val="3"/>
          <c:order val="3"/>
          <c:tx>
            <c:strRef>
              <c:f>'Regression-Test'!$I$4</c:f>
              <c:strCache>
                <c:ptCount val="1"/>
                <c:pt idx="0">
                  <c:v>Plug Loads</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'Regression-Test'!$I$5:$I$16</c:f>
              <c:numCache>
                <c:formatCode>#,##0</c:formatCode>
                <c:ptCount val="12"/>
                <c:pt idx="0">
                  <c:v>3646.4960000000005</c:v>
                </c:pt>
                <c:pt idx="1">
                  <c:v>3646.4960000000005</c:v>
                </c:pt>
                <c:pt idx="2">
                  <c:v>3646.4960000000005</c:v>
                </c:pt>
                <c:pt idx="3">
                  <c:v>3646.4960000000005</c:v>
                </c:pt>
                <c:pt idx="4">
                  <c:v>3646.4960000000005</c:v>
                </c:pt>
                <c:pt idx="5">
                  <c:v>3646.4960000000005</c:v>
                </c:pt>
                <c:pt idx="6">
                  <c:v>3646.4960000000005</c:v>
                </c:pt>
                <c:pt idx="7">
                  <c:v>3646.4960000000005</c:v>
                </c:pt>
                <c:pt idx="8">
                  <c:v>3646.4960000000005</c:v>
                </c:pt>
                <c:pt idx="9">
                  <c:v>3646.4960000000005</c:v>
                </c:pt>
                <c:pt idx="10">
                  <c:v>3646.4960000000005</c:v>
                </c:pt>
                <c:pt idx="11">
                  <c:v>3646.4960000000005</c:v>
                </c:pt>
              </c:numCache>
            </c:numRef>
          </c:yVal>
          <c:smooth val="0"/>
          <c:extLst>
            <c:ext xmlns:c16="http://schemas.microsoft.com/office/drawing/2014/chart" uri="{C3380CC4-5D6E-409C-BE32-E72D297353CC}">
              <c16:uniqueId val="{00000003-6EC1-1B43-A263-F5F23A5184F9}"/>
            </c:ext>
          </c:extLst>
        </c:ser>
        <c:ser>
          <c:idx val="4"/>
          <c:order val="4"/>
          <c:tx>
            <c:strRef>
              <c:f>'Regression-Test'!$J$4</c:f>
              <c:strCache>
                <c:ptCount val="1"/>
                <c:pt idx="0">
                  <c:v>Eqpt &amp; Appliance Loads</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'Regression-Test'!$J$5:$J$16</c:f>
              <c:numCache>
                <c:formatCode>0</c:formatCode>
                <c:ptCount val="12"/>
                <c:pt idx="0">
                  <c:v>6251.1360000000013</c:v>
                </c:pt>
                <c:pt idx="1">
                  <c:v>6251.1360000000013</c:v>
                </c:pt>
                <c:pt idx="2">
                  <c:v>6251.1360000000013</c:v>
                </c:pt>
                <c:pt idx="3">
                  <c:v>6251.1360000000013</c:v>
                </c:pt>
                <c:pt idx="4">
                  <c:v>6251.1360000000013</c:v>
                </c:pt>
                <c:pt idx="5">
                  <c:v>6251.1360000000013</c:v>
                </c:pt>
                <c:pt idx="6">
                  <c:v>6251.1360000000013</c:v>
                </c:pt>
                <c:pt idx="7">
                  <c:v>6251.1360000000013</c:v>
                </c:pt>
                <c:pt idx="8">
                  <c:v>6251.1360000000013</c:v>
                </c:pt>
                <c:pt idx="9">
                  <c:v>6251.1360000000013</c:v>
                </c:pt>
                <c:pt idx="10">
                  <c:v>6251.1360000000013</c:v>
                </c:pt>
                <c:pt idx="11">
                  <c:v>6251.1360000000013</c:v>
                </c:pt>
              </c:numCache>
            </c:numRef>
          </c:yVal>
          <c:smooth val="0"/>
          <c:extLst>
            <c:ext xmlns:c16="http://schemas.microsoft.com/office/drawing/2014/chart" uri="{C3380CC4-5D6E-409C-BE32-E72D297353CC}">
              <c16:uniqueId val="{00000004-6EC1-1B43-A263-F5F23A5184F9}"/>
            </c:ext>
          </c:extLst>
        </c:ser>
        <c:ser>
          <c:idx val="5"/>
          <c:order val="5"/>
          <c:tx>
            <c:strRef>
              <c:f>'Regression-Test'!$K$4</c:f>
              <c:strCache>
                <c:ptCount val="1"/>
                <c:pt idx="0">
                  <c:v>TEU (n.incl Gains) in kWh</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1"/>
            <c:dispEq val="1"/>
            <c:trendlineLbl>
              <c:layout>
                <c:manualLayout>
                  <c:x val="-8.9824031197728735E-2"/>
                  <c:y val="4.7733453499035496E-2"/>
                </c:manualLayout>
              </c:layout>
              <c:numFmt formatCode="#,##0.0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'Regression-Test'!$E$5:$E$16</c:f>
              <c:numCache>
                <c:formatCode>0</c:formatCode>
                <c:ptCount val="12"/>
                <c:pt idx="0">
                  <c:v>865.26</c:v>
                </c:pt>
                <c:pt idx="1">
                  <c:v>781.54</c:v>
                </c:pt>
                <c:pt idx="2">
                  <c:v>628.36</c:v>
                </c:pt>
                <c:pt idx="3">
                  <c:v>376.74</c:v>
                </c:pt>
                <c:pt idx="4">
                  <c:v>139.38</c:v>
                </c:pt>
                <c:pt idx="5">
                  <c:v>41.86</c:v>
                </c:pt>
                <c:pt idx="6">
                  <c:v>13.8</c:v>
                </c:pt>
                <c:pt idx="7">
                  <c:v>20.7</c:v>
                </c:pt>
                <c:pt idx="8">
                  <c:v>69.92</c:v>
                </c:pt>
                <c:pt idx="9">
                  <c:v>307.27999999999997</c:v>
                </c:pt>
                <c:pt idx="10">
                  <c:v>558.43999999999994</c:v>
                </c:pt>
                <c:pt idx="11">
                  <c:v>795.8</c:v>
                </c:pt>
              </c:numCache>
            </c:numRef>
          </c:xVal>
          <c:yVal>
            <c:numRef>
              <c:f>'Regression-Test'!$K$5:$K$16</c:f>
              <c:numCache>
                <c:formatCode>0</c:formatCode>
                <c:ptCount val="12"/>
                <c:pt idx="0">
                  <c:v>24973.218377321435</c:v>
                </c:pt>
                <c:pt idx="1">
                  <c:v>22556.883584832067</c:v>
                </c:pt>
                <c:pt idx="2">
                  <c:v>18135.787508464156</c:v>
                </c:pt>
                <c:pt idx="3">
                  <c:v>10873.506566202157</c:v>
                </c:pt>
                <c:pt idx="4">
                  <c:v>4022.7991325509811</c:v>
                </c:pt>
                <c:pt idx="5">
                  <c:v>1208.1673962446841</c:v>
                </c:pt>
                <c:pt idx="6">
                  <c:v>398.29694381692883</c:v>
                </c:pt>
                <c:pt idx="7">
                  <c:v>597.4454157253931</c:v>
                </c:pt>
                <c:pt idx="8">
                  <c:v>2018.0378486724392</c:v>
                </c:pt>
                <c:pt idx="9">
                  <c:v>8868.7452823236144</c:v>
                </c:pt>
                <c:pt idx="10">
                  <c:v>16117.749659791718</c:v>
                </c:pt>
                <c:pt idx="11">
                  <c:v>22968.457093442892</c:v>
                </c:pt>
              </c:numCache>
            </c:numRef>
          </c:yVal>
          <c:smooth val="0"/>
          <c:extLst>
            <c:ext xmlns:c16="http://schemas.microsoft.com/office/drawing/2014/chart" uri="{C3380CC4-5D6E-409C-BE32-E72D297353CC}">
              <c16:uniqueId val="{00000013-6EC1-1B43-A263-F5F23A5184F9}"/>
            </c:ext>
          </c:extLst>
        </c:ser>
        <c:dLbls>
          <c:showLegendKey val="0"/>
          <c:showVal val="0"/>
          <c:showCatName val="0"/>
          <c:showSerName val="0"/>
          <c:showPercent val="0"/>
          <c:showBubbleSize val="0"/>
        </c:dLbls>
        <c:axId val="1593174784"/>
        <c:axId val="1593176432"/>
      </c:scatterChart>
      <c:valAx>
        <c:axId val="15931747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Heating Degree 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176432"/>
        <c:crosses val="autoZero"/>
        <c:crossBetween val="midCat"/>
      </c:valAx>
      <c:valAx>
        <c:axId val="1593176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Energy Use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1747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'Regression-Test'!$L$4</c:f>
              <c:strCache>
                <c:ptCount val="1"/>
                <c:pt idx="0">
                  <c:v>Lighting Loads</c:v>
                </c:pt>
              </c:strCache>
            </c:strRef>
          </c:tx>
          <c:spPr>
            <a:ln w="19050" cap="rnd">
              <a:solidFill>
                <a:srgbClr val="FFC000"/>
              </a:solidFill>
              <a:round/>
            </a:ln>
            <a:effectLst/>
          </c:spPr>
          <c:marker>
            <c:symbol val="circle"/>
            <c:size val="5"/>
            <c:spPr>
              <a:solidFill>
                <a:srgbClr val="FFC000"/>
              </a:solidFill>
              <a:ln w="9525">
                <a:solidFill>
                  <a:schemeClr val="accent1"/>
                </a:solidFill>
              </a:ln>
              <a:effectLst/>
            </c:spPr>
          </c:marker>
          <c:yVal>
            <c:numRef>
              <c:f>'Regression-Test'!$L$5:$L$16</c:f>
              <c:numCache>
                <c:formatCode>0</c:formatCode>
                <c:ptCount val="12"/>
                <c:pt idx="0">
                  <c:v>1178.6516928000001</c:v>
                </c:pt>
                <c:pt idx="1">
                  <c:v>1080.1963008</c:v>
                </c:pt>
                <c:pt idx="2">
                  <c:v>883.28551679999998</c:v>
                </c:pt>
                <c:pt idx="3">
                  <c:v>687.31240320000006</c:v>
                </c:pt>
                <c:pt idx="4">
                  <c:v>540.09815040000001</c:v>
                </c:pt>
                <c:pt idx="5">
                  <c:v>491.33928960000003</c:v>
                </c:pt>
                <c:pt idx="6">
                  <c:v>491.33928960000003</c:v>
                </c:pt>
                <c:pt idx="7">
                  <c:v>491.33928960000003</c:v>
                </c:pt>
                <c:pt idx="8">
                  <c:v>637.61587200000008</c:v>
                </c:pt>
                <c:pt idx="9">
                  <c:v>785.76779520000002</c:v>
                </c:pt>
                <c:pt idx="10">
                  <c:v>981.74090879999994</c:v>
                </c:pt>
                <c:pt idx="11">
                  <c:v>1128.9551615999999</c:v>
                </c:pt>
              </c:numCache>
            </c:numRef>
          </c:yVal>
          <c:smooth val="1"/>
          <c:extLst>
            <c:ext xmlns:c16="http://schemas.microsoft.com/office/drawing/2014/chart" uri="{C3380CC4-5D6E-409C-BE32-E72D297353CC}">
              <c16:uniqueId val="{00000000-CA6A-FD47-AC37-62AE8E97BC01}"/>
            </c:ext>
          </c:extLst>
        </c:ser>
        <c:dLbls>
          <c:showLegendKey val="0"/>
          <c:showVal val="0"/>
          <c:showCatName val="0"/>
          <c:showSerName val="0"/>
          <c:showPercent val="0"/>
          <c:showBubbleSize val="0"/>
        </c:dLbls>
        <c:axId val="87748240"/>
        <c:axId val="87749888"/>
      </c:scatterChart>
      <c:valAx>
        <c:axId val="87748240"/>
        <c:scaling>
          <c:orientation val="minMax"/>
          <c:max val="1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9888"/>
        <c:crosses val="autoZero"/>
        <c:crossBetween val="midCat"/>
      </c:valAx>
      <c:valAx>
        <c:axId val="87749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Lighting Loads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48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Proportion of Heatloss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Proportion of Heatloss</a:t>
          </a:r>
        </a:p>
      </cx:txPr>
    </cx:title>
    <cx:plotArea>
      <cx:plotAreaRegion>
        <cx:series layoutId="treemap" uniqueId="{BF9FD7FB-F220-B044-9639-3ADBFD0BFE3A}" formatIdx="0">
          <cx:dataPt idx="0">
            <cx:spPr>
              <a:effectLst>
                <a:softEdge rad="0"/>
              </a:effectLst>
            </cx:spPr>
          </cx:dataPt>
          <cx:dataPt idx="1"/>
          <cx:dataPt idx="4"/>
          <cx:dataPt idx="10"/>
          <cx:dataLabels pos="inEnd">
            <cx:visibility seriesName="0" categoryName="1" value="0"/>
          </cx:dataLabels>
          <cx:dataId val="0"/>
          <cx:layoutPr>
            <cx:parentLabelLayout val="banner"/>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Proportion of Heatloss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Proportion of Heatloss</a:t>
          </a:r>
        </a:p>
      </cx:txPr>
    </cx:title>
    <cx:plotArea>
      <cx:plotAreaRegion>
        <cx:series layoutId="treemap" uniqueId="{BF9FD7FB-F220-B044-9639-3ADBFD0BFE3A}" formatIdx="0">
          <cx:dataPt idx="0">
            <cx:spPr>
              <a:effectLst>
                <a:softEdge rad="0"/>
              </a:effectLst>
            </cx:spPr>
          </cx:dataPt>
          <cx:dataPt idx="1"/>
          <cx:dataPt idx="4"/>
          <cx:dataPt idx="10"/>
          <cx:dataLabels pos="inEnd">
            <cx:visibility seriesName="0" categoryName="1" value="0"/>
          </cx:dataLabels>
          <cx:dataId val="0"/>
          <cx:layoutPr>
            <cx:parentLabelLayout val="banner"/>
          </cx:layoutPr>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Carbon Distribution by Component &amp; Typology (Pending)</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Helvetica"/>
            </a:rPr>
            <a:t>Carbon Distribution by Component &amp; Typology (Pending)</a:t>
          </a:r>
        </a:p>
      </cx:txPr>
    </cx:title>
    <cx:plotArea>
      <cx:plotAreaRegion>
        <cx:series layoutId="treemap" uniqueId="{BF9FD7FB-F220-B044-9639-3ADBFD0BFE3A}" formatIdx="0">
          <cx:dataLabels pos="inEnd">
            <cx:visibility seriesName="0" categoryName="1" value="0"/>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hyperlink" Target="https://oaa.on.ca/knowledge-and-resources/Climate-Action/teui" TargetMode="External"/><Relationship Id="rId17"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hyperlink" Target="https://openbuilding.ca/product/objective-v3/" TargetMode="External"/><Relationship Id="rId20" Type="http://schemas.openxmlformats.org/officeDocument/2006/relationships/image" Target="../media/image16.png"/><Relationship Id="rId1" Type="http://schemas.microsoft.com/office/2014/relationships/chartEx" Target="../charts/chartEx1.xml"/><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pn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openbuilding.ca/oaa"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hyperlink" Target="https://oaa.on.ca/knowledge-and-resources/Climate-Action/teui" TargetMode="External"/><Relationship Id="rId17" Type="http://schemas.openxmlformats.org/officeDocument/2006/relationships/image" Target="../media/image13.png"/><Relationship Id="rId2" Type="http://schemas.openxmlformats.org/officeDocument/2006/relationships/image" Target="../media/image1.png"/><Relationship Id="rId16" Type="http://schemas.openxmlformats.org/officeDocument/2006/relationships/hyperlink" Target="https://openbuilding.ca/product/objective-v3/" TargetMode="External"/><Relationship Id="rId20" Type="http://schemas.openxmlformats.org/officeDocument/2006/relationships/image" Target="../media/image16.png"/><Relationship Id="rId1" Type="http://schemas.microsoft.com/office/2014/relationships/chartEx" Target="../charts/chartEx2.xml"/><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pn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openbuilding.ca/oaa" TargetMode="External"/></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hyperlink" Target="https://oaa.on.ca/knowledge-and-resources/Climate-Action/teui" TargetMode="Externa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3.png"/><Relationship Id="rId11"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2.png"/><Relationship Id="rId4" Type="http://schemas.openxmlformats.org/officeDocument/2006/relationships/chart" Target="../charts/chart4.xml"/><Relationship Id="rId9" Type="http://schemas.openxmlformats.org/officeDocument/2006/relationships/hyperlink" Target="https://openbuilding.ca/oaa" TargetMode="External"/><Relationship Id="rId1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chart" Target="../charts/chart10.xml"/><Relationship Id="rId6" Type="http://schemas.openxmlformats.org/officeDocument/2006/relationships/hyperlink" Target="https://openbuilding.ca/oaa" TargetMode="External"/><Relationship Id="rId5" Type="http://schemas.openxmlformats.org/officeDocument/2006/relationships/image" Target="../media/image11.png"/><Relationship Id="rId4" Type="http://schemas.openxmlformats.org/officeDocument/2006/relationships/hyperlink" Target="https://oaa.on.ca/knowledge-and-resources/Climate-Action/teui"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18</xdr:col>
      <xdr:colOff>524749</xdr:colOff>
      <xdr:row>84</xdr:row>
      <xdr:rowOff>0</xdr:rowOff>
    </xdr:from>
    <xdr:to>
      <xdr:col>24</xdr:col>
      <xdr:colOff>660400</xdr:colOff>
      <xdr:row>95</xdr:row>
      <xdr:rowOff>163726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7E7063A-F164-C74F-862B-4C2836E95E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096449" y="31813500"/>
              <a:ext cx="3437651" cy="3656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274412</xdr:colOff>
      <xdr:row>25</xdr:row>
      <xdr:rowOff>74840</xdr:rowOff>
    </xdr:from>
    <xdr:to>
      <xdr:col>1</xdr:col>
      <xdr:colOff>559898</xdr:colOff>
      <xdr:row>25</xdr:row>
      <xdr:rowOff>582838</xdr:rowOff>
    </xdr:to>
    <xdr:pic>
      <xdr:nvPicPr>
        <xdr:cNvPr id="6" name="Picture 5">
          <a:extLst>
            <a:ext uri="{FF2B5EF4-FFF2-40B4-BE49-F238E27FC236}">
              <a16:creationId xmlns:a16="http://schemas.microsoft.com/office/drawing/2014/main" id="{E26DFA07-172F-3DAD-4FE3-A82FAF8B3C1E}"/>
            </a:ext>
          </a:extLst>
        </xdr:cNvPr>
        <xdr:cNvPicPr>
          <a:picLocks noChangeAspect="1"/>
        </xdr:cNvPicPr>
      </xdr:nvPicPr>
      <xdr:blipFill>
        <a:blip xmlns:r="http://schemas.openxmlformats.org/officeDocument/2006/relationships" r:embed="rId2">
          <a:alphaModFix/>
        </a:blip>
        <a:stretch>
          <a:fillRect/>
        </a:stretch>
      </xdr:blipFill>
      <xdr:spPr>
        <a:xfrm>
          <a:off x="782412" y="6583590"/>
          <a:ext cx="285486" cy="507998"/>
        </a:xfrm>
        <a:prstGeom prst="rect">
          <a:avLst/>
        </a:prstGeom>
        <a:noFill/>
        <a:ln>
          <a:noFill/>
        </a:ln>
      </xdr:spPr>
    </xdr:pic>
    <xdr:clientData/>
  </xdr:twoCellAnchor>
  <xdr:twoCellAnchor editAs="oneCell">
    <xdr:from>
      <xdr:col>1</xdr:col>
      <xdr:colOff>140103</xdr:colOff>
      <xdr:row>111</xdr:row>
      <xdr:rowOff>0</xdr:rowOff>
    </xdr:from>
    <xdr:to>
      <xdr:col>1</xdr:col>
      <xdr:colOff>702532</xdr:colOff>
      <xdr:row>112</xdr:row>
      <xdr:rowOff>56695</xdr:rowOff>
    </xdr:to>
    <xdr:pic>
      <xdr:nvPicPr>
        <xdr:cNvPr id="7" name="Picture 6">
          <a:extLst>
            <a:ext uri="{FF2B5EF4-FFF2-40B4-BE49-F238E27FC236}">
              <a16:creationId xmlns:a16="http://schemas.microsoft.com/office/drawing/2014/main" id="{F3028A1F-EC38-0286-4610-7D5CA44926F9}"/>
            </a:ext>
          </a:extLst>
        </xdr:cNvPr>
        <xdr:cNvPicPr>
          <a:picLocks noChangeAspect="1"/>
        </xdr:cNvPicPr>
      </xdr:nvPicPr>
      <xdr:blipFill>
        <a:blip xmlns:r="http://schemas.openxmlformats.org/officeDocument/2006/relationships" r:embed="rId3"/>
        <a:stretch>
          <a:fillRect/>
        </a:stretch>
      </xdr:blipFill>
      <xdr:spPr>
        <a:xfrm>
          <a:off x="648103" y="41416111"/>
          <a:ext cx="562429" cy="564695"/>
        </a:xfrm>
        <a:prstGeom prst="rect">
          <a:avLst/>
        </a:prstGeom>
      </xdr:spPr>
    </xdr:pic>
    <xdr:clientData/>
  </xdr:twoCellAnchor>
  <xdr:twoCellAnchor editAs="oneCell">
    <xdr:from>
      <xdr:col>1</xdr:col>
      <xdr:colOff>136074</xdr:colOff>
      <xdr:row>54</xdr:row>
      <xdr:rowOff>111124</xdr:rowOff>
    </xdr:from>
    <xdr:to>
      <xdr:col>1</xdr:col>
      <xdr:colOff>752930</xdr:colOff>
      <xdr:row>54</xdr:row>
      <xdr:rowOff>486378</xdr:rowOff>
    </xdr:to>
    <xdr:pic>
      <xdr:nvPicPr>
        <xdr:cNvPr id="8" name="Picture 7">
          <a:extLst>
            <a:ext uri="{FF2B5EF4-FFF2-40B4-BE49-F238E27FC236}">
              <a16:creationId xmlns:a16="http://schemas.microsoft.com/office/drawing/2014/main" id="{10127DA8-EFA5-0D4F-99C1-BB9DD62A9E15}"/>
            </a:ext>
          </a:extLst>
        </xdr:cNvPr>
        <xdr:cNvPicPr>
          <a:picLocks noChangeAspect="1"/>
        </xdr:cNvPicPr>
      </xdr:nvPicPr>
      <xdr:blipFill>
        <a:blip xmlns:r="http://schemas.openxmlformats.org/officeDocument/2006/relationships" r:embed="rId4"/>
        <a:stretch>
          <a:fillRect/>
        </a:stretch>
      </xdr:blipFill>
      <xdr:spPr>
        <a:xfrm>
          <a:off x="644074" y="20827999"/>
          <a:ext cx="616856" cy="375254"/>
        </a:xfrm>
        <a:prstGeom prst="rect">
          <a:avLst/>
        </a:prstGeom>
      </xdr:spPr>
    </xdr:pic>
    <xdr:clientData/>
  </xdr:twoCellAnchor>
  <xdr:twoCellAnchor editAs="oneCell">
    <xdr:from>
      <xdr:col>1</xdr:col>
      <xdr:colOff>131535</xdr:colOff>
      <xdr:row>83</xdr:row>
      <xdr:rowOff>49895</xdr:rowOff>
    </xdr:from>
    <xdr:to>
      <xdr:col>1</xdr:col>
      <xdr:colOff>698452</xdr:colOff>
      <xdr:row>83</xdr:row>
      <xdr:rowOff>566097</xdr:rowOff>
    </xdr:to>
    <xdr:pic>
      <xdr:nvPicPr>
        <xdr:cNvPr id="9" name="Picture 8">
          <a:extLst>
            <a:ext uri="{FF2B5EF4-FFF2-40B4-BE49-F238E27FC236}">
              <a16:creationId xmlns:a16="http://schemas.microsoft.com/office/drawing/2014/main" id="{8C5127FF-0789-C526-4105-41E2ABEEF70C}"/>
            </a:ext>
          </a:extLst>
        </xdr:cNvPr>
        <xdr:cNvPicPr>
          <a:picLocks noChangeAspect="1"/>
        </xdr:cNvPicPr>
      </xdr:nvPicPr>
      <xdr:blipFill>
        <a:blip xmlns:r="http://schemas.openxmlformats.org/officeDocument/2006/relationships" r:embed="rId5"/>
        <a:stretch>
          <a:fillRect/>
        </a:stretch>
      </xdr:blipFill>
      <xdr:spPr>
        <a:xfrm>
          <a:off x="639535" y="11352895"/>
          <a:ext cx="566917" cy="516202"/>
        </a:xfrm>
        <a:prstGeom prst="rect">
          <a:avLst/>
        </a:prstGeom>
      </xdr:spPr>
    </xdr:pic>
    <xdr:clientData/>
  </xdr:twoCellAnchor>
  <xdr:twoCellAnchor editAs="oneCell">
    <xdr:from>
      <xdr:col>1</xdr:col>
      <xdr:colOff>0</xdr:colOff>
      <xdr:row>47</xdr:row>
      <xdr:rowOff>120650</xdr:rowOff>
    </xdr:from>
    <xdr:to>
      <xdr:col>1</xdr:col>
      <xdr:colOff>780142</xdr:colOff>
      <xdr:row>47</xdr:row>
      <xdr:rowOff>402013</xdr:rowOff>
    </xdr:to>
    <xdr:pic>
      <xdr:nvPicPr>
        <xdr:cNvPr id="11" name="Picture 10">
          <a:extLst>
            <a:ext uri="{FF2B5EF4-FFF2-40B4-BE49-F238E27FC236}">
              <a16:creationId xmlns:a16="http://schemas.microsoft.com/office/drawing/2014/main" id="{194844F1-D58F-0A79-821F-618593DB8882}"/>
            </a:ext>
          </a:extLst>
        </xdr:cNvPr>
        <xdr:cNvPicPr>
          <a:picLocks noChangeAspect="1"/>
        </xdr:cNvPicPr>
      </xdr:nvPicPr>
      <xdr:blipFill>
        <a:blip xmlns:r="http://schemas.openxmlformats.org/officeDocument/2006/relationships" r:embed="rId6"/>
        <a:stretch>
          <a:fillRect/>
        </a:stretch>
      </xdr:blipFill>
      <xdr:spPr>
        <a:xfrm>
          <a:off x="508000" y="18107025"/>
          <a:ext cx="780142" cy="281363"/>
        </a:xfrm>
        <a:prstGeom prst="rect">
          <a:avLst/>
        </a:prstGeom>
      </xdr:spPr>
    </xdr:pic>
    <xdr:clientData/>
  </xdr:twoCellAnchor>
  <xdr:twoCellAnchor editAs="oneCell">
    <xdr:from>
      <xdr:col>1</xdr:col>
      <xdr:colOff>151946</xdr:colOff>
      <xdr:row>41</xdr:row>
      <xdr:rowOff>9073</xdr:rowOff>
    </xdr:from>
    <xdr:to>
      <xdr:col>1</xdr:col>
      <xdr:colOff>696232</xdr:colOff>
      <xdr:row>42</xdr:row>
      <xdr:rowOff>45359</xdr:rowOff>
    </xdr:to>
    <xdr:pic>
      <xdr:nvPicPr>
        <xdr:cNvPr id="14" name="Picture 13">
          <a:extLst>
            <a:ext uri="{FF2B5EF4-FFF2-40B4-BE49-F238E27FC236}">
              <a16:creationId xmlns:a16="http://schemas.microsoft.com/office/drawing/2014/main" id="{BC2877F1-E146-396E-E20C-CDFA8D512D24}"/>
            </a:ext>
          </a:extLst>
        </xdr:cNvPr>
        <xdr:cNvPicPr>
          <a:picLocks noChangeAspect="1"/>
        </xdr:cNvPicPr>
      </xdr:nvPicPr>
      <xdr:blipFill>
        <a:blip xmlns:r="http://schemas.openxmlformats.org/officeDocument/2006/relationships" r:embed="rId7"/>
        <a:stretch>
          <a:fillRect/>
        </a:stretch>
      </xdr:blipFill>
      <xdr:spPr>
        <a:xfrm>
          <a:off x="659946" y="15677698"/>
          <a:ext cx="544286" cy="544286"/>
        </a:xfrm>
        <a:prstGeom prst="rect">
          <a:avLst/>
        </a:prstGeom>
      </xdr:spPr>
    </xdr:pic>
    <xdr:clientData/>
  </xdr:twoCellAnchor>
  <xdr:twoCellAnchor editAs="oneCell">
    <xdr:from>
      <xdr:col>1</xdr:col>
      <xdr:colOff>317501</xdr:colOff>
      <xdr:row>16</xdr:row>
      <xdr:rowOff>603250</xdr:rowOff>
    </xdr:from>
    <xdr:to>
      <xdr:col>1</xdr:col>
      <xdr:colOff>535215</xdr:colOff>
      <xdr:row>18</xdr:row>
      <xdr:rowOff>68860</xdr:rowOff>
    </xdr:to>
    <xdr:pic>
      <xdr:nvPicPr>
        <xdr:cNvPr id="15" name="Picture 14">
          <a:extLst>
            <a:ext uri="{FF2B5EF4-FFF2-40B4-BE49-F238E27FC236}">
              <a16:creationId xmlns:a16="http://schemas.microsoft.com/office/drawing/2014/main" id="{1EA3E0E7-5BE6-6F63-4F0C-A18C7D763D2B}"/>
            </a:ext>
          </a:extLst>
        </xdr:cNvPr>
        <xdr:cNvPicPr>
          <a:picLocks noChangeAspect="1"/>
        </xdr:cNvPicPr>
      </xdr:nvPicPr>
      <xdr:blipFill>
        <a:blip xmlns:r="http://schemas.openxmlformats.org/officeDocument/2006/relationships" r:embed="rId8"/>
        <a:stretch>
          <a:fillRect/>
        </a:stretch>
      </xdr:blipFill>
      <xdr:spPr>
        <a:xfrm>
          <a:off x="825501" y="6794500"/>
          <a:ext cx="217714" cy="608610"/>
        </a:xfrm>
        <a:prstGeom prst="rect">
          <a:avLst/>
        </a:prstGeom>
      </xdr:spPr>
    </xdr:pic>
    <xdr:clientData/>
  </xdr:twoCellAnchor>
  <xdr:twoCellAnchor editAs="oneCell">
    <xdr:from>
      <xdr:col>1</xdr:col>
      <xdr:colOff>170089</xdr:colOff>
      <xdr:row>99</xdr:row>
      <xdr:rowOff>47625</xdr:rowOff>
    </xdr:from>
    <xdr:to>
      <xdr:col>1</xdr:col>
      <xdr:colOff>696232</xdr:colOff>
      <xdr:row>99</xdr:row>
      <xdr:rowOff>576036</xdr:rowOff>
    </xdr:to>
    <xdr:pic>
      <xdr:nvPicPr>
        <xdr:cNvPr id="16" name="Picture 15">
          <a:extLst>
            <a:ext uri="{FF2B5EF4-FFF2-40B4-BE49-F238E27FC236}">
              <a16:creationId xmlns:a16="http://schemas.microsoft.com/office/drawing/2014/main" id="{7CCD701C-DF41-3730-33D9-86AEE312578B}"/>
            </a:ext>
          </a:extLst>
        </xdr:cNvPr>
        <xdr:cNvPicPr>
          <a:picLocks noChangeAspect="1"/>
        </xdr:cNvPicPr>
      </xdr:nvPicPr>
      <xdr:blipFill>
        <a:blip xmlns:r="http://schemas.openxmlformats.org/officeDocument/2006/relationships" r:embed="rId9"/>
        <a:stretch>
          <a:fillRect/>
        </a:stretch>
      </xdr:blipFill>
      <xdr:spPr>
        <a:xfrm>
          <a:off x="678089" y="32972375"/>
          <a:ext cx="526143" cy="528411"/>
        </a:xfrm>
        <a:prstGeom prst="rect">
          <a:avLst/>
        </a:prstGeom>
      </xdr:spPr>
    </xdr:pic>
    <xdr:clientData/>
  </xdr:twoCellAnchor>
  <xdr:twoCellAnchor editAs="oneCell">
    <xdr:from>
      <xdr:col>1</xdr:col>
      <xdr:colOff>163287</xdr:colOff>
      <xdr:row>133</xdr:row>
      <xdr:rowOff>69849</xdr:rowOff>
    </xdr:from>
    <xdr:to>
      <xdr:col>1</xdr:col>
      <xdr:colOff>635001</xdr:colOff>
      <xdr:row>133</xdr:row>
      <xdr:rowOff>482600</xdr:rowOff>
    </xdr:to>
    <xdr:pic>
      <xdr:nvPicPr>
        <xdr:cNvPr id="17" name="Picture 16">
          <a:extLst>
            <a:ext uri="{FF2B5EF4-FFF2-40B4-BE49-F238E27FC236}">
              <a16:creationId xmlns:a16="http://schemas.microsoft.com/office/drawing/2014/main" id="{BDD4C39D-4500-9440-B7EC-054C6F9DCAD5}"/>
            </a:ext>
          </a:extLst>
        </xdr:cNvPr>
        <xdr:cNvPicPr>
          <a:picLocks noChangeAspect="1"/>
        </xdr:cNvPicPr>
      </xdr:nvPicPr>
      <xdr:blipFill>
        <a:blip xmlns:r="http://schemas.openxmlformats.org/officeDocument/2006/relationships" r:embed="rId10"/>
        <a:stretch>
          <a:fillRect/>
        </a:stretch>
      </xdr:blipFill>
      <xdr:spPr>
        <a:xfrm>
          <a:off x="671287" y="48996599"/>
          <a:ext cx="471714" cy="412751"/>
        </a:xfrm>
        <a:prstGeom prst="rect">
          <a:avLst/>
        </a:prstGeom>
      </xdr:spPr>
    </xdr:pic>
    <xdr:clientData/>
  </xdr:twoCellAnchor>
  <xdr:twoCellAnchor editAs="oneCell">
    <xdr:from>
      <xdr:col>1</xdr:col>
      <xdr:colOff>133803</xdr:colOff>
      <xdr:row>36</xdr:row>
      <xdr:rowOff>47625</xdr:rowOff>
    </xdr:from>
    <xdr:to>
      <xdr:col>1</xdr:col>
      <xdr:colOff>759731</xdr:colOff>
      <xdr:row>36</xdr:row>
      <xdr:rowOff>464910</xdr:rowOff>
    </xdr:to>
    <xdr:pic>
      <xdr:nvPicPr>
        <xdr:cNvPr id="12" name="Picture 11">
          <a:extLst>
            <a:ext uri="{FF2B5EF4-FFF2-40B4-BE49-F238E27FC236}">
              <a16:creationId xmlns:a16="http://schemas.microsoft.com/office/drawing/2014/main" id="{B8AF8FD9-8711-F34C-C684-2691275F5461}"/>
            </a:ext>
          </a:extLst>
        </xdr:cNvPr>
        <xdr:cNvPicPr>
          <a:picLocks noChangeAspect="1"/>
        </xdr:cNvPicPr>
      </xdr:nvPicPr>
      <xdr:blipFill>
        <a:blip xmlns:r="http://schemas.openxmlformats.org/officeDocument/2006/relationships" r:embed="rId11"/>
        <a:stretch>
          <a:fillRect/>
        </a:stretch>
      </xdr:blipFill>
      <xdr:spPr>
        <a:xfrm>
          <a:off x="641803" y="13620750"/>
          <a:ext cx="625928" cy="417285"/>
        </a:xfrm>
        <a:prstGeom prst="rect">
          <a:avLst/>
        </a:prstGeom>
      </xdr:spPr>
    </xdr:pic>
    <xdr:clientData/>
  </xdr:twoCellAnchor>
  <xdr:twoCellAnchor editAs="oneCell">
    <xdr:from>
      <xdr:col>11</xdr:col>
      <xdr:colOff>22931</xdr:colOff>
      <xdr:row>145</xdr:row>
      <xdr:rowOff>241652</xdr:rowOff>
    </xdr:from>
    <xdr:to>
      <xdr:col>13</xdr:col>
      <xdr:colOff>116064</xdr:colOff>
      <xdr:row>147</xdr:row>
      <xdr:rowOff>763448</xdr:rowOff>
    </xdr:to>
    <xdr:pic>
      <xdr:nvPicPr>
        <xdr:cNvPr id="22" name="Picture 21">
          <a:hlinkClick xmlns:r="http://schemas.openxmlformats.org/officeDocument/2006/relationships" r:id="rId12"/>
          <a:extLst>
            <a:ext uri="{FF2B5EF4-FFF2-40B4-BE49-F238E27FC236}">
              <a16:creationId xmlns:a16="http://schemas.microsoft.com/office/drawing/2014/main" id="{6C5BA134-87FD-334E-9A80-4EB29DA1F23A}"/>
            </a:ext>
          </a:extLst>
        </xdr:cNvPr>
        <xdr:cNvPicPr>
          <a:picLocks noChangeAspect="1"/>
        </xdr:cNvPicPr>
      </xdr:nvPicPr>
      <xdr:blipFill>
        <a:blip xmlns:r="http://schemas.openxmlformats.org/officeDocument/2006/relationships" r:embed="rId13"/>
        <a:stretch>
          <a:fillRect/>
        </a:stretch>
      </xdr:blipFill>
      <xdr:spPr>
        <a:xfrm>
          <a:off x="18104556" y="49422402"/>
          <a:ext cx="2887133" cy="1029796"/>
        </a:xfrm>
        <a:prstGeom prst="rect">
          <a:avLst/>
        </a:prstGeom>
      </xdr:spPr>
    </xdr:pic>
    <xdr:clientData/>
  </xdr:twoCellAnchor>
  <xdr:oneCellAnchor>
    <xdr:from>
      <xdr:col>8</xdr:col>
      <xdr:colOff>183447</xdr:colOff>
      <xdr:row>145</xdr:row>
      <xdr:rowOff>167569</xdr:rowOff>
    </xdr:from>
    <xdr:ext cx="1114778" cy="1114778"/>
    <xdr:pic>
      <xdr:nvPicPr>
        <xdr:cNvPr id="3" name="Picture 2">
          <a:hlinkClick xmlns:r="http://schemas.openxmlformats.org/officeDocument/2006/relationships" r:id="rId14"/>
          <a:extLst>
            <a:ext uri="{FF2B5EF4-FFF2-40B4-BE49-F238E27FC236}">
              <a16:creationId xmlns:a16="http://schemas.microsoft.com/office/drawing/2014/main" id="{7914ECF9-AC25-3A42-BE8A-09A5C04434E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851822" y="49348319"/>
          <a:ext cx="1114778" cy="1114778"/>
        </a:xfrm>
        <a:prstGeom prst="rect">
          <a:avLst/>
        </a:prstGeom>
      </xdr:spPr>
    </xdr:pic>
    <xdr:clientData/>
  </xdr:oneCellAnchor>
  <xdr:twoCellAnchor editAs="oneCell">
    <xdr:from>
      <xdr:col>1</xdr:col>
      <xdr:colOff>36284</xdr:colOff>
      <xdr:row>1</xdr:row>
      <xdr:rowOff>102405</xdr:rowOff>
    </xdr:from>
    <xdr:to>
      <xdr:col>2</xdr:col>
      <xdr:colOff>4237867</xdr:colOff>
      <xdr:row>2</xdr:row>
      <xdr:rowOff>729342</xdr:rowOff>
    </xdr:to>
    <xdr:pic>
      <xdr:nvPicPr>
        <xdr:cNvPr id="18" name="Picture 17">
          <a:hlinkClick xmlns:r="http://schemas.openxmlformats.org/officeDocument/2006/relationships" r:id="rId16"/>
          <a:extLst>
            <a:ext uri="{FF2B5EF4-FFF2-40B4-BE49-F238E27FC236}">
              <a16:creationId xmlns:a16="http://schemas.microsoft.com/office/drawing/2014/main" id="{0C3F1C7A-BF9E-0923-7C27-FACBAF00DCAB}"/>
            </a:ext>
          </a:extLst>
        </xdr:cNvPr>
        <xdr:cNvPicPr>
          <a:picLocks noChangeAspect="1"/>
        </xdr:cNvPicPr>
      </xdr:nvPicPr>
      <xdr:blipFill>
        <a:blip xmlns:r="http://schemas.openxmlformats.org/officeDocument/2006/relationships" r:embed="rId17"/>
        <a:stretch>
          <a:fillRect/>
        </a:stretch>
      </xdr:blipFill>
      <xdr:spPr>
        <a:xfrm>
          <a:off x="544284" y="404030"/>
          <a:ext cx="5217583" cy="912687"/>
        </a:xfrm>
        <a:prstGeom prst="rect">
          <a:avLst/>
        </a:prstGeom>
      </xdr:spPr>
    </xdr:pic>
    <xdr:clientData/>
  </xdr:twoCellAnchor>
  <xdr:twoCellAnchor editAs="oneCell">
    <xdr:from>
      <xdr:col>1</xdr:col>
      <xdr:colOff>111125</xdr:colOff>
      <xdr:row>10</xdr:row>
      <xdr:rowOff>59972</xdr:rowOff>
    </xdr:from>
    <xdr:to>
      <xdr:col>1</xdr:col>
      <xdr:colOff>698500</xdr:colOff>
      <xdr:row>10</xdr:row>
      <xdr:rowOff>435892</xdr:rowOff>
    </xdr:to>
    <xdr:pic>
      <xdr:nvPicPr>
        <xdr:cNvPr id="20" name="Picture 19">
          <a:extLst>
            <a:ext uri="{FF2B5EF4-FFF2-40B4-BE49-F238E27FC236}">
              <a16:creationId xmlns:a16="http://schemas.microsoft.com/office/drawing/2014/main" id="{F018C71E-2ED9-F34E-B107-7EFD43537BC1}"/>
            </a:ext>
          </a:extLst>
        </xdr:cNvPr>
        <xdr:cNvPicPr>
          <a:picLocks noChangeAspect="1"/>
        </xdr:cNvPicPr>
      </xdr:nvPicPr>
      <xdr:blipFill>
        <a:blip xmlns:r="http://schemas.openxmlformats.org/officeDocument/2006/relationships" r:embed="rId18"/>
        <a:stretch>
          <a:fillRect/>
        </a:stretch>
      </xdr:blipFill>
      <xdr:spPr>
        <a:xfrm>
          <a:off x="619125" y="4219222"/>
          <a:ext cx="587375" cy="375920"/>
        </a:xfrm>
        <a:prstGeom prst="rect">
          <a:avLst/>
        </a:prstGeom>
      </xdr:spPr>
    </xdr:pic>
    <xdr:clientData/>
  </xdr:twoCellAnchor>
  <xdr:twoCellAnchor editAs="oneCell">
    <xdr:from>
      <xdr:col>1</xdr:col>
      <xdr:colOff>158750</xdr:colOff>
      <xdr:row>124</xdr:row>
      <xdr:rowOff>219075</xdr:rowOff>
    </xdr:from>
    <xdr:to>
      <xdr:col>1</xdr:col>
      <xdr:colOff>669505</xdr:colOff>
      <xdr:row>125</xdr:row>
      <xdr:rowOff>454025</xdr:rowOff>
    </xdr:to>
    <xdr:pic>
      <xdr:nvPicPr>
        <xdr:cNvPr id="10" name="Picture 9">
          <a:extLst>
            <a:ext uri="{FF2B5EF4-FFF2-40B4-BE49-F238E27FC236}">
              <a16:creationId xmlns:a16="http://schemas.microsoft.com/office/drawing/2014/main" id="{5C19A44F-FE69-8825-B446-7EEE89649A8F}"/>
            </a:ext>
          </a:extLst>
        </xdr:cNvPr>
        <xdr:cNvPicPr>
          <a:picLocks noChangeAspect="1"/>
        </xdr:cNvPicPr>
      </xdr:nvPicPr>
      <xdr:blipFill>
        <a:blip xmlns:r="http://schemas.openxmlformats.org/officeDocument/2006/relationships" r:embed="rId19"/>
        <a:stretch>
          <a:fillRect/>
        </a:stretch>
      </xdr:blipFill>
      <xdr:spPr>
        <a:xfrm>
          <a:off x="666750" y="46129575"/>
          <a:ext cx="510755" cy="552450"/>
        </a:xfrm>
        <a:prstGeom prst="rect">
          <a:avLst/>
        </a:prstGeom>
      </xdr:spPr>
    </xdr:pic>
    <xdr:clientData/>
  </xdr:twoCellAnchor>
  <xdr:twoCellAnchor editAs="oneCell">
    <xdr:from>
      <xdr:col>1</xdr:col>
      <xdr:colOff>29482</xdr:colOff>
      <xdr:row>61</xdr:row>
      <xdr:rowOff>49893</xdr:rowOff>
    </xdr:from>
    <xdr:to>
      <xdr:col>1</xdr:col>
      <xdr:colOff>785813</xdr:colOff>
      <xdr:row>61</xdr:row>
      <xdr:rowOff>571500</xdr:rowOff>
    </xdr:to>
    <xdr:pic>
      <xdr:nvPicPr>
        <xdr:cNvPr id="13" name="Picture 12">
          <a:extLst>
            <a:ext uri="{FF2B5EF4-FFF2-40B4-BE49-F238E27FC236}">
              <a16:creationId xmlns:a16="http://schemas.microsoft.com/office/drawing/2014/main" id="{1B17495E-1F61-5144-AC05-5BECD6433634}"/>
            </a:ext>
          </a:extLst>
        </xdr:cNvPr>
        <xdr:cNvPicPr>
          <a:picLocks noChangeAspect="1"/>
        </xdr:cNvPicPr>
      </xdr:nvPicPr>
      <xdr:blipFill>
        <a:blip xmlns:r="http://schemas.openxmlformats.org/officeDocument/2006/relationships" r:embed="rId20"/>
        <a:stretch>
          <a:fillRect/>
        </a:stretch>
      </xdr:blipFill>
      <xdr:spPr>
        <a:xfrm>
          <a:off x="537482" y="23227393"/>
          <a:ext cx="756331" cy="521607"/>
        </a:xfrm>
        <a:prstGeom prst="rect">
          <a:avLst/>
        </a:prstGeom>
      </xdr:spPr>
    </xdr:pic>
    <xdr:clientData/>
  </xdr:twoCellAnchor>
  <xdr:twoCellAnchor editAs="oneCell">
    <xdr:from>
      <xdr:col>1</xdr:col>
      <xdr:colOff>72572</xdr:colOff>
      <xdr:row>70</xdr:row>
      <xdr:rowOff>625929</xdr:rowOff>
    </xdr:from>
    <xdr:to>
      <xdr:col>1</xdr:col>
      <xdr:colOff>762001</xdr:colOff>
      <xdr:row>72</xdr:row>
      <xdr:rowOff>34019</xdr:rowOff>
    </xdr:to>
    <xdr:pic>
      <xdr:nvPicPr>
        <xdr:cNvPr id="19" name="Picture 18">
          <a:extLst>
            <a:ext uri="{FF2B5EF4-FFF2-40B4-BE49-F238E27FC236}">
              <a16:creationId xmlns:a16="http://schemas.microsoft.com/office/drawing/2014/main" id="{748F81F8-AD2F-F74A-B6E2-7EE55070F286}"/>
            </a:ext>
          </a:extLst>
        </xdr:cNvPr>
        <xdr:cNvPicPr>
          <a:picLocks noChangeAspect="1"/>
        </xdr:cNvPicPr>
      </xdr:nvPicPr>
      <xdr:blipFill>
        <a:blip xmlns:r="http://schemas.openxmlformats.org/officeDocument/2006/relationships" r:embed="rId7"/>
        <a:stretch>
          <a:fillRect/>
        </a:stretch>
      </xdr:blipFill>
      <xdr:spPr>
        <a:xfrm>
          <a:off x="580572" y="24279679"/>
          <a:ext cx="689429" cy="6780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524749</xdr:colOff>
      <xdr:row>84</xdr:row>
      <xdr:rowOff>0</xdr:rowOff>
    </xdr:from>
    <xdr:to>
      <xdr:col>24</xdr:col>
      <xdr:colOff>660400</xdr:colOff>
      <xdr:row>95</xdr:row>
      <xdr:rowOff>163726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17A9EA6-56C3-CB44-9B97-E0F6C98ACD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626549" y="31877000"/>
              <a:ext cx="4059951" cy="3656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274412</xdr:colOff>
      <xdr:row>25</xdr:row>
      <xdr:rowOff>74840</xdr:rowOff>
    </xdr:from>
    <xdr:to>
      <xdr:col>1</xdr:col>
      <xdr:colOff>559898</xdr:colOff>
      <xdr:row>25</xdr:row>
      <xdr:rowOff>582838</xdr:rowOff>
    </xdr:to>
    <xdr:pic>
      <xdr:nvPicPr>
        <xdr:cNvPr id="4" name="Picture 3">
          <a:extLst>
            <a:ext uri="{FF2B5EF4-FFF2-40B4-BE49-F238E27FC236}">
              <a16:creationId xmlns:a16="http://schemas.microsoft.com/office/drawing/2014/main" id="{746925BD-5500-9244-BA22-8D8ED607B3E5}"/>
            </a:ext>
          </a:extLst>
        </xdr:cNvPr>
        <xdr:cNvPicPr>
          <a:picLocks noChangeAspect="1"/>
        </xdr:cNvPicPr>
      </xdr:nvPicPr>
      <xdr:blipFill>
        <a:blip xmlns:r="http://schemas.openxmlformats.org/officeDocument/2006/relationships" r:embed="rId2">
          <a:alphaModFix/>
          <a:duotone>
            <a:schemeClr val="accent2">
              <a:shade val="45000"/>
              <a:satMod val="135000"/>
            </a:schemeClr>
            <a:prstClr val="white"/>
          </a:duotone>
        </a:blip>
        <a:stretch>
          <a:fillRect/>
        </a:stretch>
      </xdr:blipFill>
      <xdr:spPr>
        <a:xfrm>
          <a:off x="782412" y="6577240"/>
          <a:ext cx="285486" cy="507998"/>
        </a:xfrm>
        <a:prstGeom prst="rect">
          <a:avLst/>
        </a:prstGeom>
        <a:noFill/>
        <a:ln>
          <a:noFill/>
        </a:ln>
      </xdr:spPr>
    </xdr:pic>
    <xdr:clientData/>
  </xdr:twoCellAnchor>
  <xdr:twoCellAnchor editAs="oneCell">
    <xdr:from>
      <xdr:col>1</xdr:col>
      <xdr:colOff>122464</xdr:colOff>
      <xdr:row>110</xdr:row>
      <xdr:rowOff>301626</xdr:rowOff>
    </xdr:from>
    <xdr:to>
      <xdr:col>1</xdr:col>
      <xdr:colOff>684893</xdr:colOff>
      <xdr:row>112</xdr:row>
      <xdr:rowOff>33765</xdr:rowOff>
    </xdr:to>
    <xdr:pic>
      <xdr:nvPicPr>
        <xdr:cNvPr id="5" name="Picture 4">
          <a:extLst>
            <a:ext uri="{FF2B5EF4-FFF2-40B4-BE49-F238E27FC236}">
              <a16:creationId xmlns:a16="http://schemas.microsoft.com/office/drawing/2014/main" id="{3BB4126C-62C6-1A40-A71A-689CD823CC08}"/>
            </a:ext>
          </a:extLst>
        </xdr:cNvPr>
        <xdr:cNvPicPr>
          <a:picLocks noChangeAspect="1"/>
        </xdr:cNvPicPr>
      </xdr:nvPicPr>
      <xdr:blipFill>
        <a:blip xmlns:r="http://schemas.openxmlformats.org/officeDocument/2006/relationships" r:embed="rId3">
          <a:duotone>
            <a:schemeClr val="accent2">
              <a:shade val="45000"/>
              <a:satMod val="135000"/>
            </a:schemeClr>
            <a:prstClr val="white"/>
          </a:duotone>
        </a:blip>
        <a:stretch>
          <a:fillRect/>
        </a:stretch>
      </xdr:blipFill>
      <xdr:spPr>
        <a:xfrm>
          <a:off x="630464" y="41449626"/>
          <a:ext cx="562429" cy="564695"/>
        </a:xfrm>
        <a:prstGeom prst="rect">
          <a:avLst/>
        </a:prstGeom>
      </xdr:spPr>
    </xdr:pic>
    <xdr:clientData/>
  </xdr:twoCellAnchor>
  <xdr:twoCellAnchor editAs="oneCell">
    <xdr:from>
      <xdr:col>1</xdr:col>
      <xdr:colOff>136074</xdr:colOff>
      <xdr:row>54</xdr:row>
      <xdr:rowOff>79374</xdr:rowOff>
    </xdr:from>
    <xdr:to>
      <xdr:col>1</xdr:col>
      <xdr:colOff>752930</xdr:colOff>
      <xdr:row>54</xdr:row>
      <xdr:rowOff>454628</xdr:rowOff>
    </xdr:to>
    <xdr:pic>
      <xdr:nvPicPr>
        <xdr:cNvPr id="6" name="Picture 5">
          <a:extLst>
            <a:ext uri="{FF2B5EF4-FFF2-40B4-BE49-F238E27FC236}">
              <a16:creationId xmlns:a16="http://schemas.microsoft.com/office/drawing/2014/main" id="{EFD2D9A5-2F2C-0142-9A83-E5D7D57C1A43}"/>
            </a:ext>
          </a:extLst>
        </xdr:cNvPr>
        <xdr:cNvPicPr>
          <a:picLocks noChangeAspect="1"/>
        </xdr:cNvPicPr>
      </xdr:nvPicPr>
      <xdr:blipFill>
        <a:blip xmlns:r="http://schemas.openxmlformats.org/officeDocument/2006/relationships" r:embed="rId4">
          <a:duotone>
            <a:schemeClr val="accent2">
              <a:shade val="45000"/>
              <a:satMod val="135000"/>
            </a:schemeClr>
            <a:prstClr val="white"/>
          </a:duotone>
        </a:blip>
        <a:stretch>
          <a:fillRect/>
        </a:stretch>
      </xdr:blipFill>
      <xdr:spPr>
        <a:xfrm>
          <a:off x="644074" y="20859749"/>
          <a:ext cx="616856" cy="375254"/>
        </a:xfrm>
        <a:prstGeom prst="rect">
          <a:avLst/>
        </a:prstGeom>
      </xdr:spPr>
    </xdr:pic>
    <xdr:clientData/>
  </xdr:twoCellAnchor>
  <xdr:twoCellAnchor editAs="oneCell">
    <xdr:from>
      <xdr:col>1</xdr:col>
      <xdr:colOff>147410</xdr:colOff>
      <xdr:row>83</xdr:row>
      <xdr:rowOff>49895</xdr:rowOff>
    </xdr:from>
    <xdr:to>
      <xdr:col>1</xdr:col>
      <xdr:colOff>714327</xdr:colOff>
      <xdr:row>83</xdr:row>
      <xdr:rowOff>566097</xdr:rowOff>
    </xdr:to>
    <xdr:pic>
      <xdr:nvPicPr>
        <xdr:cNvPr id="7" name="Picture 6">
          <a:extLst>
            <a:ext uri="{FF2B5EF4-FFF2-40B4-BE49-F238E27FC236}">
              <a16:creationId xmlns:a16="http://schemas.microsoft.com/office/drawing/2014/main" id="{65661B04-2F8C-7044-BB18-93F0C3461CD9}"/>
            </a:ext>
          </a:extLst>
        </xdr:cNvPr>
        <xdr:cNvPicPr>
          <a:picLocks noChangeAspect="1"/>
        </xdr:cNvPicPr>
      </xdr:nvPicPr>
      <xdr:blipFill>
        <a:blip xmlns:r="http://schemas.openxmlformats.org/officeDocument/2006/relationships" r:embed="rId5">
          <a:duotone>
            <a:schemeClr val="accent2">
              <a:shade val="45000"/>
              <a:satMod val="135000"/>
            </a:schemeClr>
            <a:prstClr val="white"/>
          </a:duotone>
        </a:blip>
        <a:stretch>
          <a:fillRect/>
        </a:stretch>
      </xdr:blipFill>
      <xdr:spPr>
        <a:xfrm>
          <a:off x="655410" y="28078795"/>
          <a:ext cx="566917" cy="516202"/>
        </a:xfrm>
        <a:prstGeom prst="rect">
          <a:avLst/>
        </a:prstGeom>
      </xdr:spPr>
    </xdr:pic>
    <xdr:clientData/>
  </xdr:twoCellAnchor>
  <xdr:twoCellAnchor editAs="oneCell">
    <xdr:from>
      <xdr:col>1</xdr:col>
      <xdr:colOff>0</xdr:colOff>
      <xdr:row>47</xdr:row>
      <xdr:rowOff>120650</xdr:rowOff>
    </xdr:from>
    <xdr:to>
      <xdr:col>1</xdr:col>
      <xdr:colOff>780142</xdr:colOff>
      <xdr:row>47</xdr:row>
      <xdr:rowOff>402013</xdr:rowOff>
    </xdr:to>
    <xdr:pic>
      <xdr:nvPicPr>
        <xdr:cNvPr id="8" name="Picture 7">
          <a:extLst>
            <a:ext uri="{FF2B5EF4-FFF2-40B4-BE49-F238E27FC236}">
              <a16:creationId xmlns:a16="http://schemas.microsoft.com/office/drawing/2014/main" id="{BAE66B44-FB94-874F-87C9-0F465DE5172F}"/>
            </a:ext>
          </a:extLst>
        </xdr:cNvPr>
        <xdr:cNvPicPr>
          <a:picLocks noChangeAspect="1"/>
        </xdr:cNvPicPr>
      </xdr:nvPicPr>
      <xdr:blipFill>
        <a:blip xmlns:r="http://schemas.openxmlformats.org/officeDocument/2006/relationships" r:embed="rId6">
          <a:duotone>
            <a:schemeClr val="accent2">
              <a:shade val="45000"/>
              <a:satMod val="135000"/>
            </a:schemeClr>
            <a:prstClr val="white"/>
          </a:duotone>
        </a:blip>
        <a:stretch>
          <a:fillRect/>
        </a:stretch>
      </xdr:blipFill>
      <xdr:spPr>
        <a:xfrm>
          <a:off x="508000" y="18170525"/>
          <a:ext cx="780142" cy="281363"/>
        </a:xfrm>
        <a:prstGeom prst="rect">
          <a:avLst/>
        </a:prstGeom>
      </xdr:spPr>
    </xdr:pic>
    <xdr:clientData/>
  </xdr:twoCellAnchor>
  <xdr:twoCellAnchor editAs="oneCell">
    <xdr:from>
      <xdr:col>1</xdr:col>
      <xdr:colOff>151946</xdr:colOff>
      <xdr:row>40</xdr:row>
      <xdr:rowOff>596448</xdr:rowOff>
    </xdr:from>
    <xdr:to>
      <xdr:col>1</xdr:col>
      <xdr:colOff>696232</xdr:colOff>
      <xdr:row>41</xdr:row>
      <xdr:rowOff>505734</xdr:rowOff>
    </xdr:to>
    <xdr:pic>
      <xdr:nvPicPr>
        <xdr:cNvPr id="9" name="Picture 8">
          <a:extLst>
            <a:ext uri="{FF2B5EF4-FFF2-40B4-BE49-F238E27FC236}">
              <a16:creationId xmlns:a16="http://schemas.microsoft.com/office/drawing/2014/main" id="{63D7E40D-33BB-D341-BA97-E9CABFD5D08E}"/>
            </a:ext>
          </a:extLst>
        </xdr:cNvPr>
        <xdr:cNvPicPr>
          <a:picLocks noChangeAspect="1"/>
        </xdr:cNvPicPr>
      </xdr:nvPicPr>
      <xdr:blipFill>
        <a:blip xmlns:r="http://schemas.openxmlformats.org/officeDocument/2006/relationships" r:embed="rId7">
          <a:duotone>
            <a:schemeClr val="accent2">
              <a:shade val="45000"/>
              <a:satMod val="135000"/>
            </a:schemeClr>
            <a:prstClr val="white"/>
          </a:duotone>
        </a:blip>
        <a:stretch>
          <a:fillRect/>
        </a:stretch>
      </xdr:blipFill>
      <xdr:spPr>
        <a:xfrm>
          <a:off x="659946" y="15439573"/>
          <a:ext cx="544286" cy="544286"/>
        </a:xfrm>
        <a:prstGeom prst="rect">
          <a:avLst/>
        </a:prstGeom>
      </xdr:spPr>
    </xdr:pic>
    <xdr:clientData/>
  </xdr:twoCellAnchor>
  <xdr:twoCellAnchor editAs="oneCell">
    <xdr:from>
      <xdr:col>1</xdr:col>
      <xdr:colOff>317501</xdr:colOff>
      <xdr:row>16</xdr:row>
      <xdr:rowOff>587375</xdr:rowOff>
    </xdr:from>
    <xdr:to>
      <xdr:col>1</xdr:col>
      <xdr:colOff>535215</xdr:colOff>
      <xdr:row>18</xdr:row>
      <xdr:rowOff>52985</xdr:rowOff>
    </xdr:to>
    <xdr:pic>
      <xdr:nvPicPr>
        <xdr:cNvPr id="10" name="Picture 9">
          <a:extLst>
            <a:ext uri="{FF2B5EF4-FFF2-40B4-BE49-F238E27FC236}">
              <a16:creationId xmlns:a16="http://schemas.microsoft.com/office/drawing/2014/main" id="{EED2446F-C3CA-6147-8007-A633018C7392}"/>
            </a:ext>
          </a:extLst>
        </xdr:cNvPr>
        <xdr:cNvPicPr>
          <a:picLocks noChangeAspect="1"/>
        </xdr:cNvPicPr>
      </xdr:nvPicPr>
      <xdr:blipFill>
        <a:blip xmlns:r="http://schemas.openxmlformats.org/officeDocument/2006/relationships" r:embed="rId8">
          <a:duotone>
            <a:schemeClr val="accent2">
              <a:shade val="45000"/>
              <a:satMod val="135000"/>
            </a:schemeClr>
            <a:prstClr val="white"/>
          </a:duotone>
        </a:blip>
        <a:stretch>
          <a:fillRect/>
        </a:stretch>
      </xdr:blipFill>
      <xdr:spPr>
        <a:xfrm>
          <a:off x="825501" y="6778625"/>
          <a:ext cx="217714" cy="608610"/>
        </a:xfrm>
        <a:prstGeom prst="rect">
          <a:avLst/>
        </a:prstGeom>
      </xdr:spPr>
    </xdr:pic>
    <xdr:clientData/>
  </xdr:twoCellAnchor>
  <xdr:twoCellAnchor editAs="oneCell">
    <xdr:from>
      <xdr:col>1</xdr:col>
      <xdr:colOff>170089</xdr:colOff>
      <xdr:row>99</xdr:row>
      <xdr:rowOff>47625</xdr:rowOff>
    </xdr:from>
    <xdr:to>
      <xdr:col>1</xdr:col>
      <xdr:colOff>696232</xdr:colOff>
      <xdr:row>99</xdr:row>
      <xdr:rowOff>576036</xdr:rowOff>
    </xdr:to>
    <xdr:pic>
      <xdr:nvPicPr>
        <xdr:cNvPr id="11" name="Picture 10">
          <a:extLst>
            <a:ext uri="{FF2B5EF4-FFF2-40B4-BE49-F238E27FC236}">
              <a16:creationId xmlns:a16="http://schemas.microsoft.com/office/drawing/2014/main" id="{DD6A9EB2-61BF-4F43-BB0E-55150C774B3A}"/>
            </a:ext>
          </a:extLst>
        </xdr:cNvPr>
        <xdr:cNvPicPr>
          <a:picLocks noChangeAspect="1"/>
        </xdr:cNvPicPr>
      </xdr:nvPicPr>
      <xdr:blipFill>
        <a:blip xmlns:r="http://schemas.openxmlformats.org/officeDocument/2006/relationships" r:embed="rId9">
          <a:duotone>
            <a:schemeClr val="accent2">
              <a:shade val="45000"/>
              <a:satMod val="135000"/>
            </a:schemeClr>
            <a:prstClr val="white"/>
          </a:duotone>
        </a:blip>
        <a:stretch>
          <a:fillRect/>
        </a:stretch>
      </xdr:blipFill>
      <xdr:spPr>
        <a:xfrm>
          <a:off x="678089" y="33156525"/>
          <a:ext cx="526143" cy="528411"/>
        </a:xfrm>
        <a:prstGeom prst="rect">
          <a:avLst/>
        </a:prstGeom>
      </xdr:spPr>
    </xdr:pic>
    <xdr:clientData/>
  </xdr:twoCellAnchor>
  <xdr:twoCellAnchor editAs="oneCell">
    <xdr:from>
      <xdr:col>1</xdr:col>
      <xdr:colOff>163287</xdr:colOff>
      <xdr:row>133</xdr:row>
      <xdr:rowOff>50799</xdr:rowOff>
    </xdr:from>
    <xdr:to>
      <xdr:col>1</xdr:col>
      <xdr:colOff>635001</xdr:colOff>
      <xdr:row>133</xdr:row>
      <xdr:rowOff>478429</xdr:rowOff>
    </xdr:to>
    <xdr:pic>
      <xdr:nvPicPr>
        <xdr:cNvPr id="12" name="Picture 11">
          <a:extLst>
            <a:ext uri="{FF2B5EF4-FFF2-40B4-BE49-F238E27FC236}">
              <a16:creationId xmlns:a16="http://schemas.microsoft.com/office/drawing/2014/main" id="{07E75EE0-612B-7741-A294-C334AD26102B}"/>
            </a:ext>
          </a:extLst>
        </xdr:cNvPr>
        <xdr:cNvPicPr>
          <a:picLocks noChangeAspect="1"/>
        </xdr:cNvPicPr>
      </xdr:nvPicPr>
      <xdr:blipFill>
        <a:blip xmlns:r="http://schemas.openxmlformats.org/officeDocument/2006/relationships" r:embed="rId10">
          <a:duotone>
            <a:schemeClr val="accent2">
              <a:shade val="45000"/>
              <a:satMod val="135000"/>
            </a:schemeClr>
            <a:prstClr val="white"/>
          </a:duotone>
        </a:blip>
        <a:stretch>
          <a:fillRect/>
        </a:stretch>
      </xdr:blipFill>
      <xdr:spPr>
        <a:xfrm>
          <a:off x="671287" y="49310924"/>
          <a:ext cx="471714" cy="427630"/>
        </a:xfrm>
        <a:prstGeom prst="rect">
          <a:avLst/>
        </a:prstGeom>
      </xdr:spPr>
    </xdr:pic>
    <xdr:clientData/>
  </xdr:twoCellAnchor>
  <xdr:twoCellAnchor editAs="oneCell">
    <xdr:from>
      <xdr:col>1</xdr:col>
      <xdr:colOff>133803</xdr:colOff>
      <xdr:row>36</xdr:row>
      <xdr:rowOff>47625</xdr:rowOff>
    </xdr:from>
    <xdr:to>
      <xdr:col>1</xdr:col>
      <xdr:colOff>759731</xdr:colOff>
      <xdr:row>36</xdr:row>
      <xdr:rowOff>464910</xdr:rowOff>
    </xdr:to>
    <xdr:pic>
      <xdr:nvPicPr>
        <xdr:cNvPr id="13" name="Picture 12">
          <a:extLst>
            <a:ext uri="{FF2B5EF4-FFF2-40B4-BE49-F238E27FC236}">
              <a16:creationId xmlns:a16="http://schemas.microsoft.com/office/drawing/2014/main" id="{85531337-8143-F84D-87FB-D49050B3857F}"/>
            </a:ext>
          </a:extLst>
        </xdr:cNvPr>
        <xdr:cNvPicPr>
          <a:picLocks noChangeAspect="1"/>
        </xdr:cNvPicPr>
      </xdr:nvPicPr>
      <xdr:blipFill>
        <a:blip xmlns:r="http://schemas.openxmlformats.org/officeDocument/2006/relationships" r:embed="rId11">
          <a:duotone>
            <a:schemeClr val="accent2">
              <a:shade val="45000"/>
              <a:satMod val="135000"/>
            </a:schemeClr>
            <a:prstClr val="white"/>
          </a:duotone>
        </a:blip>
        <a:stretch>
          <a:fillRect/>
        </a:stretch>
      </xdr:blipFill>
      <xdr:spPr>
        <a:xfrm>
          <a:off x="641803" y="13620750"/>
          <a:ext cx="625928" cy="417285"/>
        </a:xfrm>
        <a:prstGeom prst="rect">
          <a:avLst/>
        </a:prstGeom>
      </xdr:spPr>
    </xdr:pic>
    <xdr:clientData/>
  </xdr:twoCellAnchor>
  <xdr:twoCellAnchor editAs="oneCell">
    <xdr:from>
      <xdr:col>11</xdr:col>
      <xdr:colOff>22931</xdr:colOff>
      <xdr:row>145</xdr:row>
      <xdr:rowOff>241652</xdr:rowOff>
    </xdr:from>
    <xdr:to>
      <xdr:col>13</xdr:col>
      <xdr:colOff>116064</xdr:colOff>
      <xdr:row>147</xdr:row>
      <xdr:rowOff>763448</xdr:rowOff>
    </xdr:to>
    <xdr:pic>
      <xdr:nvPicPr>
        <xdr:cNvPr id="14" name="Picture 13">
          <a:hlinkClick xmlns:r="http://schemas.openxmlformats.org/officeDocument/2006/relationships" r:id="rId12"/>
          <a:extLst>
            <a:ext uri="{FF2B5EF4-FFF2-40B4-BE49-F238E27FC236}">
              <a16:creationId xmlns:a16="http://schemas.microsoft.com/office/drawing/2014/main" id="{4E12BE23-F0EC-C94B-9623-E2F6F7FEDAAF}"/>
            </a:ext>
          </a:extLst>
        </xdr:cNvPr>
        <xdr:cNvPicPr>
          <a:picLocks noChangeAspect="1"/>
        </xdr:cNvPicPr>
      </xdr:nvPicPr>
      <xdr:blipFill>
        <a:blip xmlns:r="http://schemas.openxmlformats.org/officeDocument/2006/relationships" r:embed="rId13"/>
        <a:stretch>
          <a:fillRect/>
        </a:stretch>
      </xdr:blipFill>
      <xdr:spPr>
        <a:xfrm>
          <a:off x="18104556" y="49406527"/>
          <a:ext cx="2887133" cy="1029796"/>
        </a:xfrm>
        <a:prstGeom prst="rect">
          <a:avLst/>
        </a:prstGeom>
      </xdr:spPr>
    </xdr:pic>
    <xdr:clientData/>
  </xdr:twoCellAnchor>
  <xdr:oneCellAnchor>
    <xdr:from>
      <xdr:col>8</xdr:col>
      <xdr:colOff>183447</xdr:colOff>
      <xdr:row>145</xdr:row>
      <xdr:rowOff>167569</xdr:rowOff>
    </xdr:from>
    <xdr:ext cx="1114778" cy="1114778"/>
    <xdr:pic>
      <xdr:nvPicPr>
        <xdr:cNvPr id="15" name="Picture 14">
          <a:hlinkClick xmlns:r="http://schemas.openxmlformats.org/officeDocument/2006/relationships" r:id="rId14"/>
          <a:extLst>
            <a:ext uri="{FF2B5EF4-FFF2-40B4-BE49-F238E27FC236}">
              <a16:creationId xmlns:a16="http://schemas.microsoft.com/office/drawing/2014/main" id="{58ABC523-34D8-804C-9EEA-0839868BEC9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851822" y="49332444"/>
          <a:ext cx="1114778" cy="1114778"/>
        </a:xfrm>
        <a:prstGeom prst="rect">
          <a:avLst/>
        </a:prstGeom>
      </xdr:spPr>
    </xdr:pic>
    <xdr:clientData/>
  </xdr:oneCellAnchor>
  <xdr:twoCellAnchor editAs="oneCell">
    <xdr:from>
      <xdr:col>1</xdr:col>
      <xdr:colOff>36284</xdr:colOff>
      <xdr:row>1</xdr:row>
      <xdr:rowOff>102405</xdr:rowOff>
    </xdr:from>
    <xdr:to>
      <xdr:col>2</xdr:col>
      <xdr:colOff>4237867</xdr:colOff>
      <xdr:row>2</xdr:row>
      <xdr:rowOff>729342</xdr:rowOff>
    </xdr:to>
    <xdr:pic>
      <xdr:nvPicPr>
        <xdr:cNvPr id="16" name="Picture 15">
          <a:hlinkClick xmlns:r="http://schemas.openxmlformats.org/officeDocument/2006/relationships" r:id="rId16"/>
          <a:extLst>
            <a:ext uri="{FF2B5EF4-FFF2-40B4-BE49-F238E27FC236}">
              <a16:creationId xmlns:a16="http://schemas.microsoft.com/office/drawing/2014/main" id="{9BBD9EDB-87FB-3E45-8DA3-58C98AF8ACD5}"/>
            </a:ext>
          </a:extLst>
        </xdr:cNvPr>
        <xdr:cNvPicPr>
          <a:picLocks noChangeAspect="1"/>
        </xdr:cNvPicPr>
      </xdr:nvPicPr>
      <xdr:blipFill>
        <a:blip xmlns:r="http://schemas.openxmlformats.org/officeDocument/2006/relationships" r:embed="rId17">
          <a:duotone>
            <a:schemeClr val="accent2">
              <a:shade val="45000"/>
              <a:satMod val="135000"/>
            </a:schemeClr>
            <a:prstClr val="white"/>
          </a:duotone>
        </a:blip>
        <a:stretch>
          <a:fillRect/>
        </a:stretch>
      </xdr:blipFill>
      <xdr:spPr>
        <a:xfrm>
          <a:off x="544284" y="356405"/>
          <a:ext cx="5211233" cy="906337"/>
        </a:xfrm>
        <a:prstGeom prst="rect">
          <a:avLst/>
        </a:prstGeom>
      </xdr:spPr>
    </xdr:pic>
    <xdr:clientData/>
  </xdr:twoCellAnchor>
  <xdr:twoCellAnchor editAs="oneCell">
    <xdr:from>
      <xdr:col>1</xdr:col>
      <xdr:colOff>111125</xdr:colOff>
      <xdr:row>10</xdr:row>
      <xdr:rowOff>59972</xdr:rowOff>
    </xdr:from>
    <xdr:to>
      <xdr:col>1</xdr:col>
      <xdr:colOff>698500</xdr:colOff>
      <xdr:row>10</xdr:row>
      <xdr:rowOff>435892</xdr:rowOff>
    </xdr:to>
    <xdr:pic>
      <xdr:nvPicPr>
        <xdr:cNvPr id="17" name="Picture 16">
          <a:extLst>
            <a:ext uri="{FF2B5EF4-FFF2-40B4-BE49-F238E27FC236}">
              <a16:creationId xmlns:a16="http://schemas.microsoft.com/office/drawing/2014/main" id="{82A1959F-D1A0-6246-8813-FF33C11055A8}"/>
            </a:ext>
          </a:extLst>
        </xdr:cNvPr>
        <xdr:cNvPicPr>
          <a:picLocks noChangeAspect="1"/>
        </xdr:cNvPicPr>
      </xdr:nvPicPr>
      <xdr:blipFill>
        <a:blip xmlns:r="http://schemas.openxmlformats.org/officeDocument/2006/relationships" r:embed="rId18">
          <a:duotone>
            <a:schemeClr val="accent2">
              <a:shade val="45000"/>
              <a:satMod val="135000"/>
            </a:schemeClr>
            <a:prstClr val="white"/>
          </a:duotone>
        </a:blip>
        <a:stretch>
          <a:fillRect/>
        </a:stretch>
      </xdr:blipFill>
      <xdr:spPr>
        <a:xfrm>
          <a:off x="619125" y="4200172"/>
          <a:ext cx="587375" cy="375920"/>
        </a:xfrm>
        <a:prstGeom prst="rect">
          <a:avLst/>
        </a:prstGeom>
      </xdr:spPr>
    </xdr:pic>
    <xdr:clientData/>
  </xdr:twoCellAnchor>
  <xdr:twoCellAnchor editAs="oneCell">
    <xdr:from>
      <xdr:col>1</xdr:col>
      <xdr:colOff>142875</xdr:colOff>
      <xdr:row>124</xdr:row>
      <xdr:rowOff>298450</xdr:rowOff>
    </xdr:from>
    <xdr:to>
      <xdr:col>1</xdr:col>
      <xdr:colOff>653630</xdr:colOff>
      <xdr:row>126</xdr:row>
      <xdr:rowOff>18597</xdr:rowOff>
    </xdr:to>
    <xdr:pic>
      <xdr:nvPicPr>
        <xdr:cNvPr id="18" name="Picture 17">
          <a:extLst>
            <a:ext uri="{FF2B5EF4-FFF2-40B4-BE49-F238E27FC236}">
              <a16:creationId xmlns:a16="http://schemas.microsoft.com/office/drawing/2014/main" id="{A28D633A-4BC8-0445-9FAA-EFA23499F87C}"/>
            </a:ext>
          </a:extLst>
        </xdr:cNvPr>
        <xdr:cNvPicPr>
          <a:picLocks noChangeAspect="1"/>
        </xdr:cNvPicPr>
      </xdr:nvPicPr>
      <xdr:blipFill>
        <a:blip xmlns:r="http://schemas.openxmlformats.org/officeDocument/2006/relationships" r:embed="rId19">
          <a:duotone>
            <a:schemeClr val="accent2">
              <a:shade val="45000"/>
              <a:satMod val="135000"/>
            </a:schemeClr>
            <a:prstClr val="white"/>
          </a:duotone>
        </a:blip>
        <a:stretch>
          <a:fillRect/>
        </a:stretch>
      </xdr:blipFill>
      <xdr:spPr>
        <a:xfrm>
          <a:off x="650875" y="46399450"/>
          <a:ext cx="510755" cy="545647"/>
        </a:xfrm>
        <a:prstGeom prst="rect">
          <a:avLst/>
        </a:prstGeom>
      </xdr:spPr>
    </xdr:pic>
    <xdr:clientData/>
  </xdr:twoCellAnchor>
  <xdr:twoCellAnchor editAs="oneCell">
    <xdr:from>
      <xdr:col>1</xdr:col>
      <xdr:colOff>13607</xdr:colOff>
      <xdr:row>61</xdr:row>
      <xdr:rowOff>34018</xdr:rowOff>
    </xdr:from>
    <xdr:to>
      <xdr:col>1</xdr:col>
      <xdr:colOff>839107</xdr:colOff>
      <xdr:row>61</xdr:row>
      <xdr:rowOff>603328</xdr:rowOff>
    </xdr:to>
    <xdr:pic>
      <xdr:nvPicPr>
        <xdr:cNvPr id="19" name="Picture 18">
          <a:extLst>
            <a:ext uri="{FF2B5EF4-FFF2-40B4-BE49-F238E27FC236}">
              <a16:creationId xmlns:a16="http://schemas.microsoft.com/office/drawing/2014/main" id="{6708D5F6-5FE3-974A-9466-F182B7E28937}"/>
            </a:ext>
          </a:extLst>
        </xdr:cNvPr>
        <xdr:cNvPicPr>
          <a:picLocks noChangeAspect="1"/>
        </xdr:cNvPicPr>
      </xdr:nvPicPr>
      <xdr:blipFill>
        <a:blip xmlns:r="http://schemas.openxmlformats.org/officeDocument/2006/relationships" r:embed="rId20">
          <a:duotone>
            <a:schemeClr val="accent2">
              <a:shade val="45000"/>
              <a:satMod val="135000"/>
            </a:schemeClr>
            <a:prstClr val="white"/>
          </a:duotone>
        </a:blip>
        <a:stretch>
          <a:fillRect/>
        </a:stretch>
      </xdr:blipFill>
      <xdr:spPr>
        <a:xfrm>
          <a:off x="521607" y="23275018"/>
          <a:ext cx="825500" cy="569310"/>
        </a:xfrm>
        <a:prstGeom prst="rect">
          <a:avLst/>
        </a:prstGeom>
      </xdr:spPr>
    </xdr:pic>
    <xdr:clientData/>
  </xdr:twoCellAnchor>
  <xdr:twoCellAnchor editAs="oneCell">
    <xdr:from>
      <xdr:col>1</xdr:col>
      <xdr:colOff>72572</xdr:colOff>
      <xdr:row>70</xdr:row>
      <xdr:rowOff>625929</xdr:rowOff>
    </xdr:from>
    <xdr:to>
      <xdr:col>1</xdr:col>
      <xdr:colOff>762001</xdr:colOff>
      <xdr:row>72</xdr:row>
      <xdr:rowOff>34019</xdr:rowOff>
    </xdr:to>
    <xdr:pic>
      <xdr:nvPicPr>
        <xdr:cNvPr id="20" name="Picture 19">
          <a:extLst>
            <a:ext uri="{FF2B5EF4-FFF2-40B4-BE49-F238E27FC236}">
              <a16:creationId xmlns:a16="http://schemas.microsoft.com/office/drawing/2014/main" id="{F6DCBA65-961E-8245-908F-C97DB283767A}"/>
            </a:ext>
          </a:extLst>
        </xdr:cNvPr>
        <xdr:cNvPicPr>
          <a:picLocks noChangeAspect="1"/>
        </xdr:cNvPicPr>
      </xdr:nvPicPr>
      <xdr:blipFill>
        <a:blip xmlns:r="http://schemas.openxmlformats.org/officeDocument/2006/relationships" r:embed="rId7">
          <a:duotone>
            <a:schemeClr val="accent2">
              <a:shade val="45000"/>
              <a:satMod val="135000"/>
            </a:schemeClr>
            <a:prstClr val="white"/>
          </a:duotone>
        </a:blip>
        <a:stretch>
          <a:fillRect/>
        </a:stretch>
      </xdr:blipFill>
      <xdr:spPr>
        <a:xfrm>
          <a:off x="580572" y="27041929"/>
          <a:ext cx="689429" cy="6780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66790</xdr:colOff>
      <xdr:row>28</xdr:row>
      <xdr:rowOff>664741</xdr:rowOff>
    </xdr:from>
    <xdr:to>
      <xdr:col>6</xdr:col>
      <xdr:colOff>4650785</xdr:colOff>
      <xdr:row>42</xdr:row>
      <xdr:rowOff>809883</xdr:rowOff>
    </xdr:to>
    <xdr:graphicFrame macro="">
      <xdr:nvGraphicFramePr>
        <xdr:cNvPr id="7" name="Chart 6">
          <a:extLst>
            <a:ext uri="{FF2B5EF4-FFF2-40B4-BE49-F238E27FC236}">
              <a16:creationId xmlns:a16="http://schemas.microsoft.com/office/drawing/2014/main" id="{C25130AB-3827-3087-7B40-3AC9C91090B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144842</xdr:colOff>
      <xdr:row>2</xdr:row>
      <xdr:rowOff>284689</xdr:rowOff>
    </xdr:from>
    <xdr:to>
      <xdr:col>13</xdr:col>
      <xdr:colOff>50499</xdr:colOff>
      <xdr:row>25</xdr:row>
      <xdr:rowOff>208489</xdr:rowOff>
    </xdr:to>
    <xdr:graphicFrame macro="">
      <xdr:nvGraphicFramePr>
        <xdr:cNvPr id="9" name="Chart 8">
          <a:extLst>
            <a:ext uri="{FF2B5EF4-FFF2-40B4-BE49-F238E27FC236}">
              <a16:creationId xmlns:a16="http://schemas.microsoft.com/office/drawing/2014/main" id="{B3ECA373-EF88-ED28-8FEE-2CB13DB42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188890</xdr:colOff>
      <xdr:row>43</xdr:row>
      <xdr:rowOff>126999</xdr:rowOff>
    </xdr:from>
    <xdr:to>
      <xdr:col>6</xdr:col>
      <xdr:colOff>4762918</xdr:colOff>
      <xdr:row>67</xdr:row>
      <xdr:rowOff>224970</xdr:rowOff>
    </xdr:to>
    <xdr:graphicFrame macro="">
      <xdr:nvGraphicFramePr>
        <xdr:cNvPr id="2" name="Chart 1">
          <a:extLst>
            <a:ext uri="{FF2B5EF4-FFF2-40B4-BE49-F238E27FC236}">
              <a16:creationId xmlns:a16="http://schemas.microsoft.com/office/drawing/2014/main" id="{5D7C9D10-1C6A-D949-D660-02D0DBF9F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64866</xdr:colOff>
      <xdr:row>2</xdr:row>
      <xdr:rowOff>326074</xdr:rowOff>
    </xdr:from>
    <xdr:to>
      <xdr:col>6</xdr:col>
      <xdr:colOff>4636866</xdr:colOff>
      <xdr:row>26</xdr:row>
      <xdr:rowOff>206331</xdr:rowOff>
    </xdr:to>
    <xdr:graphicFrame macro="">
      <xdr:nvGraphicFramePr>
        <xdr:cNvPr id="5" name="Chart 4">
          <a:extLst>
            <a:ext uri="{FF2B5EF4-FFF2-40B4-BE49-F238E27FC236}">
              <a16:creationId xmlns:a16="http://schemas.microsoft.com/office/drawing/2014/main" id="{AE317D7C-6468-43DC-213E-0FBF6B6DE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6</xdr:col>
      <xdr:colOff>3759507</xdr:colOff>
      <xdr:row>28</xdr:row>
      <xdr:rowOff>658950</xdr:rowOff>
    </xdr:from>
    <xdr:to>
      <xdr:col>8</xdr:col>
      <xdr:colOff>679304</xdr:colOff>
      <xdr:row>42</xdr:row>
      <xdr:rowOff>804092</xdr:rowOff>
    </xdr:to>
    <xdr:graphicFrame macro="">
      <xdr:nvGraphicFramePr>
        <xdr:cNvPr id="10" name="Chart 9">
          <a:extLst>
            <a:ext uri="{FF2B5EF4-FFF2-40B4-BE49-F238E27FC236}">
              <a16:creationId xmlns:a16="http://schemas.microsoft.com/office/drawing/2014/main" id="{B7A0F3D6-0BDA-8651-00D4-0CE48ED2FF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217714</xdr:colOff>
      <xdr:row>1</xdr:row>
      <xdr:rowOff>169332</xdr:rowOff>
    </xdr:from>
    <xdr:to>
      <xdr:col>8</xdr:col>
      <xdr:colOff>798286</xdr:colOff>
      <xdr:row>88</xdr:row>
      <xdr:rowOff>108857</xdr:rowOff>
    </xdr:to>
    <xdr:sp macro="" textlink="">
      <xdr:nvSpPr>
        <xdr:cNvPr id="4" name="Rectangle">
          <a:extLst>
            <a:ext uri="{FF2B5EF4-FFF2-40B4-BE49-F238E27FC236}">
              <a16:creationId xmlns:a16="http://schemas.microsoft.com/office/drawing/2014/main" id="{F91683E2-CE7A-684F-A510-71D5C58902D5}"/>
            </a:ext>
          </a:extLst>
        </xdr:cNvPr>
        <xdr:cNvSpPr/>
      </xdr:nvSpPr>
      <xdr:spPr>
        <a:xfrm>
          <a:off x="217714" y="169332"/>
          <a:ext cx="17108715" cy="26627668"/>
        </a:xfrm>
        <a:prstGeom prst="rect">
          <a:avLst/>
        </a:prstGeom>
        <a:noFill/>
        <a:ln w="12700" cap="flat">
          <a:solidFill>
            <a:srgbClr val="000000"/>
          </a:solidFill>
          <a:prstDash val="solid"/>
          <a:round/>
        </a:ln>
        <a:effectLst/>
      </xdr:spPr>
      <xdr:txBody>
        <a:bodyPr/>
        <a:lstStyle/>
        <a:p>
          <a:endParaRPr>
            <a:latin typeface="Arial" panose="020B0604020202020204" pitchFamily="34" charset="0"/>
            <a:cs typeface="Arial" panose="020B0604020202020204" pitchFamily="34" charset="0"/>
          </a:endParaRPr>
        </a:p>
      </xdr:txBody>
    </xdr:sp>
    <xdr:clientData/>
  </xdr:twoCellAnchor>
  <xdr:twoCellAnchor editAs="oneCell">
    <xdr:from>
      <xdr:col>2</xdr:col>
      <xdr:colOff>14111</xdr:colOff>
      <xdr:row>1</xdr:row>
      <xdr:rowOff>479778</xdr:rowOff>
    </xdr:from>
    <xdr:to>
      <xdr:col>4</xdr:col>
      <xdr:colOff>951492</xdr:colOff>
      <xdr:row>1</xdr:row>
      <xdr:rowOff>1378858</xdr:rowOff>
    </xdr:to>
    <xdr:pic>
      <xdr:nvPicPr>
        <xdr:cNvPr id="8" name="Picture 7">
          <a:extLst>
            <a:ext uri="{FF2B5EF4-FFF2-40B4-BE49-F238E27FC236}">
              <a16:creationId xmlns:a16="http://schemas.microsoft.com/office/drawing/2014/main" id="{4D9850F8-9E3A-7249-A45F-76708958208D}"/>
            </a:ext>
          </a:extLst>
        </xdr:cNvPr>
        <xdr:cNvPicPr>
          <a:picLocks noChangeAspect="1"/>
        </xdr:cNvPicPr>
      </xdr:nvPicPr>
      <xdr:blipFill>
        <a:blip xmlns:r="http://schemas.openxmlformats.org/officeDocument/2006/relationships" r:embed="rId6"/>
        <a:stretch>
          <a:fillRect/>
        </a:stretch>
      </xdr:blipFill>
      <xdr:spPr>
        <a:xfrm>
          <a:off x="1001889" y="620889"/>
          <a:ext cx="5213047" cy="899080"/>
        </a:xfrm>
        <a:prstGeom prst="rect">
          <a:avLst/>
        </a:prstGeom>
      </xdr:spPr>
    </xdr:pic>
    <xdr:clientData/>
  </xdr:twoCellAnchor>
  <xdr:twoCellAnchor editAs="oneCell">
    <xdr:from>
      <xdr:col>2</xdr:col>
      <xdr:colOff>2132792</xdr:colOff>
      <xdr:row>77</xdr:row>
      <xdr:rowOff>98778</xdr:rowOff>
    </xdr:from>
    <xdr:to>
      <xdr:col>4</xdr:col>
      <xdr:colOff>771473</xdr:colOff>
      <xdr:row>85</xdr:row>
      <xdr:rowOff>15560</xdr:rowOff>
    </xdr:to>
    <xdr:pic>
      <xdr:nvPicPr>
        <xdr:cNvPr id="13" name="Picture 12">
          <a:hlinkClick xmlns:r="http://schemas.openxmlformats.org/officeDocument/2006/relationships" r:id="rId7"/>
          <a:extLst>
            <a:ext uri="{FF2B5EF4-FFF2-40B4-BE49-F238E27FC236}">
              <a16:creationId xmlns:a16="http://schemas.microsoft.com/office/drawing/2014/main" id="{6A749DEA-7D51-5A4D-995F-72CE4C0F8A8B}"/>
            </a:ext>
          </a:extLst>
        </xdr:cNvPr>
        <xdr:cNvPicPr>
          <a:picLocks noChangeAspect="1"/>
        </xdr:cNvPicPr>
      </xdr:nvPicPr>
      <xdr:blipFill>
        <a:blip xmlns:r="http://schemas.openxmlformats.org/officeDocument/2006/relationships" r:embed="rId8"/>
        <a:stretch>
          <a:fillRect/>
        </a:stretch>
      </xdr:blipFill>
      <xdr:spPr>
        <a:xfrm>
          <a:off x="3120570" y="25442334"/>
          <a:ext cx="2914347" cy="1045671"/>
        </a:xfrm>
        <a:prstGeom prst="rect">
          <a:avLst/>
        </a:prstGeom>
      </xdr:spPr>
    </xdr:pic>
    <xdr:clientData/>
  </xdr:twoCellAnchor>
  <xdr:oneCellAnchor>
    <xdr:from>
      <xdr:col>1</xdr:col>
      <xdr:colOff>733777</xdr:colOff>
      <xdr:row>77</xdr:row>
      <xdr:rowOff>14112</xdr:rowOff>
    </xdr:from>
    <xdr:ext cx="1157111" cy="1157111"/>
    <xdr:pic>
      <xdr:nvPicPr>
        <xdr:cNvPr id="15" name="Picture 14">
          <a:hlinkClick xmlns:r="http://schemas.openxmlformats.org/officeDocument/2006/relationships" r:id="rId9"/>
          <a:extLst>
            <a:ext uri="{FF2B5EF4-FFF2-40B4-BE49-F238E27FC236}">
              <a16:creationId xmlns:a16="http://schemas.microsoft.com/office/drawing/2014/main" id="{8639504C-F685-E24B-A1F7-2F89B771E8B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7777" y="25357668"/>
          <a:ext cx="1157111" cy="1157111"/>
        </a:xfrm>
        <a:prstGeom prst="rect">
          <a:avLst/>
        </a:prstGeom>
      </xdr:spPr>
    </xdr:pic>
    <xdr:clientData/>
  </xdr:oneCellAnchor>
  <xdr:twoCellAnchor editAs="absolute">
    <xdr:from>
      <xdr:col>6</xdr:col>
      <xdr:colOff>3759291</xdr:colOff>
      <xdr:row>2</xdr:row>
      <xdr:rowOff>326074</xdr:rowOff>
    </xdr:from>
    <xdr:to>
      <xdr:col>8</xdr:col>
      <xdr:colOff>675005</xdr:colOff>
      <xdr:row>26</xdr:row>
      <xdr:rowOff>206331</xdr:rowOff>
    </xdr:to>
    <xdr:graphicFrame macro="">
      <xdr:nvGraphicFramePr>
        <xdr:cNvPr id="3" name="Chart 2">
          <a:extLst>
            <a:ext uri="{FF2B5EF4-FFF2-40B4-BE49-F238E27FC236}">
              <a16:creationId xmlns:a16="http://schemas.microsoft.com/office/drawing/2014/main" id="{97D3B630-F74C-389D-80AE-06B718F55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6</xdr:col>
      <xdr:colOff>3730979</xdr:colOff>
      <xdr:row>43</xdr:row>
      <xdr:rowOff>127000</xdr:rowOff>
    </xdr:from>
    <xdr:to>
      <xdr:col>8</xdr:col>
      <xdr:colOff>646693</xdr:colOff>
      <xdr:row>67</xdr:row>
      <xdr:rowOff>224971</xdr:rowOff>
    </xdr:to>
    <xdr:graphicFrame macro="">
      <xdr:nvGraphicFramePr>
        <xdr:cNvPr id="6" name="Chart 5">
          <a:extLst>
            <a:ext uri="{FF2B5EF4-FFF2-40B4-BE49-F238E27FC236}">
              <a16:creationId xmlns:a16="http://schemas.microsoft.com/office/drawing/2014/main" id="{3E6B7D60-43AA-ABB1-DBCE-CE1DD2E21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162760</xdr:colOff>
      <xdr:row>43</xdr:row>
      <xdr:rowOff>190952</xdr:rowOff>
    </xdr:from>
    <xdr:to>
      <xdr:col>13</xdr:col>
      <xdr:colOff>68417</xdr:colOff>
      <xdr:row>67</xdr:row>
      <xdr:rowOff>60323</xdr:rowOff>
    </xdr:to>
    <xdr:graphicFrame macro="">
      <xdr:nvGraphicFramePr>
        <xdr:cNvPr id="11" name="Chart 10">
          <a:extLst>
            <a:ext uri="{FF2B5EF4-FFF2-40B4-BE49-F238E27FC236}">
              <a16:creationId xmlns:a16="http://schemas.microsoft.com/office/drawing/2014/main" id="{31C918BC-9CF2-249D-BD9F-BD51416DA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181128</xdr:colOff>
      <xdr:row>28</xdr:row>
      <xdr:rowOff>0</xdr:rowOff>
    </xdr:from>
    <xdr:to>
      <xdr:col>13</xdr:col>
      <xdr:colOff>43242</xdr:colOff>
      <xdr:row>42</xdr:row>
      <xdr:rowOff>957943</xdr:rowOff>
    </xdr:to>
    <xdr:graphicFrame macro="">
      <xdr:nvGraphicFramePr>
        <xdr:cNvPr id="17" name="Chart 16">
          <a:extLst>
            <a:ext uri="{FF2B5EF4-FFF2-40B4-BE49-F238E27FC236}">
              <a16:creationId xmlns:a16="http://schemas.microsoft.com/office/drawing/2014/main" id="{C206D762-583B-277D-5E25-BDF40A6A6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142874</xdr:colOff>
      <xdr:row>1</xdr:row>
      <xdr:rowOff>460376</xdr:rowOff>
    </xdr:from>
    <xdr:to>
      <xdr:col>7</xdr:col>
      <xdr:colOff>603249</xdr:colOff>
      <xdr:row>28</xdr:row>
      <xdr:rowOff>47625</xdr:rowOff>
    </xdr:to>
    <xdr:graphicFrame macro="">
      <xdr:nvGraphicFramePr>
        <xdr:cNvPr id="5" name="Chart 4">
          <a:extLst>
            <a:ext uri="{FF2B5EF4-FFF2-40B4-BE49-F238E27FC236}">
              <a16:creationId xmlns:a16="http://schemas.microsoft.com/office/drawing/2014/main" id="{436C76EA-C1D4-0A48-8464-B87318E708A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217714</xdr:colOff>
      <xdr:row>1</xdr:row>
      <xdr:rowOff>169332</xdr:rowOff>
    </xdr:from>
    <xdr:to>
      <xdr:col>7</xdr:col>
      <xdr:colOff>798286</xdr:colOff>
      <xdr:row>33</xdr:row>
      <xdr:rowOff>108857</xdr:rowOff>
    </xdr:to>
    <xdr:sp macro="" textlink="">
      <xdr:nvSpPr>
        <xdr:cNvPr id="7" name="Rectangle">
          <a:extLst>
            <a:ext uri="{FF2B5EF4-FFF2-40B4-BE49-F238E27FC236}">
              <a16:creationId xmlns:a16="http://schemas.microsoft.com/office/drawing/2014/main" id="{1D84F8C6-3B70-D14F-AC64-9D1B380FCCCD}"/>
            </a:ext>
          </a:extLst>
        </xdr:cNvPr>
        <xdr:cNvSpPr/>
      </xdr:nvSpPr>
      <xdr:spPr>
        <a:xfrm>
          <a:off x="471714" y="309032"/>
          <a:ext cx="17509672" cy="25098225"/>
        </a:xfrm>
        <a:prstGeom prst="rect">
          <a:avLst/>
        </a:prstGeom>
        <a:noFill/>
        <a:ln w="12700" cap="flat">
          <a:solidFill>
            <a:srgbClr val="000000"/>
          </a:solidFill>
          <a:prstDash val="solid"/>
          <a:round/>
        </a:ln>
        <a:effectLst/>
      </xdr:spPr>
      <xdr:txBody>
        <a:bodyPr/>
        <a:lstStyle/>
        <a:p>
          <a:endParaRPr>
            <a:latin typeface="Arial" panose="020B0604020202020204" pitchFamily="34" charset="0"/>
            <a:cs typeface="Arial" panose="020B0604020202020204" pitchFamily="34" charset="0"/>
          </a:endParaRPr>
        </a:p>
      </xdr:txBody>
    </xdr:sp>
    <xdr:clientData/>
  </xdr:twoCellAnchor>
  <xdr:twoCellAnchor editAs="oneCell">
    <xdr:from>
      <xdr:col>2</xdr:col>
      <xdr:colOff>14111</xdr:colOff>
      <xdr:row>1</xdr:row>
      <xdr:rowOff>479778</xdr:rowOff>
    </xdr:from>
    <xdr:to>
      <xdr:col>3</xdr:col>
      <xdr:colOff>1268992</xdr:colOff>
      <xdr:row>1</xdr:row>
      <xdr:rowOff>1378858</xdr:rowOff>
    </xdr:to>
    <xdr:pic>
      <xdr:nvPicPr>
        <xdr:cNvPr id="8" name="Picture 7">
          <a:extLst>
            <a:ext uri="{FF2B5EF4-FFF2-40B4-BE49-F238E27FC236}">
              <a16:creationId xmlns:a16="http://schemas.microsoft.com/office/drawing/2014/main" id="{FB655120-9C6E-7649-8360-65780A26E7F9}"/>
            </a:ext>
          </a:extLst>
        </xdr:cNvPr>
        <xdr:cNvPicPr>
          <a:picLocks noChangeAspect="1"/>
        </xdr:cNvPicPr>
      </xdr:nvPicPr>
      <xdr:blipFill>
        <a:blip xmlns:r="http://schemas.openxmlformats.org/officeDocument/2006/relationships" r:embed="rId2"/>
        <a:stretch>
          <a:fillRect/>
        </a:stretch>
      </xdr:blipFill>
      <xdr:spPr>
        <a:xfrm>
          <a:off x="1004711" y="619478"/>
          <a:ext cx="5217281" cy="899080"/>
        </a:xfrm>
        <a:prstGeom prst="rect">
          <a:avLst/>
        </a:prstGeom>
      </xdr:spPr>
    </xdr:pic>
    <xdr:clientData/>
  </xdr:twoCellAnchor>
  <xdr:twoCellAnchor>
    <xdr:from>
      <xdr:col>10</xdr:col>
      <xdr:colOff>523875</xdr:colOff>
      <xdr:row>2</xdr:row>
      <xdr:rowOff>206375</xdr:rowOff>
    </xdr:from>
    <xdr:to>
      <xdr:col>12</xdr:col>
      <xdr:colOff>1072005</xdr:colOff>
      <xdr:row>18</xdr:row>
      <xdr:rowOff>142875</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3A82EBDA-AD7B-6A42-8F78-291DD05C68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732875" y="2568575"/>
              <a:ext cx="4358130" cy="4330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229306</xdr:colOff>
      <xdr:row>29</xdr:row>
      <xdr:rowOff>178153</xdr:rowOff>
    </xdr:from>
    <xdr:to>
      <xdr:col>5</xdr:col>
      <xdr:colOff>3118810</xdr:colOff>
      <xdr:row>30</xdr:row>
      <xdr:rowOff>955312</xdr:rowOff>
    </xdr:to>
    <xdr:pic>
      <xdr:nvPicPr>
        <xdr:cNvPr id="18" name="Picture 17">
          <a:hlinkClick xmlns:r="http://schemas.openxmlformats.org/officeDocument/2006/relationships" r:id="rId4"/>
          <a:extLst>
            <a:ext uri="{FF2B5EF4-FFF2-40B4-BE49-F238E27FC236}">
              <a16:creationId xmlns:a16="http://schemas.microsoft.com/office/drawing/2014/main" id="{560A79DF-2EAC-AD45-B321-80D0DE54890D}"/>
            </a:ext>
          </a:extLst>
        </xdr:cNvPr>
        <xdr:cNvPicPr>
          <a:picLocks noChangeAspect="1"/>
        </xdr:cNvPicPr>
      </xdr:nvPicPr>
      <xdr:blipFill>
        <a:blip xmlns:r="http://schemas.openxmlformats.org/officeDocument/2006/relationships" r:embed="rId5"/>
        <a:stretch>
          <a:fillRect/>
        </a:stretch>
      </xdr:blipFill>
      <xdr:spPr>
        <a:xfrm>
          <a:off x="8420806" y="10084153"/>
          <a:ext cx="2889504" cy="1031159"/>
        </a:xfrm>
        <a:prstGeom prst="rect">
          <a:avLst/>
        </a:prstGeom>
      </xdr:spPr>
    </xdr:pic>
    <xdr:clientData/>
  </xdr:twoCellAnchor>
  <xdr:oneCellAnchor>
    <xdr:from>
      <xdr:col>3</xdr:col>
      <xdr:colOff>40572</xdr:colOff>
      <xdr:row>29</xdr:row>
      <xdr:rowOff>183444</xdr:rowOff>
    </xdr:from>
    <xdr:ext cx="1114778" cy="1114778"/>
    <xdr:pic>
      <xdr:nvPicPr>
        <xdr:cNvPr id="20" name="Picture 19">
          <a:hlinkClick xmlns:r="http://schemas.openxmlformats.org/officeDocument/2006/relationships" r:id="rId6"/>
          <a:extLst>
            <a:ext uri="{FF2B5EF4-FFF2-40B4-BE49-F238E27FC236}">
              <a16:creationId xmlns:a16="http://schemas.microsoft.com/office/drawing/2014/main" id="{082D4473-3C78-6C35-9072-25E5E83AD6E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52072" y="10089444"/>
          <a:ext cx="1114778" cy="11147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13</xdr:col>
      <xdr:colOff>103717</xdr:colOff>
      <xdr:row>3</xdr:row>
      <xdr:rowOff>175684</xdr:rowOff>
    </xdr:from>
    <xdr:to>
      <xdr:col>29</xdr:col>
      <xdr:colOff>433916</xdr:colOff>
      <xdr:row>25</xdr:row>
      <xdr:rowOff>174989</xdr:rowOff>
    </xdr:to>
    <xdr:pic>
      <xdr:nvPicPr>
        <xdr:cNvPr id="2" name="Picture 1">
          <a:extLst>
            <a:ext uri="{FF2B5EF4-FFF2-40B4-BE49-F238E27FC236}">
              <a16:creationId xmlns:a16="http://schemas.microsoft.com/office/drawing/2014/main" id="{B227773C-C3BE-E94E-968E-87F0210D275A}"/>
            </a:ext>
          </a:extLst>
        </xdr:cNvPr>
        <xdr:cNvPicPr>
          <a:picLocks noChangeAspect="1"/>
        </xdr:cNvPicPr>
      </xdr:nvPicPr>
      <xdr:blipFill>
        <a:blip xmlns:r="http://schemas.openxmlformats.org/officeDocument/2006/relationships" r:embed="rId1"/>
        <a:stretch>
          <a:fillRect/>
        </a:stretch>
      </xdr:blipFill>
      <xdr:spPr>
        <a:xfrm>
          <a:off x="12460817" y="810684"/>
          <a:ext cx="9067799" cy="44062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31749</xdr:colOff>
      <xdr:row>18</xdr:row>
      <xdr:rowOff>101600</xdr:rowOff>
    </xdr:from>
    <xdr:to>
      <xdr:col>12</xdr:col>
      <xdr:colOff>241300</xdr:colOff>
      <xdr:row>51</xdr:row>
      <xdr:rowOff>38100</xdr:rowOff>
    </xdr:to>
    <xdr:graphicFrame macro="">
      <xdr:nvGraphicFramePr>
        <xdr:cNvPr id="5" name="Chart 4">
          <a:extLst>
            <a:ext uri="{FF2B5EF4-FFF2-40B4-BE49-F238E27FC236}">
              <a16:creationId xmlns:a16="http://schemas.microsoft.com/office/drawing/2014/main" id="{6764A54B-9C2E-7DFF-B031-65F7B9B0E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279400</xdr:colOff>
      <xdr:row>18</xdr:row>
      <xdr:rowOff>76200</xdr:rowOff>
    </xdr:from>
    <xdr:to>
      <xdr:col>20</xdr:col>
      <xdr:colOff>215900</xdr:colOff>
      <xdr:row>46</xdr:row>
      <xdr:rowOff>76200</xdr:rowOff>
    </xdr:to>
    <xdr:graphicFrame macro="">
      <xdr:nvGraphicFramePr>
        <xdr:cNvPr id="9" name="Chart 8">
          <a:extLst>
            <a:ext uri="{FF2B5EF4-FFF2-40B4-BE49-F238E27FC236}">
              <a16:creationId xmlns:a16="http://schemas.microsoft.com/office/drawing/2014/main" id="{D30C9C6B-FC8B-EB61-0753-7579CC3AE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s>
</file>

<file path=xl/webextensions/webextension1.xml><?xml version="1.0" encoding="utf-8"?>
<we:webextension xmlns:we="http://schemas.microsoft.com/office/webextensions/webextension/2010/11" id="{38B7CBA9-3F21-4C4B-B64F-A63670AFA257}">
  <we:reference id="wa200006896" version="1.0.0.0" store="en-US" storeType="OMEX"/>
  <we:alternateReferences>
    <we:reference id="WA200006896" version="1.0.0.0" store="WA200006896"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7F86F1E9-4575-F045-96AF-F1E5F9DCFE7A}">
  <we:reference id="wa200007286" version="1.2.0.0" store="en-US" storeType="OMEX"/>
  <we:alternateReferences>
    <we:reference id="wa200007286" version="1.2.0.0" store="WA200007286"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openbuilding.ca/2024/07/07/teui-b-1-major-occupancy/" TargetMode="External"/><Relationship Id="rId13" Type="http://schemas.openxmlformats.org/officeDocument/2006/relationships/hyperlink" Target="https://openbuilding.ca/2024/10/10/teui-t-3-target-vs-actual/" TargetMode="External"/><Relationship Id="rId18" Type="http://schemas.openxmlformats.org/officeDocument/2006/relationships/hyperlink" Target="https://openbuilding.ca/2024/04/02/teui-g-2-solar-gains/" TargetMode="External"/><Relationship Id="rId3" Type="http://schemas.openxmlformats.org/officeDocument/2006/relationships/hyperlink" Target="https://portfoliomanager.energystar.gov/pm/degreeDaysCalculator" TargetMode="External"/><Relationship Id="rId21" Type="http://schemas.openxmlformats.org/officeDocument/2006/relationships/printerSettings" Target="../printerSettings/printerSettings1.bin"/><Relationship Id="rId7" Type="http://schemas.openxmlformats.org/officeDocument/2006/relationships/hyperlink" Target="https://openbuilding.ca/2024/07/22/teui-s-1-reference-standards/" TargetMode="External"/><Relationship Id="rId12" Type="http://schemas.openxmlformats.org/officeDocument/2006/relationships/hyperlink" Target="https://openbuilding.ca/2024/08/12/teui-d-1-reporting-period-and-service-life/" TargetMode="External"/><Relationship Id="rId17" Type="http://schemas.openxmlformats.org/officeDocument/2006/relationships/hyperlink" Target="https://openbuilding.ca/2024/04/02/teui-g-2-solar-gains/" TargetMode="External"/><Relationship Id="rId2" Type="http://schemas.openxmlformats.org/officeDocument/2006/relationships/hyperlink" Target="https://climateatlas.ca/map/canada/hdd_2060_85" TargetMode="External"/><Relationship Id="rId16" Type="http://schemas.openxmlformats.org/officeDocument/2006/relationships/hyperlink" Target="https://openbuilding.ca/2024/04/02/teui-g-2-solar-gains/" TargetMode="External"/><Relationship Id="rId20" Type="http://schemas.openxmlformats.org/officeDocument/2006/relationships/hyperlink" Target="https://openbuilding.ca/2025/01/13/teui-g-4-1-net-usable-gains/" TargetMode="External"/><Relationship Id="rId1" Type="http://schemas.openxmlformats.org/officeDocument/2006/relationships/hyperlink" Target="https://climateatlas.ca/map/canada/plus30_2030_85" TargetMode="External"/><Relationship Id="rId6" Type="http://schemas.openxmlformats.org/officeDocument/2006/relationships/hyperlink" Target="https://openbuilding.ca/2024/07/07/teui-b-1-major-occupancy/" TargetMode="External"/><Relationship Id="rId11" Type="http://schemas.openxmlformats.org/officeDocument/2006/relationships/hyperlink" Target="https://openbuilding.ca/2024/06/23/teui-b-3-conditioned-area/" TargetMode="External"/><Relationship Id="rId5" Type="http://schemas.openxmlformats.org/officeDocument/2006/relationships/hyperlink" Target="https://openbuilding.ca/2024/04/02/teui-g-2-solar-gains/" TargetMode="External"/><Relationship Id="rId15" Type="http://schemas.openxmlformats.org/officeDocument/2006/relationships/hyperlink" Target="https://openbuilding.ca/2024/04/02/teui-g-2-solar-gains/" TargetMode="External"/><Relationship Id="rId10" Type="http://schemas.openxmlformats.org/officeDocument/2006/relationships/hyperlink" Target="https://openbuilding.ca/2024/07/22/teui-s-3-carbon-benchmarking-standard/" TargetMode="External"/><Relationship Id="rId19" Type="http://schemas.openxmlformats.org/officeDocument/2006/relationships/hyperlink" Target="https://openbuilding.ca/2024/04/02/teui-g-2-solar-gains/" TargetMode="External"/><Relationship Id="rId4" Type="http://schemas.openxmlformats.org/officeDocument/2006/relationships/hyperlink" Target="https://portfoliomanager.energystar.gov/pm/degreeDaysCalculator" TargetMode="External"/><Relationship Id="rId9" Type="http://schemas.openxmlformats.org/officeDocument/2006/relationships/hyperlink" Target="https://openbuilding.ca/2024/07/22/teui-s-3-carbon-benchmarking-standard/" TargetMode="External"/><Relationship Id="rId14" Type="http://schemas.openxmlformats.org/officeDocument/2006/relationships/hyperlink" Target="https://openbuilding.ca/2024/07/07/teui-b-1-major-occupancy/" TargetMode="Externa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openbuilding.ca/2024/08/12/teui-d-1-reporting-period-and-service-life/" TargetMode="External"/><Relationship Id="rId13" Type="http://schemas.openxmlformats.org/officeDocument/2006/relationships/hyperlink" Target="https://openbuilding.ca/2024/04/02/teui-g-2-solar-gains/" TargetMode="External"/><Relationship Id="rId18" Type="http://schemas.openxmlformats.org/officeDocument/2006/relationships/drawing" Target="../drawings/drawing2.xml"/><Relationship Id="rId3" Type="http://schemas.openxmlformats.org/officeDocument/2006/relationships/hyperlink" Target="https://openbuilding.ca/2024/07/22/teui-s-1-reference-standards/" TargetMode="External"/><Relationship Id="rId7" Type="http://schemas.openxmlformats.org/officeDocument/2006/relationships/hyperlink" Target="https://openbuilding.ca/2024/06/23/teui-b-3-conditioned-area/" TargetMode="External"/><Relationship Id="rId12" Type="http://schemas.openxmlformats.org/officeDocument/2006/relationships/hyperlink" Target="https://openbuilding.ca/2024/04/02/teui-g-2-solar-gains/" TargetMode="External"/><Relationship Id="rId17" Type="http://schemas.openxmlformats.org/officeDocument/2006/relationships/printerSettings" Target="../printerSettings/printerSettings2.bin"/><Relationship Id="rId2" Type="http://schemas.openxmlformats.org/officeDocument/2006/relationships/hyperlink" Target="https://openbuilding.ca/2024/07/07/teui-b-1-major-occupancy/" TargetMode="External"/><Relationship Id="rId16" Type="http://schemas.openxmlformats.org/officeDocument/2006/relationships/hyperlink" Target="https://openbuilding.ca/2025/01/13/teui-g-4-1-net-usable-gains/" TargetMode="External"/><Relationship Id="rId1" Type="http://schemas.openxmlformats.org/officeDocument/2006/relationships/hyperlink" Target="https://openbuilding.ca/2024/04/02/teui-g-2-solar-gains/" TargetMode="External"/><Relationship Id="rId6" Type="http://schemas.openxmlformats.org/officeDocument/2006/relationships/hyperlink" Target="https://openbuilding.ca/2024/07/22/teui-s-3-carbon-benchmarking-standard/" TargetMode="External"/><Relationship Id="rId11" Type="http://schemas.openxmlformats.org/officeDocument/2006/relationships/hyperlink" Target="https://openbuilding.ca/2024/04/02/teui-g-2-solar-gains/" TargetMode="External"/><Relationship Id="rId5" Type="http://schemas.openxmlformats.org/officeDocument/2006/relationships/hyperlink" Target="https://openbuilding.ca/2024/07/22/teui-s-3-carbon-benchmarking-standard/" TargetMode="External"/><Relationship Id="rId15" Type="http://schemas.openxmlformats.org/officeDocument/2006/relationships/hyperlink" Target="https://openbuilding.ca/2024/04/02/teui-g-2-solar-gains/" TargetMode="External"/><Relationship Id="rId10" Type="http://schemas.openxmlformats.org/officeDocument/2006/relationships/hyperlink" Target="https://openbuilding.ca/2024/07/07/teui-b-1-major-occupancy/" TargetMode="External"/><Relationship Id="rId4" Type="http://schemas.openxmlformats.org/officeDocument/2006/relationships/hyperlink" Target="https://openbuilding.ca/2024/07/07/teui-b-1-major-occupancy/" TargetMode="External"/><Relationship Id="rId9" Type="http://schemas.openxmlformats.org/officeDocument/2006/relationships/hyperlink" Target="https://openbuilding.ca/2024/10/10/teui-t-3-target-vs-actual/" TargetMode="External"/><Relationship Id="rId14" Type="http://schemas.openxmlformats.org/officeDocument/2006/relationships/hyperlink" Target="https://openbuilding.ca/2024/04/02/teui-g-2-solar-gain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V7458"/>
  <sheetViews>
    <sheetView showGridLines="0" zoomScale="80" zoomScaleNormal="80" zoomScalePageLayoutView="70" workbookViewId="0">
      <pane ySplit="10" topLeftCell="A11" activePane="bottomLeft" state="frozen"/>
      <selection pane="bottomLeft" activeCell="D12" sqref="D12:E12"/>
    </sheetView>
  </sheetViews>
  <sheetFormatPr baseColWidth="10" defaultColWidth="19.5" defaultRowHeight="11.75" customHeight="1" outlineLevelCol="1"/>
  <cols>
    <col min="1" max="1" width="10" style="24" customWidth="1"/>
    <col min="2" max="2" width="20" style="24" customWidth="1"/>
    <col min="3" max="3" width="88.75" style="24" customWidth="1"/>
    <col min="4" max="4" width="32.5" style="30" customWidth="1"/>
    <col min="5" max="5" width="32.75" style="30" customWidth="1"/>
    <col min="6" max="7" width="32.5" style="24" customWidth="1"/>
    <col min="8" max="8" width="32.75" style="24" customWidth="1"/>
    <col min="9" max="10" width="27.5" style="24" customWidth="1"/>
    <col min="11" max="11" width="33.25" style="24" customWidth="1"/>
    <col min="12" max="13" width="27.5" style="24" customWidth="1"/>
    <col min="14" max="14" width="10" style="24" customWidth="1"/>
    <col min="15" max="15" width="8.5" style="718" customWidth="1"/>
    <col min="16" max="16" width="32.5" style="24" customWidth="1"/>
    <col min="17" max="17" width="34.25" style="1466" customWidth="1"/>
    <col min="18" max="18" width="32.5" style="24" customWidth="1"/>
    <col min="19" max="19" width="15" style="24" customWidth="1"/>
    <col min="20" max="20" width="46.25" style="1495" hidden="1" customWidth="1" outlineLevel="1"/>
    <col min="21" max="21" width="255.5" style="24" hidden="1" customWidth="1" outlineLevel="1"/>
    <col min="22" max="22" width="10" style="24" customWidth="1" collapsed="1"/>
    <col min="23" max="25" width="20" style="24" customWidth="1"/>
    <col min="26" max="26" width="35.5" style="24" customWidth="1"/>
    <col min="27" max="28" width="27.25" style="24" customWidth="1"/>
    <col min="29" max="29" width="20" style="24" customWidth="1"/>
    <col min="30" max="30" width="27" style="24" customWidth="1"/>
    <col min="31" max="31" width="30.5" style="24" customWidth="1"/>
    <col min="32" max="32" width="16.5" style="24" customWidth="1"/>
    <col min="33" max="16384" width="19.5" style="24"/>
  </cols>
  <sheetData>
    <row r="1" spans="1:21" ht="20" customHeight="1">
      <c r="C1" s="30"/>
      <c r="H1" s="30"/>
      <c r="I1" s="30"/>
      <c r="J1" s="30"/>
      <c r="K1" s="30"/>
      <c r="L1" s="30"/>
      <c r="M1" s="30"/>
      <c r="O1" s="24"/>
      <c r="T1" s="2336" t="s">
        <v>1781</v>
      </c>
      <c r="U1" s="2333" t="s">
        <v>2007</v>
      </c>
    </row>
    <row r="2" spans="1:21" ht="22" customHeight="1">
      <c r="B2" s="2349"/>
      <c r="D2" s="2341" t="s">
        <v>2060</v>
      </c>
      <c r="E2" s="2341"/>
      <c r="F2" s="2341"/>
      <c r="G2" s="2342" t="s">
        <v>2204</v>
      </c>
      <c r="H2" s="52"/>
      <c r="I2" s="747"/>
      <c r="J2" s="26"/>
      <c r="K2" s="2338" t="s">
        <v>2044</v>
      </c>
      <c r="L2" s="2339"/>
      <c r="M2" s="2339"/>
      <c r="N2" s="25"/>
      <c r="O2" s="26"/>
      <c r="P2" s="26"/>
      <c r="Q2" s="1467"/>
      <c r="R2" s="31"/>
      <c r="T2" s="2337"/>
      <c r="U2" s="2334"/>
    </row>
    <row r="3" spans="1:21" ht="70" customHeight="1">
      <c r="B3" s="2330"/>
      <c r="C3" s="768"/>
      <c r="D3" s="2341"/>
      <c r="E3" s="2341"/>
      <c r="F3" s="2341"/>
      <c r="G3" s="2343"/>
      <c r="H3" s="767"/>
      <c r="I3" s="748"/>
      <c r="J3" s="105"/>
      <c r="K3" s="2340"/>
      <c r="L3" s="2340"/>
      <c r="M3" s="2340"/>
      <c r="N3" s="25"/>
      <c r="O3" s="26"/>
      <c r="P3" s="1625" t="str">
        <f>IF(D14="Targeted Use", "Target Energy Costs 
$/yr", IF(D14="Utility Bills", "Actual Energy Costs 
$/yr", ""))</f>
        <v>Actual Energy Costs 
$/yr</v>
      </c>
      <c r="Q3" s="1468"/>
      <c r="R3" s="1499" t="s">
        <v>1894</v>
      </c>
      <c r="S3" s="34"/>
      <c r="T3" s="1484" t="str">
        <f>S2RepStandard</f>
        <v>OBC SB10 5.5-6 Z6</v>
      </c>
      <c r="U3" s="91" t="s">
        <v>19</v>
      </c>
    </row>
    <row r="4" spans="1:21" ht="40" customHeight="1" thickBot="1">
      <c r="B4" s="1170"/>
      <c r="C4" s="1171" t="s">
        <v>2063</v>
      </c>
      <c r="D4" s="1172"/>
      <c r="E4" s="1173" t="s">
        <v>815</v>
      </c>
      <c r="F4" s="1172"/>
      <c r="G4" s="1172"/>
      <c r="H4" s="1171" t="s">
        <v>492</v>
      </c>
      <c r="I4" s="1172"/>
      <c r="J4" s="1172"/>
      <c r="K4" s="1174" t="s">
        <v>491</v>
      </c>
      <c r="L4" s="1170"/>
      <c r="M4" s="1175"/>
      <c r="N4" s="25"/>
      <c r="O4" s="26"/>
      <c r="P4" s="453">
        <f>IF(D14="Utility Bills", F27*L12, J27*L12)</f>
        <v>17281.940000000002</v>
      </c>
      <c r="Q4" s="224" t="s">
        <v>497</v>
      </c>
      <c r="R4" s="1459">
        <f>REFERENCE!P4</f>
        <v>43384.130451779376</v>
      </c>
      <c r="T4" s="1479"/>
      <c r="U4" s="91" t="s">
        <v>396</v>
      </c>
    </row>
    <row r="5" spans="1:21" ht="25" customHeight="1" thickTop="1">
      <c r="B5" s="42"/>
      <c r="C5" s="43" t="s">
        <v>1729</v>
      </c>
      <c r="D5" s="256"/>
      <c r="E5" s="1438" t="s">
        <v>815</v>
      </c>
      <c r="F5" s="1439" t="s">
        <v>2140</v>
      </c>
      <c r="G5" s="257"/>
      <c r="H5" s="2166" t="s">
        <v>330</v>
      </c>
      <c r="I5" s="1437" t="str">
        <f>TEXT(1-H6/E6, "0%") &amp; " Reduction"</f>
        <v>38% Reduction</v>
      </c>
      <c r="J5" s="231"/>
      <c r="K5" s="45" t="s">
        <v>331</v>
      </c>
      <c r="L5" s="199"/>
      <c r="M5" s="138" t="s">
        <v>418</v>
      </c>
      <c r="N5" s="25"/>
      <c r="O5" s="26"/>
      <c r="P5" s="857">
        <f>IF(D14="Utility Bills", D28*L13, H28*L13)</f>
        <v>0</v>
      </c>
      <c r="Q5" s="224" t="s">
        <v>498</v>
      </c>
      <c r="R5" s="1460">
        <f>REFERENCE!P5</f>
        <v>0</v>
      </c>
      <c r="T5" s="1479"/>
      <c r="U5" s="91" t="s">
        <v>397</v>
      </c>
    </row>
    <row r="6" spans="1:21" ht="36" customHeight="1" thickBot="1">
      <c r="B6" s="761"/>
      <c r="C6" s="746" t="s">
        <v>288</v>
      </c>
      <c r="D6" s="239"/>
      <c r="E6" s="1516">
        <f>REFERENCE!E6</f>
        <v>18.925398052349667</v>
      </c>
      <c r="F6" s="881"/>
      <c r="G6" s="240"/>
      <c r="H6" s="1518">
        <f>I41/H13+H8</f>
        <v>11.660688148043574</v>
      </c>
      <c r="I6" s="855"/>
      <c r="J6" s="742"/>
      <c r="K6" s="1520">
        <f>IF(D14="Utility Bills", I41/H13+K8, "N/A")</f>
        <v>11.666847029147981</v>
      </c>
      <c r="L6" s="854"/>
      <c r="M6" s="1993" t="str">
        <f>IF(I$40="N/A","N/A",IF(D15="BR18 (Denmark)",((I$41/H13)+K8)/12,IF(D15="IPCC AR6 EPC", 'S3-Carbon-Standards'!K5, IF(D15="IPCC AR6 EA", 'S3-Carbon-Standards'!K6,IF(D15="TGS4",((I$41/I39)),"N/A")))))</f>
        <v>N/A</v>
      </c>
      <c r="N6" s="25"/>
      <c r="O6" s="26"/>
      <c r="P6" s="857">
        <f>IF(D15="Utility Bills", D29*L14, D29*L14)</f>
        <v>0</v>
      </c>
      <c r="Q6" s="224" t="s">
        <v>1703</v>
      </c>
      <c r="R6" s="1460">
        <f>REFERENCE!P6</f>
        <v>0</v>
      </c>
      <c r="T6" s="1483">
        <f>INDEX('CODE-VALUES'!$C6:$S6, 1, MATCH(S2RepStandard, 'CODE-VALUES'!$C$2:$S$2, 0))</f>
        <v>0</v>
      </c>
      <c r="U6" s="34"/>
    </row>
    <row r="7" spans="1:21" ht="25" customHeight="1" thickTop="1">
      <c r="B7" s="42"/>
      <c r="C7" s="43" t="s">
        <v>290</v>
      </c>
      <c r="D7" s="48"/>
      <c r="E7" s="1438" t="s">
        <v>815</v>
      </c>
      <c r="F7" s="1439" t="s">
        <v>2140</v>
      </c>
      <c r="G7" s="26"/>
      <c r="H7" s="2166" t="s">
        <v>330</v>
      </c>
      <c r="I7" s="1437" t="str">
        <f>TEXT(1-H8/E8, "0%") &amp; " Reduction"</f>
        <v>60% Reduction</v>
      </c>
      <c r="J7" s="231"/>
      <c r="K7" s="45" t="s">
        <v>331</v>
      </c>
      <c r="L7" s="199"/>
      <c r="M7" s="46"/>
      <c r="N7" s="25"/>
      <c r="O7" s="26"/>
      <c r="P7" s="857">
        <f>IF(D14="Utility Bills", D30*L16, D30*L16)</f>
        <v>0</v>
      </c>
      <c r="Q7" s="224" t="s">
        <v>1704</v>
      </c>
      <c r="R7" s="1460">
        <f>REFERENCE!P7</f>
        <v>0</v>
      </c>
      <c r="T7" s="1479"/>
      <c r="U7" s="143"/>
    </row>
    <row r="8" spans="1:21" s="34" customFormat="1" ht="36" customHeight="1" thickBot="1">
      <c r="B8" s="241"/>
      <c r="C8" s="746" t="s">
        <v>289</v>
      </c>
      <c r="D8" s="744"/>
      <c r="E8" s="1516">
        <f>REFERENCE!E8</f>
        <v>11.925398052349667</v>
      </c>
      <c r="F8" s="881"/>
      <c r="G8" s="745"/>
      <c r="H8" s="1518">
        <f>K32/H15</f>
        <v>4.7442881480435748</v>
      </c>
      <c r="I8" s="855"/>
      <c r="J8" s="743"/>
      <c r="K8" s="1520">
        <f>IF(D14="Utility Bills", G32/H15, "N/A")</f>
        <v>4.7504470291479821</v>
      </c>
      <c r="L8" s="854"/>
      <c r="M8" s="1994">
        <f>IF(D$14="Utility Bills", K8/E8, H8/E8)</f>
        <v>0.39834704118844899</v>
      </c>
      <c r="N8" s="75"/>
      <c r="O8" s="76"/>
      <c r="P8" s="856">
        <f>IF(D14="Utility Bills", D31*L15, D31*L15)</f>
        <v>0</v>
      </c>
      <c r="Q8" s="224" t="s">
        <v>1705</v>
      </c>
      <c r="R8" s="1461">
        <f>REFERENCE!P8</f>
        <v>0</v>
      </c>
      <c r="T8" s="1483">
        <f>INDEX('CODE-VALUES'!$C8:$S8, 1, MATCH(S2RepStandard, 'CODE-VALUES'!$C$2:$S$2, 0))</f>
        <v>15</v>
      </c>
      <c r="U8" s="91" t="s">
        <v>358</v>
      </c>
    </row>
    <row r="9" spans="1:21" ht="25" customHeight="1" thickTop="1">
      <c r="B9" s="49"/>
      <c r="C9" s="43" t="s">
        <v>307</v>
      </c>
      <c r="D9" s="48"/>
      <c r="E9" s="1438" t="s">
        <v>815</v>
      </c>
      <c r="F9" s="1439" t="s">
        <v>2140</v>
      </c>
      <c r="G9" s="2164" t="str">
        <f>TEXT(R9/H15, "$ 0.00") &amp; "/m2"</f>
        <v>$ 30.40/m2</v>
      </c>
      <c r="H9" s="2166" t="s">
        <v>330</v>
      </c>
      <c r="I9" s="1437" t="str">
        <f>TEXT(1-H10/E10, "0%") &amp; " Reduction"</f>
        <v>60% Reduction</v>
      </c>
      <c r="J9" s="1437" t="str">
        <f>IF(D14="Targeted Use", TEXT(P9/H15, "$ 0.00") &amp; "/m2", "")</f>
        <v/>
      </c>
      <c r="K9" s="45" t="s">
        <v>331</v>
      </c>
      <c r="L9" s="2165" t="str">
        <f>IF(D14="Utility Bills", TEXT(P9/H15, "$ 0.00") &amp; "/m2", "")</f>
        <v>$ 12.11/m2</v>
      </c>
      <c r="M9" s="138" t="s">
        <v>418</v>
      </c>
      <c r="N9" s="25"/>
      <c r="O9" s="26"/>
      <c r="P9" s="225">
        <f>SUM(P4:P8)</f>
        <v>17281.940000000002</v>
      </c>
      <c r="Q9" s="224" t="s">
        <v>500</v>
      </c>
      <c r="R9" s="1462">
        <f>SUM(R4:R8)</f>
        <v>43384.130451779376</v>
      </c>
      <c r="T9" s="1479" t="s">
        <v>2055</v>
      </c>
      <c r="U9" s="40"/>
    </row>
    <row r="10" spans="1:21" s="34" customFormat="1" ht="37" customHeight="1" thickBot="1">
      <c r="B10" s="241"/>
      <c r="C10" s="995" t="s">
        <v>306</v>
      </c>
      <c r="D10" s="996"/>
      <c r="E10" s="1517">
        <f>REFERENCE!E10</f>
        <v>233.83133435979741</v>
      </c>
      <c r="F10" s="997" t="s">
        <v>1998</v>
      </c>
      <c r="G10" s="998"/>
      <c r="H10" s="1519">
        <f>J32/H15</f>
        <v>93.025257804775976</v>
      </c>
      <c r="I10" s="997" t="str">
        <f>IF(OR(ISNUMBER(SEARCH("NBC", D13)), ISNUMBER(SEARCH("OBC", D13)), ISNUMBER(SEARCH("NECB", D13))),
   IF(D144&gt;0.7, "tier5", IF(D144&gt;0.6, "tier4", IF(D144&gt;0.5, "tier3", IF(D144&gt;0.4, "tier2", "tier1")))),
   IF(D144&gt;0.6, "tier4", IF(D144&gt;0.45, "tier3", IF(D144&gt;0.2, "tier2", IF(D144&gt;0.1, "tier1", "No Tier")))))</f>
        <v>tier4</v>
      </c>
      <c r="J10" s="999"/>
      <c r="K10" s="1521">
        <f>IF(D14="Targeted Use", "N/A", (SUM(F27:F31)/H15))</f>
        <v>93.146020179372201</v>
      </c>
      <c r="L10" s="1000"/>
      <c r="M10" s="1995">
        <f>IF(D$14="Utility Bills", K10/E10, H10/E10)</f>
        <v>0.39834704118844899</v>
      </c>
      <c r="N10" s="75"/>
      <c r="O10" s="76"/>
      <c r="P10" s="739"/>
      <c r="Q10" s="1469"/>
      <c r="R10" s="1463"/>
      <c r="T10" s="1479">
        <f>INDEX('CODE-VALUES'!$C27:$S27, 1, MATCH(S2RepStandard, 'CODE-VALUES'!$C$2:$S$2, 0))</f>
        <v>276.5</v>
      </c>
    </row>
    <row r="11" spans="1:21" s="34" customFormat="1" ht="40" customHeight="1" thickTop="1" thickBot="1">
      <c r="B11" s="241"/>
      <c r="C11" s="1011" t="s">
        <v>2062</v>
      </c>
      <c r="D11" s="1012"/>
      <c r="E11" s="1013"/>
      <c r="F11" s="1013"/>
      <c r="G11" s="1014"/>
      <c r="H11" s="1015"/>
      <c r="I11" s="1015"/>
      <c r="J11" s="1016"/>
      <c r="K11" s="1910"/>
      <c r="L11" s="1911" t="s">
        <v>1866</v>
      </c>
      <c r="M11" s="1017"/>
      <c r="N11" s="76"/>
      <c r="O11" s="76"/>
      <c r="P11" s="1464" t="s">
        <v>1896</v>
      </c>
      <c r="Q11" s="1470"/>
      <c r="R11" s="1465">
        <f>R9-P9</f>
        <v>26102.190451779374</v>
      </c>
      <c r="S11" s="71"/>
      <c r="T11" s="1479"/>
    </row>
    <row r="12" spans="1:21" ht="25" customHeight="1" thickTop="1">
      <c r="A12" s="24" t="s">
        <v>526</v>
      </c>
      <c r="B12" s="32"/>
      <c r="C12" s="762" t="s">
        <v>286</v>
      </c>
      <c r="D12" s="2351" t="s">
        <v>258</v>
      </c>
      <c r="E12" s="2351"/>
      <c r="F12" s="528" t="s">
        <v>1999</v>
      </c>
      <c r="H12" s="529">
        <v>2022</v>
      </c>
      <c r="I12" s="1700"/>
      <c r="J12" s="1700"/>
      <c r="K12" s="1909" t="s">
        <v>2037</v>
      </c>
      <c r="L12" s="1939">
        <v>0.13</v>
      </c>
      <c r="M12" s="1912" t="s">
        <v>2036</v>
      </c>
      <c r="N12" s="26"/>
      <c r="O12" s="721" t="s">
        <v>524</v>
      </c>
      <c r="P12" s="1464" t="s">
        <v>1895</v>
      </c>
      <c r="R12" s="1465">
        <f>R11*H13</f>
        <v>1305109.5225889687</v>
      </c>
      <c r="T12" s="1483"/>
      <c r="U12" s="149" t="s">
        <v>345</v>
      </c>
    </row>
    <row r="13" spans="1:21" ht="24" customHeight="1">
      <c r="B13" s="36"/>
      <c r="C13" s="527" t="s">
        <v>841</v>
      </c>
      <c r="D13" s="2352" t="s">
        <v>380</v>
      </c>
      <c r="E13" s="2352"/>
      <c r="F13" s="528" t="s">
        <v>2000</v>
      </c>
      <c r="G13" s="528"/>
      <c r="H13" s="1799">
        <v>50</v>
      </c>
      <c r="J13" s="955"/>
      <c r="K13" s="1913" t="s">
        <v>2030</v>
      </c>
      <c r="L13" s="1940">
        <v>0.50700000000000001</v>
      </c>
      <c r="M13" s="1852" t="s">
        <v>1699</v>
      </c>
      <c r="N13" s="25"/>
      <c r="O13" s="721" t="s">
        <v>524</v>
      </c>
      <c r="P13" s="721" t="s">
        <v>524</v>
      </c>
      <c r="T13" s="1483" t="str">
        <f>INDEX('CODE-VALUES'!$C13:$S13, 1, MATCH(S2RepStandard, 'CODE-VALUES'!$C$2:$S$2, 0))</f>
        <v>OBC Prescriptive Path Part 3</v>
      </c>
    </row>
    <row r="14" spans="1:21" ht="24" customHeight="1">
      <c r="B14" s="36"/>
      <c r="C14" s="532" t="s">
        <v>314</v>
      </c>
      <c r="D14" s="2350" t="s">
        <v>1901</v>
      </c>
      <c r="E14" s="2350"/>
      <c r="F14" s="533" t="s">
        <v>287</v>
      </c>
      <c r="G14" s="533"/>
      <c r="H14" s="2344" t="s">
        <v>2170</v>
      </c>
      <c r="I14" s="2344"/>
      <c r="J14" s="1907"/>
      <c r="K14" s="1914" t="s">
        <v>2038</v>
      </c>
      <c r="L14" s="1940">
        <v>1.62</v>
      </c>
      <c r="M14" s="1852" t="s">
        <v>1700</v>
      </c>
      <c r="N14" s="26"/>
      <c r="O14" s="721" t="s">
        <v>524</v>
      </c>
      <c r="T14" s="1479"/>
    </row>
    <row r="15" spans="1:21" ht="24" customHeight="1">
      <c r="B15" s="36"/>
      <c r="C15" s="527" t="s">
        <v>313</v>
      </c>
      <c r="D15" s="2331" t="s">
        <v>1979</v>
      </c>
      <c r="E15" s="2331"/>
      <c r="F15" s="39" t="s">
        <v>2001</v>
      </c>
      <c r="G15" s="537"/>
      <c r="H15" s="1514">
        <v>1427.2</v>
      </c>
      <c r="I15" s="516"/>
      <c r="J15" s="955"/>
      <c r="K15" s="1914" t="s">
        <v>2039</v>
      </c>
      <c r="L15" s="1941">
        <v>180</v>
      </c>
      <c r="M15" s="1852" t="s">
        <v>1701</v>
      </c>
      <c r="N15" s="26"/>
      <c r="O15" s="721" t="s">
        <v>524</v>
      </c>
      <c r="P15" s="721" t="s">
        <v>524</v>
      </c>
      <c r="Q15" s="1467"/>
      <c r="T15" s="1479"/>
      <c r="U15" s="40"/>
    </row>
    <row r="16" spans="1:21" s="34" customFormat="1" ht="24" customHeight="1">
      <c r="B16" s="511"/>
      <c r="C16" s="968" t="s">
        <v>332</v>
      </c>
      <c r="D16" s="535">
        <f>IF(D15="BR18 (Denmark)",500,IF(D15="IPCC AR6 EPC", 'S3-Carbon-Standards'!K5, IF(D15="IPCC AR6 EA", 'S3-Carbon-Standards'!L5, IF(D15="TGS4",500,IF(D15="CaGBC ZCB D",425,IF(D15="CaGBC ZCB P",425,IF(D15="Self Reported",I$41,"N/A")))))))</f>
        <v>345.82</v>
      </c>
      <c r="E16" s="530" t="s">
        <v>333</v>
      </c>
      <c r="F16" s="966" t="s">
        <v>1779</v>
      </c>
      <c r="G16" s="1792"/>
      <c r="H16" s="2249" t="s">
        <v>2168</v>
      </c>
      <c r="I16" s="2249"/>
      <c r="J16" s="1908"/>
      <c r="K16" s="1914" t="s">
        <v>2040</v>
      </c>
      <c r="L16" s="1940">
        <v>1.5</v>
      </c>
      <c r="M16" s="1852" t="s">
        <v>1706</v>
      </c>
      <c r="N16" s="31"/>
      <c r="O16" s="721"/>
      <c r="Q16" s="1468"/>
      <c r="T16" s="1479"/>
      <c r="U16" s="91" t="s">
        <v>1892</v>
      </c>
    </row>
    <row r="17" spans="1:21" s="34" customFormat="1" ht="50" customHeight="1">
      <c r="B17" s="511"/>
      <c r="C17" s="71"/>
      <c r="D17" s="512"/>
      <c r="E17" s="513"/>
      <c r="F17" s="1904" t="s">
        <v>1684</v>
      </c>
      <c r="G17" s="1905"/>
      <c r="H17" s="1906" t="s">
        <v>2169</v>
      </c>
      <c r="I17" s="514"/>
      <c r="J17" s="71"/>
      <c r="K17" s="309"/>
      <c r="L17" s="309"/>
      <c r="M17" s="309"/>
      <c r="N17" s="76"/>
      <c r="O17" s="721"/>
      <c r="Q17" s="1468"/>
      <c r="T17" s="1479"/>
      <c r="U17" s="91"/>
    </row>
    <row r="18" spans="1:21" ht="40" customHeight="1" thickBot="1">
      <c r="B18" s="760"/>
      <c r="C18" s="1086" t="s">
        <v>2064</v>
      </c>
      <c r="D18" s="1086" t="s">
        <v>36</v>
      </c>
      <c r="E18" s="1086" t="s">
        <v>824</v>
      </c>
      <c r="F18" s="1096"/>
      <c r="G18" s="1096"/>
      <c r="H18" s="1086" t="s">
        <v>36</v>
      </c>
      <c r="I18" s="1086" t="s">
        <v>824</v>
      </c>
      <c r="J18" s="1095"/>
      <c r="K18" s="1095"/>
      <c r="L18" s="1095"/>
      <c r="M18" s="1121" t="s">
        <v>815</v>
      </c>
      <c r="N18" s="25"/>
      <c r="O18" s="719"/>
      <c r="P18" s="26"/>
      <c r="Q18" s="1467"/>
      <c r="R18" s="31"/>
      <c r="T18" s="1481"/>
      <c r="U18" s="143"/>
    </row>
    <row r="19" spans="1:21" ht="30" customHeight="1" thickTop="1">
      <c r="B19" s="760"/>
      <c r="C19" s="917" t="s">
        <v>1553</v>
      </c>
      <c r="D19" s="764" t="s">
        <v>1992</v>
      </c>
      <c r="E19" s="1803"/>
      <c r="F19" s="765" t="s">
        <v>1554</v>
      </c>
      <c r="G19" s="1778"/>
      <c r="H19" s="1778" t="s">
        <v>43</v>
      </c>
      <c r="I19" s="933" t="s">
        <v>879</v>
      </c>
      <c r="J19" s="934">
        <f>IF(D20&lt;3000, 4, IF(D20&lt;4000, 5, IF(D20&lt;5000, 6, IF(D20&lt;6000, 7.1, IF(D20&lt;7000, 7.2, 8)))))</f>
        <v>6</v>
      </c>
      <c r="K19" s="93" t="s">
        <v>2003</v>
      </c>
      <c r="L19" s="1787"/>
      <c r="M19" s="1991">
        <v>120</v>
      </c>
      <c r="N19" s="26"/>
      <c r="O19" s="719"/>
      <c r="P19" s="26"/>
      <c r="Q19" s="1467"/>
      <c r="R19" s="76"/>
      <c r="T19" s="1481"/>
      <c r="U19" s="143"/>
    </row>
    <row r="20" spans="1:21" ht="25" customHeight="1">
      <c r="B20" s="83"/>
      <c r="C20" s="930" t="s">
        <v>817</v>
      </c>
      <c r="D20" s="1794">
        <f>IFERROR(IF(H20="Present",VLOOKUP(H19,CANADA!A6:K699,9,FALSE),VLOOKUP(H19,CANADA!A6:K699,11,FALSE)),"City Not Found")</f>
        <v>4600</v>
      </c>
      <c r="E20" s="1864"/>
      <c r="F20" s="932" t="s">
        <v>2006</v>
      </c>
      <c r="H20" s="1942" t="s">
        <v>1980</v>
      </c>
      <c r="I20" s="1943"/>
      <c r="J20" s="2290" t="s">
        <v>269</v>
      </c>
      <c r="K20" s="2291"/>
      <c r="L20" s="2292" t="s">
        <v>842</v>
      </c>
      <c r="M20" s="2293"/>
      <c r="N20" s="86"/>
      <c r="O20" s="723"/>
      <c r="P20" s="87"/>
      <c r="Q20" s="1473"/>
      <c r="R20" s="56"/>
      <c r="T20" s="1481"/>
      <c r="U20" s="91" t="s">
        <v>274</v>
      </c>
    </row>
    <row r="21" spans="1:21" ht="25" customHeight="1">
      <c r="A21" s="83"/>
      <c r="C21" s="313" t="s">
        <v>912</v>
      </c>
      <c r="D21" s="1795">
        <f>IFERROR(IF(H20="Present",VLOOKUP(H19,CANADA!A6:M699,12,FALSE),VLOOKUP(H19,CANADA!A6:M699,13,FALSE)),"City Not Found")</f>
        <v>196</v>
      </c>
      <c r="E21" s="1896" t="str">
        <f>IF(D21=666, "Undefined CDD for Location, Add to Climate Table", "")</f>
        <v/>
      </c>
      <c r="F21" s="462" t="s">
        <v>2002</v>
      </c>
      <c r="G21" s="142"/>
      <c r="H21" s="1944" t="s">
        <v>1547</v>
      </c>
      <c r="I21" s="1945">
        <v>0.5</v>
      </c>
      <c r="J21" s="2294" t="s">
        <v>268</v>
      </c>
      <c r="K21" s="2291"/>
      <c r="L21" s="2295" t="s">
        <v>843</v>
      </c>
      <c r="M21" s="2293"/>
      <c r="N21" s="86"/>
      <c r="O21" s="723"/>
      <c r="P21" s="87"/>
      <c r="Q21" s="1473"/>
      <c r="R21" s="56"/>
      <c r="T21" s="1481"/>
      <c r="U21" s="485" t="s">
        <v>1436</v>
      </c>
    </row>
    <row r="22" spans="1:21" ht="25" customHeight="1">
      <c r="B22" s="83"/>
      <c r="C22" s="316" t="s">
        <v>1839</v>
      </c>
      <c r="D22" s="1796">
        <f>SCHEDULES!N3</f>
        <v>1960</v>
      </c>
      <c r="F22" s="103" t="s">
        <v>1840</v>
      </c>
      <c r="G22" s="1805"/>
      <c r="H22" s="1804">
        <f>IF(H21="Static", SCHEDULES!N4, SCHEDULES!N5)</f>
        <v>-1680</v>
      </c>
      <c r="N22" s="25"/>
      <c r="O22" s="719"/>
      <c r="P22" s="26"/>
      <c r="Q22" s="1467"/>
      <c r="R22" s="56"/>
      <c r="T22" s="1481"/>
      <c r="U22" s="149" t="s">
        <v>305</v>
      </c>
    </row>
    <row r="23" spans="1:21" ht="25" customHeight="1">
      <c r="B23" s="83"/>
      <c r="C23" s="314" t="s">
        <v>1841</v>
      </c>
      <c r="D23" s="1797">
        <f>IFERROR(IF(H20="Future",VLOOKUP(H19,CANADA!A6:D699,3,FALSE),VLOOKUP(H19,CANADA!A6:D699,4,FALSE)),"Value Not Found")</f>
        <v>-26</v>
      </c>
      <c r="E23" s="1903">
        <f>D23*2+30</f>
        <v>-22</v>
      </c>
      <c r="F23" s="93" t="s">
        <v>2034</v>
      </c>
      <c r="G23" s="1891"/>
      <c r="H23" s="1798">
        <f>IF(D49="PHPP Method", 18, IF(S2RepStandard='CODE-VALUES'!S2, 20, _xlfn.XLOOKUP(D12, OccType, MinIndoorTemp)))</f>
        <v>18</v>
      </c>
      <c r="I23" s="1798">
        <f>H23*2+30</f>
        <v>66</v>
      </c>
      <c r="J23" s="148"/>
      <c r="K23" s="148"/>
      <c r="L23" s="148"/>
      <c r="M23" s="1977">
        <f>T23/H23</f>
        <v>1.2222222222222223</v>
      </c>
      <c r="N23" s="26"/>
      <c r="O23" s="719"/>
      <c r="P23" s="26"/>
      <c r="Q23" s="1467"/>
      <c r="R23" s="90"/>
      <c r="T23" s="1490">
        <f>INDEX('CODE-VALUES'!$C23:$S23, 1, MATCH(S2RepStandard, 'CODE-VALUES'!$C$2:$S$2, 0))</f>
        <v>22</v>
      </c>
      <c r="U23" s="149" t="s">
        <v>326</v>
      </c>
    </row>
    <row r="24" spans="1:21" ht="25" customHeight="1">
      <c r="B24" s="83"/>
      <c r="C24" s="314" t="s">
        <v>1842</v>
      </c>
      <c r="D24" s="1797">
        <f>IFERROR(IF(H19="Future",VLOOKUP(REPORT!H19,CANADA!A6:G699,5,FALSE),VLOOKUP(REPORT!H19,CANADA!A6:G699,7,FALSE)),"Value Not Found")</f>
        <v>34</v>
      </c>
      <c r="E24" s="1903">
        <f>D24*2+30</f>
        <v>98</v>
      </c>
      <c r="F24" s="1897" t="s">
        <v>2035</v>
      </c>
      <c r="G24" s="1891"/>
      <c r="H24" s="1988">
        <v>24</v>
      </c>
      <c r="I24" s="1898">
        <f>H24*2+30</f>
        <v>78</v>
      </c>
      <c r="J24" s="1899"/>
      <c r="K24" s="1806"/>
      <c r="L24" s="1806"/>
      <c r="M24" s="1979">
        <f>T24/H24</f>
        <v>1.0833333333333333</v>
      </c>
      <c r="N24" s="26"/>
      <c r="O24" s="719"/>
      <c r="P24" s="26"/>
      <c r="Q24" s="1467"/>
      <c r="R24" s="90"/>
      <c r="T24" s="1490">
        <f>INDEX('CODE-VALUES'!$C24:$S24, 1, MATCH(S2RepStandard, 'CODE-VALUES'!$C$2:$S$2, 0))</f>
        <v>26</v>
      </c>
      <c r="U24" s="149" t="s">
        <v>327</v>
      </c>
    </row>
    <row r="25" spans="1:21" ht="25" customHeight="1">
      <c r="B25" s="83"/>
      <c r="C25" s="945"/>
      <c r="D25" s="946"/>
      <c r="E25" s="947"/>
      <c r="F25" s="948"/>
      <c r="G25" s="92"/>
      <c r="H25" s="949"/>
      <c r="I25" s="105"/>
      <c r="J25" s="105"/>
      <c r="K25" s="105"/>
      <c r="L25" s="204"/>
      <c r="M25" s="117"/>
      <c r="N25" s="26"/>
      <c r="O25" s="719"/>
      <c r="P25" s="26"/>
      <c r="Q25" s="1467"/>
      <c r="R25" s="90"/>
      <c r="T25" s="1481"/>
      <c r="U25" s="94"/>
    </row>
    <row r="26" spans="1:21" ht="50" customHeight="1" thickBot="1">
      <c r="B26" s="50"/>
      <c r="C26" s="1105" t="s">
        <v>2065</v>
      </c>
      <c r="D26" s="2332" t="s">
        <v>1742</v>
      </c>
      <c r="E26" s="2332"/>
      <c r="F26" s="1106" t="s">
        <v>1743</v>
      </c>
      <c r="G26" s="1107" t="s">
        <v>1744</v>
      </c>
      <c r="H26" s="2332" t="s">
        <v>1745</v>
      </c>
      <c r="I26" s="2332"/>
      <c r="J26" s="1106" t="s">
        <v>1746</v>
      </c>
      <c r="K26" s="1107" t="s">
        <v>1747</v>
      </c>
      <c r="L26" s="2332" t="s">
        <v>1748</v>
      </c>
      <c r="M26" s="2332"/>
      <c r="O26" s="721" t="s">
        <v>524</v>
      </c>
      <c r="P26" s="2329" t="s">
        <v>2057</v>
      </c>
      <c r="Q26" s="2329"/>
      <c r="T26" s="1479"/>
      <c r="U26" s="144" t="s">
        <v>21</v>
      </c>
    </row>
    <row r="27" spans="1:21" ht="26" customHeight="1" thickTop="1">
      <c r="B27" s="52"/>
      <c r="C27" s="917" t="s">
        <v>791</v>
      </c>
      <c r="D27" s="918">
        <v>132938</v>
      </c>
      <c r="E27" s="919" t="s">
        <v>0</v>
      </c>
      <c r="F27" s="920">
        <f>D27-D43-I44</f>
        <v>132938</v>
      </c>
      <c r="G27" s="921">
        <f>F27*L27/1000</f>
        <v>6779.8379999999997</v>
      </c>
      <c r="H27" s="922">
        <f>D$136</f>
        <v>132765.64793897627</v>
      </c>
      <c r="I27" s="901" t="s">
        <v>0</v>
      </c>
      <c r="J27" s="923">
        <f>H27-D43-I43</f>
        <v>132765.64793897627</v>
      </c>
      <c r="K27" s="924">
        <f>J27*L27/1000</f>
        <v>6771.0480448877897</v>
      </c>
      <c r="L27" s="925">
        <f>IF(D19="ON",_xlfn.XLOOKUP(H12,AEFYear,AEFvalues),IF(D19="AB",650,IF(D19="SK",720,IF(D19="MB",3,IF(D19="BC",12,IF(D19="NB",340,IF(D19="NL",30,IF(D19="NS",600,IF(D19="NT",180,IF(D19="NU",200,IF(D19="PE",12,IF(D19="QC",1,IF(D19="YT",2,0)))))))))))))</f>
        <v>51</v>
      </c>
      <c r="M27" s="926" t="s">
        <v>334</v>
      </c>
      <c r="P27" s="531">
        <f>IF(H12=2022, 65, IF(H12=2023, 65, IF(H12=2024, 80, IF(H12=2025, 95, IF(H12=2026, 110, IF(H12=2027, 125, IF(H12=2028, 140, IF(H12=2029, 155, IF(H12=2030, 170, "$30.00")))))))))</f>
        <v>65</v>
      </c>
      <c r="Q27" s="530" t="s">
        <v>494</v>
      </c>
      <c r="R27" s="1523"/>
      <c r="S27" s="1478"/>
      <c r="T27" s="1485"/>
      <c r="U27" s="91" t="s">
        <v>20</v>
      </c>
    </row>
    <row r="28" spans="1:21" ht="26" customHeight="1">
      <c r="B28" s="52"/>
      <c r="C28" s="532" t="s">
        <v>792</v>
      </c>
      <c r="D28" s="547">
        <v>0</v>
      </c>
      <c r="E28" s="538" t="s">
        <v>310</v>
      </c>
      <c r="F28" s="539">
        <f>D28*0.0373*277.7778</f>
        <v>0</v>
      </c>
      <c r="G28" s="540">
        <f>(D28)*L28/1000</f>
        <v>0</v>
      </c>
      <c r="H28" s="541">
        <f>E51+H115</f>
        <v>0</v>
      </c>
      <c r="I28" s="542" t="s">
        <v>310</v>
      </c>
      <c r="J28" s="543">
        <f>H28*0.0373*277.7778</f>
        <v>0</v>
      </c>
      <c r="K28" s="544">
        <f>H28*L28/1000</f>
        <v>0</v>
      </c>
      <c r="L28" s="545">
        <v>1921</v>
      </c>
      <c r="M28" s="546" t="s">
        <v>335</v>
      </c>
      <c r="P28" s="531">
        <f>P27*D38</f>
        <v>440.68946999999997</v>
      </c>
      <c r="Q28" s="530" t="s">
        <v>496</v>
      </c>
      <c r="R28" s="56"/>
      <c r="T28" s="1479"/>
      <c r="U28" s="91" t="s">
        <v>20</v>
      </c>
    </row>
    <row r="29" spans="1:21" ht="26" customHeight="1">
      <c r="B29" s="52"/>
      <c r="C29" s="532" t="s">
        <v>793</v>
      </c>
      <c r="D29" s="548">
        <v>0</v>
      </c>
      <c r="E29" s="538" t="s">
        <v>312</v>
      </c>
      <c r="F29" s="539">
        <f>D29*14.019</f>
        <v>0</v>
      </c>
      <c r="G29" s="540">
        <f>D29*L29/1000</f>
        <v>0</v>
      </c>
      <c r="H29" s="541">
        <f>D29</f>
        <v>0</v>
      </c>
      <c r="I29" s="542" t="s">
        <v>312</v>
      </c>
      <c r="J29" s="543">
        <f>H29*14.019</f>
        <v>0</v>
      </c>
      <c r="K29" s="544">
        <f>H29*L29/1000</f>
        <v>0</v>
      </c>
      <c r="L29" s="545">
        <v>2970</v>
      </c>
      <c r="M29" s="546" t="s">
        <v>338</v>
      </c>
      <c r="P29" s="536">
        <f>P27*D40</f>
        <v>25403.176395999999</v>
      </c>
      <c r="Q29" s="530" t="s">
        <v>495</v>
      </c>
      <c r="R29" s="56"/>
      <c r="T29" s="1479"/>
      <c r="U29" s="91" t="s">
        <v>336</v>
      </c>
    </row>
    <row r="30" spans="1:21" ht="26" customHeight="1">
      <c r="B30" s="52"/>
      <c r="C30" s="532" t="s">
        <v>794</v>
      </c>
      <c r="D30" s="548">
        <v>0</v>
      </c>
      <c r="E30" s="538" t="s">
        <v>3</v>
      </c>
      <c r="F30" s="539">
        <f>D30*36.72*0.2777778</f>
        <v>0</v>
      </c>
      <c r="G30" s="540">
        <f>D30*L30/1000</f>
        <v>0</v>
      </c>
      <c r="H30" s="541">
        <f>D30</f>
        <v>0</v>
      </c>
      <c r="I30" s="542" t="s">
        <v>3</v>
      </c>
      <c r="J30" s="543">
        <f>H30*36.72*0.2777778</f>
        <v>0</v>
      </c>
      <c r="K30" s="544">
        <f>H30*L30/1000</f>
        <v>0</v>
      </c>
      <c r="L30" s="545">
        <v>2753</v>
      </c>
      <c r="M30" s="546" t="s">
        <v>337</v>
      </c>
      <c r="Q30" s="1467"/>
      <c r="R30" s="31"/>
      <c r="T30" s="1479"/>
      <c r="U30" s="91" t="s">
        <v>20</v>
      </c>
    </row>
    <row r="31" spans="1:21" ht="26" customHeight="1" thickBot="1">
      <c r="B31" s="52"/>
      <c r="C31" s="532" t="s">
        <v>1827</v>
      </c>
      <c r="D31" s="548">
        <v>0</v>
      </c>
      <c r="E31" s="538" t="s">
        <v>310</v>
      </c>
      <c r="F31" s="539">
        <f>D31*1000</f>
        <v>0</v>
      </c>
      <c r="G31" s="540">
        <f>H31*L31</f>
        <v>0</v>
      </c>
      <c r="H31" s="541">
        <f>D31</f>
        <v>0</v>
      </c>
      <c r="I31" s="542" t="s">
        <v>310</v>
      </c>
      <c r="J31" s="1452">
        <f>H31*1000</f>
        <v>0</v>
      </c>
      <c r="K31" s="1453">
        <f>H31*L31</f>
        <v>0</v>
      </c>
      <c r="L31" s="549">
        <v>150</v>
      </c>
      <c r="M31" s="546" t="s">
        <v>426</v>
      </c>
      <c r="P31" s="222"/>
      <c r="Q31" s="1467"/>
      <c r="R31" s="31"/>
      <c r="T31" s="1479"/>
      <c r="U31" s="91" t="s">
        <v>20</v>
      </c>
    </row>
    <row r="32" spans="1:21" ht="26" customHeight="1" thickTop="1">
      <c r="B32" s="52"/>
      <c r="C32" s="532" t="s">
        <v>2051</v>
      </c>
      <c r="D32" s="550"/>
      <c r="E32" s="538"/>
      <c r="F32" s="1454">
        <f>SUM(F27:F31)</f>
        <v>132938</v>
      </c>
      <c r="G32" s="1455">
        <f>SUM(G27:G31)-(D60*1000)</f>
        <v>6779.8379999999997</v>
      </c>
      <c r="H32" s="551"/>
      <c r="I32" s="542"/>
      <c r="J32" s="1454">
        <f>SUM(J27:J31)</f>
        <v>132765.64793897627</v>
      </c>
      <c r="K32" s="1455">
        <f>SUM(K27:K31)-(D60*1000)</f>
        <v>6771.0480448877897</v>
      </c>
      <c r="L32" s="551"/>
      <c r="M32" s="552"/>
      <c r="P32" s="223"/>
      <c r="Q32" s="1467"/>
      <c r="R32" s="76"/>
      <c r="T32" s="1479"/>
      <c r="U32" s="91"/>
    </row>
    <row r="33" spans="2:21" ht="26" customHeight="1">
      <c r="B33" s="52"/>
      <c r="C33" s="532" t="s">
        <v>1828</v>
      </c>
      <c r="D33" s="553">
        <f>SUM(F$27+F$28+F$29+F$30+F$31-D43-I43)/277.7777</f>
        <v>478.57693400154153</v>
      </c>
      <c r="E33" s="530" t="s">
        <v>308</v>
      </c>
      <c r="F33" s="534"/>
      <c r="G33" s="534"/>
      <c r="H33" s="554">
        <f>SUM(J$27+J$28+J$29+J$30+J$31-I44-D43)/277.7777</f>
        <v>477.95646640812521</v>
      </c>
      <c r="I33" s="555" t="s">
        <v>308</v>
      </c>
      <c r="K33" s="1976"/>
      <c r="L33" s="557"/>
      <c r="N33" s="25"/>
      <c r="O33" s="719"/>
      <c r="P33" s="221"/>
      <c r="Q33" s="1467"/>
      <c r="R33" s="31"/>
      <c r="T33" s="1479"/>
      <c r="U33" s="91" t="s">
        <v>20</v>
      </c>
    </row>
    <row r="34" spans="2:21" ht="26" customHeight="1">
      <c r="B34" s="52"/>
      <c r="C34" s="532" t="s">
        <v>1829</v>
      </c>
      <c r="D34" s="558">
        <f>(F27+F28)/D63</f>
        <v>1055.063492063492</v>
      </c>
      <c r="E34" s="528" t="s">
        <v>830</v>
      </c>
      <c r="F34" s="559">
        <f>D33/D63</f>
        <v>3.7982296349328695</v>
      </c>
      <c r="G34" s="560" t="s">
        <v>831</v>
      </c>
      <c r="H34" s="561">
        <f>(J27+J28)/D63</f>
        <v>1053.6956185633037</v>
      </c>
      <c r="I34" s="562" t="s">
        <v>832</v>
      </c>
      <c r="J34" s="563">
        <f>H33/D63</f>
        <v>3.7933052889533747</v>
      </c>
      <c r="K34" s="564" t="s">
        <v>833</v>
      </c>
      <c r="L34" s="1456">
        <f>K32/D63</f>
        <v>53.738476546728492</v>
      </c>
      <c r="M34" s="546" t="s">
        <v>1885</v>
      </c>
      <c r="N34" s="26"/>
      <c r="O34" s="719"/>
      <c r="P34" s="221"/>
      <c r="Q34" s="1467"/>
      <c r="R34" s="76"/>
      <c r="T34" s="1479"/>
      <c r="U34" s="91"/>
    </row>
    <row r="35" spans="2:21" ht="26" customHeight="1">
      <c r="B35" s="52"/>
      <c r="C35" s="532" t="s">
        <v>2008</v>
      </c>
      <c r="D35" s="558">
        <f>IF(D14="Targeted Use", J27*H35, F27*H35)</f>
        <v>132938</v>
      </c>
      <c r="E35" s="530" t="s">
        <v>0</v>
      </c>
      <c r="F35" s="558">
        <f>D35/H15</f>
        <v>93.146020179372201</v>
      </c>
      <c r="G35" s="528" t="s">
        <v>4</v>
      </c>
      <c r="H35" s="1949">
        <v>1</v>
      </c>
      <c r="I35" s="528" t="s">
        <v>501</v>
      </c>
      <c r="J35" s="534"/>
      <c r="K35" s="534"/>
      <c r="L35" s="534"/>
      <c r="M35" s="565" t="str">
        <f>IF(T35=0, "N/A", F35/T35)</f>
        <v>N/A</v>
      </c>
      <c r="N35" s="25"/>
      <c r="O35" s="719"/>
      <c r="P35" s="221"/>
      <c r="Q35" s="1467"/>
      <c r="R35" s="31"/>
      <c r="T35" s="1486">
        <f>INDEX('CODE-VALUES'!$C35:$S35, 1, MATCH(S2RepStandard, 'CODE-VALUES'!$C$2:$S$2, 0))</f>
        <v>0</v>
      </c>
      <c r="U35" s="91" t="s">
        <v>1726</v>
      </c>
    </row>
    <row r="36" spans="2:21" ht="25" customHeight="1">
      <c r="B36" s="57"/>
      <c r="C36" s="58"/>
      <c r="D36" s="59"/>
      <c r="E36" s="62"/>
      <c r="F36" s="60"/>
      <c r="G36" s="61"/>
      <c r="H36" s="61"/>
      <c r="I36" s="61"/>
      <c r="J36" s="61"/>
      <c r="K36" s="60"/>
      <c r="L36" s="61"/>
      <c r="M36" s="62"/>
      <c r="N36" s="25"/>
      <c r="O36" s="719"/>
      <c r="P36" s="221"/>
      <c r="Q36" s="1467"/>
      <c r="R36" s="31"/>
      <c r="T36" s="1480"/>
      <c r="U36" s="143"/>
    </row>
    <row r="37" spans="2:21" ht="40" customHeight="1" thickBot="1">
      <c r="B37" s="57"/>
      <c r="C37" s="1104" t="s">
        <v>2066</v>
      </c>
      <c r="D37" s="1960"/>
      <c r="E37" s="1101"/>
      <c r="F37" s="1101"/>
      <c r="G37" s="1104" t="s">
        <v>2048</v>
      </c>
      <c r="H37" s="1101"/>
      <c r="I37" s="1972" t="s">
        <v>2048</v>
      </c>
      <c r="J37" s="1101"/>
      <c r="K37" s="1101"/>
      <c r="L37" s="1084"/>
      <c r="M37" s="1084"/>
      <c r="N37" s="25"/>
      <c r="O37" s="719"/>
      <c r="P37" s="221"/>
      <c r="Q37" s="1467"/>
      <c r="R37" s="56"/>
      <c r="U37" s="91" t="s">
        <v>22</v>
      </c>
    </row>
    <row r="38" spans="2:21" ht="25" customHeight="1" thickTop="1">
      <c r="B38" s="66"/>
      <c r="C38" s="1954" t="s">
        <v>2050</v>
      </c>
      <c r="D38" s="1959">
        <f>IF(D14="Utility Bills", (G32/1000), (K32/1000))</f>
        <v>6.7798379999999998</v>
      </c>
      <c r="E38" s="1958" t="s">
        <v>351</v>
      </c>
      <c r="F38" s="1700"/>
      <c r="G38" s="1961">
        <f>IF(D14="Utility Bills", G32/H15, K32/H15)</f>
        <v>4.7504470291479821</v>
      </c>
      <c r="I38" s="1973">
        <f>G38*H13</f>
        <v>237.52235145739911</v>
      </c>
      <c r="J38" s="33" t="s">
        <v>2049</v>
      </c>
      <c r="K38" s="1700"/>
      <c r="M38" s="1700"/>
      <c r="N38" s="26"/>
      <c r="O38" s="719"/>
      <c r="P38" s="223"/>
      <c r="Q38" s="1467"/>
      <c r="R38" s="2215">
        <f>G38/T38</f>
        <v>0.15834823430493275</v>
      </c>
      <c r="T38" s="1494">
        <f>INDEX('CODE-VALUES'!$C37:$S37, 1, MATCH(S2RepStandard, 'CODE-VALUES'!$C$2:$S$2, 0))</f>
        <v>30</v>
      </c>
      <c r="U38" s="91"/>
    </row>
    <row r="39" spans="2:21" ht="25" customHeight="1">
      <c r="B39" s="66"/>
      <c r="C39" s="762" t="s">
        <v>2046</v>
      </c>
      <c r="D39" s="2335" t="s">
        <v>1993</v>
      </c>
      <c r="E39" s="2335"/>
      <c r="F39" s="1891"/>
      <c r="G39" s="867" t="s">
        <v>2151</v>
      </c>
      <c r="H39" s="1891"/>
      <c r="I39" s="1970">
        <f>IF(D39="Pt.9 Res. Stick Frame",125,IF(D39="Pt.9 Small Mass Timber",250,IF(D39="Pt.3 Mass Timber",350,IF(D39="Pt.3 Concrete",550,IF(D39="Pt.3 Steel",650,IF(D39="Pt.3 Office",600,IF(D39="Modelled Value",I$41,"Pls. Select a Value")))))))</f>
        <v>350</v>
      </c>
      <c r="J39" s="1806"/>
      <c r="K39" s="1806"/>
      <c r="L39" s="1964"/>
      <c r="M39" s="2231">
        <f>IF(ISNUMBER(I39), I41/I39, "N/A")</f>
        <v>0.98805714285714286</v>
      </c>
      <c r="N39" s="25"/>
      <c r="O39" s="721" t="s">
        <v>524</v>
      </c>
      <c r="Q39" s="1467"/>
      <c r="R39" s="31"/>
      <c r="T39" s="1486">
        <f>INDEX('CODE-VALUES'!$C39:$S39, 1, MATCH(S2RepStandard, 'CODE-VALUES'!$C$2:$S$2, 0))</f>
        <v>500</v>
      </c>
      <c r="U39" s="91" t="s">
        <v>23</v>
      </c>
    </row>
    <row r="40" spans="2:21" ht="25" customHeight="1">
      <c r="B40" s="66"/>
      <c r="C40" s="1966" t="s">
        <v>2045</v>
      </c>
      <c r="D40" s="1974">
        <f>I41*D106/1000</f>
        <v>390.8180984</v>
      </c>
      <c r="E40" s="1963" t="s">
        <v>2047</v>
      </c>
      <c r="F40" s="1806"/>
      <c r="G40" s="533" t="s">
        <v>332</v>
      </c>
      <c r="H40" s="1891"/>
      <c r="I40" s="2230">
        <f>D16</f>
        <v>345.82</v>
      </c>
      <c r="J40" s="1891"/>
      <c r="L40" s="1891"/>
      <c r="M40" s="2231">
        <f>IF(ISNUMBER(I40), I41/T40, "N/A")</f>
        <v>0.69164000000000003</v>
      </c>
      <c r="N40" s="25"/>
      <c r="O40" s="719"/>
      <c r="P40" s="223"/>
      <c r="Q40" s="1467"/>
      <c r="R40" s="31"/>
      <c r="T40" s="1486">
        <f>INDEX('CODE-VALUES'!$C40:$S40, 1, MATCH(S2RepStandard, 'CODE-VALUES'!$C$2:$S$2, 0))</f>
        <v>500</v>
      </c>
      <c r="U40" s="91" t="s">
        <v>24</v>
      </c>
    </row>
    <row r="41" spans="2:21" ht="50" customHeight="1">
      <c r="B41" s="66"/>
      <c r="C41" s="1967" t="s">
        <v>2052</v>
      </c>
      <c r="D41" s="1968">
        <f>(REFERENCE!D37-REPORT!D38)*H13</f>
        <v>-338.99189999999999</v>
      </c>
      <c r="E41" s="1969" t="s">
        <v>339</v>
      </c>
      <c r="G41" s="1965" t="s">
        <v>2053</v>
      </c>
      <c r="H41" s="1693"/>
      <c r="I41" s="1953">
        <v>345.82</v>
      </c>
      <c r="J41" s="1975"/>
      <c r="K41" s="1550"/>
      <c r="L41" s="1962"/>
      <c r="M41" s="2232">
        <f>IF(ISNUMBER(I40), I41/I40, "N/A")</f>
        <v>1</v>
      </c>
      <c r="N41" s="25"/>
      <c r="O41" s="719"/>
      <c r="P41" s="26"/>
      <c r="Q41" s="1467"/>
      <c r="R41" s="31"/>
      <c r="T41" s="1480"/>
      <c r="U41" s="143"/>
    </row>
    <row r="42" spans="2:21" ht="40" customHeight="1" thickBot="1">
      <c r="B42" s="57"/>
      <c r="C42" s="1098" t="s">
        <v>2077</v>
      </c>
      <c r="D42" s="1972" t="s">
        <v>0</v>
      </c>
      <c r="E42" s="1101"/>
      <c r="F42" s="1101"/>
      <c r="G42" s="1101"/>
      <c r="H42" s="1101"/>
      <c r="I42" s="1972" t="s">
        <v>0</v>
      </c>
      <c r="J42" s="1101"/>
      <c r="K42" s="1101"/>
      <c r="L42" s="1972"/>
      <c r="M42" s="1972" t="s">
        <v>0</v>
      </c>
      <c r="N42" s="25"/>
      <c r="O42" s="719"/>
      <c r="P42" s="26"/>
      <c r="Q42" s="1467"/>
      <c r="R42" s="31"/>
      <c r="T42" s="1480"/>
      <c r="U42" s="91" t="s">
        <v>425</v>
      </c>
    </row>
    <row r="43" spans="2:21" s="230" customFormat="1" ht="30" customHeight="1" thickTop="1">
      <c r="B43" s="354"/>
      <c r="C43" s="762" t="s">
        <v>2076</v>
      </c>
      <c r="D43" s="2030">
        <f>SUM(D44:D46)+I46</f>
        <v>0</v>
      </c>
      <c r="E43" s="2031"/>
      <c r="F43" s="1807"/>
      <c r="G43" s="2021" t="s">
        <v>2028</v>
      </c>
      <c r="H43" s="1807"/>
      <c r="I43" s="2030">
        <f>I44+I46</f>
        <v>0</v>
      </c>
      <c r="J43" s="2031"/>
      <c r="K43" s="1807"/>
      <c r="L43" s="2034" t="s">
        <v>2029</v>
      </c>
      <c r="M43" s="2033">
        <v>0</v>
      </c>
      <c r="N43" s="232"/>
      <c r="O43" s="722"/>
      <c r="P43" s="232"/>
      <c r="Q43" s="1472"/>
      <c r="R43" s="1788"/>
      <c r="T43" s="1482"/>
      <c r="U43" s="356"/>
    </row>
    <row r="44" spans="2:21" ht="27" customHeight="1">
      <c r="B44" s="66"/>
      <c r="C44" s="762" t="s">
        <v>1831</v>
      </c>
      <c r="D44" s="2029">
        <v>0</v>
      </c>
      <c r="E44" s="1802"/>
      <c r="F44" s="1891"/>
      <c r="G44" s="2036" t="s">
        <v>1833</v>
      </c>
      <c r="H44" s="1891"/>
      <c r="I44" s="2037">
        <v>0</v>
      </c>
      <c r="J44" s="2038"/>
      <c r="K44" s="1891"/>
      <c r="L44" s="1806"/>
      <c r="M44" s="1806"/>
      <c r="N44" s="25"/>
      <c r="O44" s="719"/>
      <c r="P44" s="26"/>
      <c r="Q44" s="1467"/>
      <c r="R44" s="31"/>
      <c r="T44" s="1480"/>
      <c r="U44" s="91" t="s">
        <v>271</v>
      </c>
    </row>
    <row r="45" spans="2:21" ht="27" customHeight="1">
      <c r="B45" s="66"/>
      <c r="C45" s="310" t="s">
        <v>1830</v>
      </c>
      <c r="D45" s="27">
        <v>0</v>
      </c>
      <c r="E45" s="54"/>
      <c r="F45" s="1891"/>
      <c r="G45" s="2036" t="s">
        <v>1834</v>
      </c>
      <c r="H45" s="1891"/>
      <c r="I45" s="2039">
        <f>L45*10.3321</f>
        <v>0</v>
      </c>
      <c r="J45" s="2038" t="s">
        <v>2</v>
      </c>
      <c r="K45" s="1891"/>
      <c r="L45" s="27">
        <v>0</v>
      </c>
      <c r="M45" s="54" t="s">
        <v>2078</v>
      </c>
      <c r="N45" s="25"/>
      <c r="O45" s="719"/>
      <c r="P45" s="26"/>
      <c r="Q45" s="1467"/>
      <c r="R45" s="31"/>
      <c r="T45" s="1480"/>
      <c r="U45" s="91" t="s">
        <v>25</v>
      </c>
    </row>
    <row r="46" spans="2:21" ht="27" customHeight="1">
      <c r="B46" s="66"/>
      <c r="C46" s="310" t="s">
        <v>1832</v>
      </c>
      <c r="D46" s="28">
        <v>0</v>
      </c>
      <c r="E46" s="54"/>
      <c r="F46" s="1891"/>
      <c r="G46" s="2036" t="s">
        <v>1835</v>
      </c>
      <c r="H46" s="1891"/>
      <c r="I46" s="2037">
        <v>0</v>
      </c>
      <c r="J46" s="2038"/>
      <c r="K46" s="1891"/>
      <c r="L46" s="1806"/>
      <c r="M46" s="2032"/>
      <c r="N46" s="25"/>
      <c r="O46" s="719"/>
      <c r="P46" s="26"/>
      <c r="Q46" s="1467"/>
      <c r="R46" s="31"/>
      <c r="T46" s="1480"/>
      <c r="U46" s="91" t="s">
        <v>354</v>
      </c>
    </row>
    <row r="47" spans="2:21" ht="30" customHeight="1">
      <c r="B47" s="57"/>
      <c r="C47" s="1547"/>
      <c r="D47" s="1548"/>
      <c r="E47" s="1549"/>
      <c r="N47" s="25"/>
      <c r="O47" s="719"/>
      <c r="P47" s="26"/>
      <c r="Q47" s="1467"/>
      <c r="R47" s="31"/>
      <c r="T47" s="1480"/>
      <c r="U47" s="143"/>
    </row>
    <row r="48" spans="2:21" ht="40" customHeight="1" thickBot="1">
      <c r="B48" s="57"/>
      <c r="C48" s="1104" t="s">
        <v>2067</v>
      </c>
      <c r="D48" s="1097" t="s">
        <v>346</v>
      </c>
      <c r="E48" s="1104"/>
      <c r="F48" s="1104"/>
      <c r="G48" s="1104"/>
      <c r="H48" s="1998" t="s">
        <v>1546</v>
      </c>
      <c r="I48" s="1998" t="s">
        <v>1989</v>
      </c>
      <c r="J48" s="1090" t="s">
        <v>2058</v>
      </c>
      <c r="K48" s="1104"/>
      <c r="L48" s="1104"/>
      <c r="M48" s="1121" t="s">
        <v>815</v>
      </c>
      <c r="N48" s="25"/>
      <c r="O48" s="719"/>
      <c r="P48" s="26"/>
      <c r="Q48" s="1467"/>
      <c r="R48" s="56"/>
      <c r="T48" s="1488"/>
      <c r="U48" s="91" t="s">
        <v>1709</v>
      </c>
    </row>
    <row r="49" spans="1:21" ht="25" customHeight="1" thickTop="1">
      <c r="C49" s="1637" t="s">
        <v>2149</v>
      </c>
      <c r="D49" s="1680" t="s">
        <v>1723</v>
      </c>
      <c r="E49" s="911">
        <v>40</v>
      </c>
      <c r="F49" s="1862" t="s">
        <v>2041</v>
      </c>
      <c r="G49" s="1700"/>
      <c r="H49" s="1936">
        <f>IF(D49="User Defined",E49,  IF(D49="PHPP Method",62.5,IF(D49="NBC Method",220,IF(D49="OBC Method",275,IF(D49="Luxury",400, IF(D49="By Engineer", (J50/365/0.0524/D63)/0.4))))))</f>
        <v>40</v>
      </c>
      <c r="I49" s="1934">
        <f>D63*H49*365</f>
        <v>1839600</v>
      </c>
      <c r="J49" s="1700"/>
      <c r="K49" s="1700"/>
      <c r="L49" s="1700"/>
      <c r="M49" s="1638">
        <f>H49/T49</f>
        <v>0.14545454545454545</v>
      </c>
      <c r="T49" s="1489">
        <f>INDEX('CODE-VALUES'!$C49:$S49, 1, MATCH(S2RepStandard, 'CODE-VALUES'!$C$2:$S$2, 0))</f>
        <v>275</v>
      </c>
      <c r="U49" s="356" t="s">
        <v>672</v>
      </c>
    </row>
    <row r="50" spans="1:21" ht="25" customHeight="1">
      <c r="C50" s="1635" t="s">
        <v>1984</v>
      </c>
      <c r="D50" s="1891"/>
      <c r="E50" s="1682">
        <v>10000</v>
      </c>
      <c r="F50" s="1862" t="s">
        <v>2042</v>
      </c>
      <c r="G50" s="1891"/>
      <c r="H50" s="1937">
        <f>H49*0.4</f>
        <v>16</v>
      </c>
      <c r="I50" s="1935">
        <f>D63*H50*365</f>
        <v>735840</v>
      </c>
      <c r="J50" s="1707">
        <f>IF(D49="By Engineer", E50,  (H50*D63*0.0523*365))</f>
        <v>38484.432000000001</v>
      </c>
      <c r="K50" s="1633">
        <f>(J51+J52)/H15</f>
        <v>17.97665919282511</v>
      </c>
      <c r="L50" s="1634" t="s">
        <v>4</v>
      </c>
      <c r="M50" s="2229">
        <f>H50/T50</f>
        <v>0.14545454545454545</v>
      </c>
      <c r="T50" s="1489">
        <f>INDEX('CODE-VALUES'!$C50:$S50, 1, MATCH(S2RepStandard, 'CODE-VALUES'!$C$2:$S$2, 0))</f>
        <v>110</v>
      </c>
      <c r="U50" s="356"/>
    </row>
    <row r="51" spans="1:21" ht="25" customHeight="1">
      <c r="C51" s="318" t="s">
        <v>1836</v>
      </c>
      <c r="D51" s="152" t="s">
        <v>1991</v>
      </c>
      <c r="E51" s="255">
        <f>IF(D51="Gas", ((J51*(1-D53))/0.0373/277.7778/D52), 0)</f>
        <v>0</v>
      </c>
      <c r="F51" s="33" t="s">
        <v>863</v>
      </c>
      <c r="G51" s="55" t="s">
        <v>1983</v>
      </c>
      <c r="H51" s="1806"/>
      <c r="I51" s="1806"/>
      <c r="J51" s="1679">
        <f>J50/D52</f>
        <v>12828.144</v>
      </c>
      <c r="K51" s="1458">
        <f>IF(D51="Gas", 0, J52)</f>
        <v>12828.144</v>
      </c>
      <c r="L51" s="967" t="s">
        <v>1886</v>
      </c>
      <c r="M51" s="1457"/>
      <c r="P51" s="452">
        <f>IF(D51="Gas", E51*L13, J52*L12)</f>
        <v>1667.6587200000001</v>
      </c>
      <c r="Q51" s="1471"/>
      <c r="S51" s="224"/>
      <c r="T51" s="1481"/>
      <c r="U51" s="145" t="s">
        <v>386</v>
      </c>
    </row>
    <row r="52" spans="1:21" ht="25" customHeight="1">
      <c r="C52" s="318" t="s">
        <v>848</v>
      </c>
      <c r="D52" s="398">
        <v>3</v>
      </c>
      <c r="E52" s="99">
        <f>D52</f>
        <v>3</v>
      </c>
      <c r="F52" s="118" t="s">
        <v>849</v>
      </c>
      <c r="G52" s="55" t="s">
        <v>2165</v>
      </c>
      <c r="H52" s="1891"/>
      <c r="I52" s="1891"/>
      <c r="J52" s="1679">
        <f>J51-E53</f>
        <v>12828.144</v>
      </c>
      <c r="K52" s="148"/>
      <c r="L52" s="148"/>
      <c r="M52" s="1977">
        <f>D52/T52</f>
        <v>3.333333333333333</v>
      </c>
      <c r="Q52" s="1471"/>
      <c r="T52" s="1490">
        <f>INDEX('CODE-VALUES'!$C52:$S52, 1, MATCH(S2RepStandard, 'CODE-VALUES'!$C$2:$S$2, 0))</f>
        <v>0.9</v>
      </c>
      <c r="U52" s="145"/>
    </row>
    <row r="53" spans="1:21" ht="25" customHeight="1">
      <c r="B53" s="83"/>
      <c r="C53" s="316" t="s">
        <v>1837</v>
      </c>
      <c r="D53" s="365">
        <v>0</v>
      </c>
      <c r="E53" s="1773">
        <f>J51*D53</f>
        <v>0</v>
      </c>
      <c r="F53" s="33" t="s">
        <v>0</v>
      </c>
      <c r="G53" s="55" t="s">
        <v>1838</v>
      </c>
      <c r="H53" s="1891"/>
      <c r="I53" s="1891"/>
      <c r="J53" s="900">
        <f>J51-E53</f>
        <v>12828.144</v>
      </c>
      <c r="K53" s="1710"/>
      <c r="L53" s="955"/>
      <c r="M53" s="1978" t="str">
        <f>IF(T53=0, "N/A", D53/T53)</f>
        <v>N/A</v>
      </c>
      <c r="N53" s="25"/>
      <c r="O53" s="719"/>
      <c r="P53" s="452">
        <f>IF(D51="Gas", -E51*L13, -J53*L12)</f>
        <v>-1667.6587200000001</v>
      </c>
      <c r="Q53" s="1467"/>
      <c r="R53" s="56"/>
      <c r="T53" s="1491">
        <f>INDEX('CODE-VALUES'!$C53:$S53, 1, MATCH(S2RepStandard, 'CODE-VALUES'!$C$2:$S$2, 0))</f>
        <v>0</v>
      </c>
      <c r="U53" s="145" t="s">
        <v>421</v>
      </c>
    </row>
    <row r="54" spans="1:21" s="230" customFormat="1" ht="50" customHeight="1">
      <c r="A54" s="230" t="s">
        <v>828</v>
      </c>
      <c r="B54" s="354"/>
      <c r="C54" s="1708" t="s">
        <v>2164</v>
      </c>
      <c r="D54" s="2250">
        <f>IF(D52&gt;1, 0, IF(D49="PHPP Method", J50*0.25, J50*0.1))</f>
        <v>0</v>
      </c>
      <c r="E54" s="1702" t="s">
        <v>0</v>
      </c>
      <c r="G54" s="1702" t="s">
        <v>1990</v>
      </c>
      <c r="J54" s="1894">
        <f>IF(D51="Gas", (J50-(J50*D52)), 0)</f>
        <v>0</v>
      </c>
      <c r="M54" s="1687"/>
      <c r="N54" s="232"/>
      <c r="O54" s="722"/>
      <c r="P54" s="232"/>
      <c r="Q54" s="1472"/>
      <c r="R54" s="355"/>
      <c r="T54" s="1482"/>
      <c r="U54" s="356"/>
    </row>
    <row r="55" spans="1:21" ht="40" customHeight="1" thickBot="1">
      <c r="B55" s="72"/>
      <c r="C55" s="1098" t="s">
        <v>2068</v>
      </c>
      <c r="D55" s="1097" t="s">
        <v>346</v>
      </c>
      <c r="E55" s="1099"/>
      <c r="F55" s="1100" t="s">
        <v>1725</v>
      </c>
      <c r="G55" s="1101"/>
      <c r="H55" s="1102"/>
      <c r="I55" s="1102"/>
      <c r="J55" s="1102"/>
      <c r="K55" s="1102"/>
      <c r="L55" s="1102"/>
      <c r="M55" s="1103" t="s">
        <v>321</v>
      </c>
      <c r="N55" s="25"/>
      <c r="O55" s="719"/>
      <c r="P55" s="26"/>
      <c r="Q55" s="1467"/>
      <c r="R55" s="41"/>
      <c r="T55" s="1481"/>
      <c r="U55" s="144" t="s">
        <v>26</v>
      </c>
    </row>
    <row r="56" spans="1:21" ht="26" customHeight="1" thickTop="1">
      <c r="B56" s="66"/>
      <c r="C56" s="762" t="s">
        <v>800</v>
      </c>
      <c r="D56" s="2235">
        <v>50</v>
      </c>
      <c r="E56" s="928" t="s">
        <v>6</v>
      </c>
      <c r="F56" s="1892">
        <v>150</v>
      </c>
      <c r="G56" s="928" t="s">
        <v>6</v>
      </c>
      <c r="H56" s="928"/>
      <c r="I56" s="928"/>
      <c r="J56" s="928"/>
      <c r="K56" s="758"/>
      <c r="L56" s="874"/>
      <c r="M56" s="927">
        <f>D56/F56</f>
        <v>0.33333333333333331</v>
      </c>
      <c r="N56" s="25"/>
      <c r="O56" s="719"/>
      <c r="P56" s="26"/>
      <c r="Q56" s="1467"/>
      <c r="R56" s="31"/>
      <c r="T56" s="1492">
        <f>INDEX('CODE-VALUES'!$C56:$S56, 1, MATCH(S2RepStandard, 'CODE-VALUES'!$C$2:$S$2, 0))</f>
        <v>150</v>
      </c>
      <c r="U56" s="91" t="s">
        <v>27</v>
      </c>
    </row>
    <row r="57" spans="1:21" ht="26" customHeight="1">
      <c r="B57" s="66"/>
      <c r="C57" s="310" t="s">
        <v>801</v>
      </c>
      <c r="D57" s="2236">
        <v>550</v>
      </c>
      <c r="E57" s="54" t="s">
        <v>7</v>
      </c>
      <c r="F57" s="1893">
        <v>1000</v>
      </c>
      <c r="G57" s="54" t="s">
        <v>7</v>
      </c>
      <c r="H57" s="1639"/>
      <c r="I57" s="69"/>
      <c r="J57" s="69"/>
      <c r="K57" s="148"/>
      <c r="L57" s="73"/>
      <c r="M57" s="68">
        <f>D57/F57</f>
        <v>0.55000000000000004</v>
      </c>
      <c r="N57" s="25"/>
      <c r="O57" s="719"/>
      <c r="P57" s="26"/>
      <c r="Q57" s="1467"/>
      <c r="R57" s="31"/>
      <c r="T57" s="1490">
        <f>INDEX('CODE-VALUES'!$C57:$S57, 1, MATCH(S2RepStandard, 'CODE-VALUES'!$C$2:$S$2, 0))</f>
        <v>1000</v>
      </c>
      <c r="U57" s="91" t="s">
        <v>28</v>
      </c>
    </row>
    <row r="58" spans="1:21" ht="26" customHeight="1">
      <c r="B58" s="66"/>
      <c r="C58" s="310" t="s">
        <v>802</v>
      </c>
      <c r="D58" s="2237">
        <v>100</v>
      </c>
      <c r="E58" s="54" t="s">
        <v>7</v>
      </c>
      <c r="F58" s="1893">
        <v>400</v>
      </c>
      <c r="G58" s="54" t="s">
        <v>7</v>
      </c>
      <c r="H58" s="71"/>
      <c r="I58" s="71"/>
      <c r="J58" s="71"/>
      <c r="K58" s="105"/>
      <c r="L58" s="73"/>
      <c r="M58" s="68">
        <f>D58/F58</f>
        <v>0.25</v>
      </c>
      <c r="N58" s="25"/>
      <c r="O58" s="719"/>
      <c r="P58" s="26"/>
      <c r="Q58" s="1467"/>
      <c r="R58" s="31"/>
      <c r="T58" s="1490">
        <f>INDEX('CODE-VALUES'!$C58:$S58, 1, MATCH(S2RepStandard, 'CODE-VALUES'!$C$2:$S$2, 0))</f>
        <v>150</v>
      </c>
      <c r="U58" s="91" t="s">
        <v>29</v>
      </c>
    </row>
    <row r="59" spans="1:21" ht="25" customHeight="1">
      <c r="B59" s="66"/>
      <c r="C59" s="311" t="s">
        <v>1527</v>
      </c>
      <c r="D59" s="2238">
        <v>0.45</v>
      </c>
      <c r="E59" s="54" t="s">
        <v>1507</v>
      </c>
      <c r="F59" s="1893" t="s">
        <v>341</v>
      </c>
      <c r="G59" s="54" t="s">
        <v>8</v>
      </c>
      <c r="H59" s="944"/>
      <c r="I59" s="943"/>
      <c r="J59" s="943"/>
      <c r="K59" s="148"/>
      <c r="L59" s="73"/>
      <c r="M59" s="74">
        <f>D59/1</f>
        <v>0.45</v>
      </c>
      <c r="N59" s="25"/>
      <c r="O59" s="719"/>
      <c r="P59" s="26"/>
      <c r="Q59" s="1467"/>
      <c r="R59" s="31"/>
      <c r="T59" s="1490" t="str">
        <f>INDEX('CODE-VALUES'!$C59:$S59, 1, MATCH(S2RepStandard, 'CODE-VALUES'!$C$2:$S$2, 0))</f>
        <v>30-50 ideal</v>
      </c>
      <c r="U59" s="91" t="s">
        <v>844</v>
      </c>
    </row>
    <row r="60" spans="1:21" s="34" customFormat="1" ht="25" customHeight="1">
      <c r="B60" s="57"/>
      <c r="C60" s="2001" t="s">
        <v>291</v>
      </c>
      <c r="D60" s="1674">
        <f>IF(D31 &gt; 0, K31/1000, 0)</f>
        <v>0</v>
      </c>
      <c r="E60" s="63" t="s">
        <v>5</v>
      </c>
      <c r="G60" s="64"/>
      <c r="H60" s="64"/>
      <c r="I60" s="64"/>
      <c r="J60" s="64"/>
      <c r="K60" s="70"/>
      <c r="L60" s="201"/>
      <c r="M60" s="65"/>
      <c r="N60" s="75"/>
      <c r="O60" s="720"/>
      <c r="P60" s="76"/>
      <c r="Q60" s="1468"/>
      <c r="R60" s="56"/>
      <c r="T60" s="1481"/>
      <c r="U60" s="91" t="s">
        <v>845</v>
      </c>
    </row>
    <row r="61" spans="1:21" ht="25" customHeight="1">
      <c r="A61" s="77"/>
      <c r="C61" s="78"/>
      <c r="D61" s="79"/>
      <c r="E61" s="79"/>
      <c r="F61" s="80"/>
      <c r="G61" s="81"/>
      <c r="H61" s="81"/>
      <c r="I61" s="81"/>
      <c r="J61" s="81"/>
      <c r="K61" s="80"/>
      <c r="L61" s="81"/>
      <c r="M61" s="82"/>
      <c r="N61" s="25"/>
      <c r="O61" s="719"/>
      <c r="P61" s="26"/>
      <c r="Q61" s="1467"/>
      <c r="R61" s="31"/>
      <c r="T61" s="1481"/>
      <c r="U61" s="143"/>
    </row>
    <row r="62" spans="1:21" ht="50" customHeight="1" thickBot="1">
      <c r="B62" s="83"/>
      <c r="C62" s="1086" t="s">
        <v>2069</v>
      </c>
      <c r="D62" s="1087" t="s">
        <v>1749</v>
      </c>
      <c r="E62" s="1088"/>
      <c r="F62" s="1089"/>
      <c r="G62" s="1089"/>
      <c r="H62" s="1090" t="s">
        <v>1761</v>
      </c>
      <c r="I62" s="1091" t="s">
        <v>1750</v>
      </c>
      <c r="J62" s="1092" t="s">
        <v>1751</v>
      </c>
      <c r="K62" s="1090" t="s">
        <v>1752</v>
      </c>
      <c r="L62" s="1092" t="s">
        <v>1751</v>
      </c>
      <c r="M62" s="1121" t="s">
        <v>815</v>
      </c>
      <c r="N62" s="26"/>
      <c r="O62" s="719"/>
      <c r="P62" s="26"/>
      <c r="Q62" s="1467"/>
      <c r="R62" s="90"/>
      <c r="T62" s="1481"/>
      <c r="U62" s="94"/>
    </row>
    <row r="63" spans="1:21" ht="25" customHeight="1" thickTop="1">
      <c r="B63" s="83"/>
      <c r="C63" s="950" t="s">
        <v>1868</v>
      </c>
      <c r="D63" s="953">
        <v>126</v>
      </c>
      <c r="E63" s="1803"/>
      <c r="F63" s="1889" t="s">
        <v>1870</v>
      </c>
      <c r="G63" s="2258">
        <v>12</v>
      </c>
      <c r="H63" s="961"/>
      <c r="I63" s="979">
        <f>IF(G63=0, 0.000001, SCHEDULES!D8)</f>
        <v>4380</v>
      </c>
      <c r="J63" s="1428">
        <v>8760</v>
      </c>
      <c r="K63" s="961"/>
      <c r="L63" s="962"/>
      <c r="M63" s="961"/>
      <c r="N63" s="26"/>
      <c r="O63" s="719"/>
      <c r="P63" s="26"/>
      <c r="Q63" s="1467"/>
      <c r="R63" s="90"/>
      <c r="T63" s="1481"/>
      <c r="U63" s="94"/>
    </row>
    <row r="64" spans="1:21" ht="25" customHeight="1">
      <c r="B64" s="83"/>
      <c r="C64" s="951" t="s">
        <v>1872</v>
      </c>
      <c r="D64" s="2251" t="s">
        <v>300</v>
      </c>
      <c r="E64" s="1864"/>
      <c r="F64" s="1886" t="s">
        <v>1843</v>
      </c>
      <c r="G64" s="1887">
        <f>SCHEDULES!E4</f>
        <v>117.22842799999999</v>
      </c>
      <c r="H64" s="972">
        <f>SCHEDULES!K8</f>
        <v>64696.024844639993</v>
      </c>
      <c r="I64" s="972">
        <f>SCHEDULES!K6</f>
        <v>43426.098868319998</v>
      </c>
      <c r="J64" s="981">
        <f>I64/I$71</f>
        <v>0.43394999031506626</v>
      </c>
      <c r="K64" s="972">
        <f>SCHEDULES!K4</f>
        <v>21269.925976319999</v>
      </c>
      <c r="L64" s="954">
        <f>K64/K$71</f>
        <v>0.43394999031506615</v>
      </c>
      <c r="M64" s="972"/>
      <c r="N64" s="26"/>
      <c r="O64" s="719"/>
      <c r="P64" s="26"/>
      <c r="Q64" s="1467"/>
      <c r="R64" s="90"/>
      <c r="T64" s="1481"/>
      <c r="U64" s="94"/>
    </row>
    <row r="65" spans="2:21" ht="25" customHeight="1">
      <c r="B65" s="83"/>
      <c r="C65" s="952" t="s">
        <v>1844</v>
      </c>
      <c r="D65" s="2239">
        <f>IF(ISNUMBER(SEARCH("PH",D13)), 2.1, IF(OR(D12="C - Residential", D12="B1 - Detention", D12="B2 - Care and Treatment", D12="B3 - Detention, Care and Treatment"), 5, 7))</f>
        <v>7</v>
      </c>
      <c r="F65" s="1891"/>
      <c r="G65" s="970"/>
      <c r="H65" s="972">
        <f>I65+K65</f>
        <v>43757.952000000005</v>
      </c>
      <c r="I65" s="972">
        <f>((D65)*I$63*H15)*SCHEDULES!I6/1000</f>
        <v>29371.776000000002</v>
      </c>
      <c r="J65" s="981">
        <f>I65/I$71</f>
        <v>0.29350741242922496</v>
      </c>
      <c r="K65" s="972">
        <f>((D65)*I$63*H15)*SCHEDULES!I4/1000</f>
        <v>14386.175999999999</v>
      </c>
      <c r="L65" s="954">
        <f>K65/K$71</f>
        <v>0.29350741242922485</v>
      </c>
      <c r="M65" s="1977">
        <f>T65/D65</f>
        <v>1</v>
      </c>
      <c r="N65" s="26"/>
      <c r="O65" s="719"/>
      <c r="P65" s="26"/>
      <c r="Q65" s="1467"/>
      <c r="R65" s="90"/>
      <c r="T65" s="1490">
        <f>INDEX('CODE-VALUES'!$C65:$S65, 1, MATCH(S2RepStandard, 'CODE-VALUES'!$C$2:$S$2, 0))</f>
        <v>7</v>
      </c>
      <c r="U65" s="94"/>
    </row>
    <row r="66" spans="2:21" ht="25" customHeight="1">
      <c r="B66" s="83"/>
      <c r="C66" s="952" t="s">
        <v>1845</v>
      </c>
      <c r="D66" s="2241">
        <v>1.5</v>
      </c>
      <c r="E66" s="974"/>
      <c r="G66" s="970"/>
      <c r="H66" s="972">
        <f>I66+K66</f>
        <v>9376.7039999999997</v>
      </c>
      <c r="I66" s="972">
        <f>D66*I$63*H15*SCHEDULES!I6/1000</f>
        <v>6293.9520000000002</v>
      </c>
      <c r="J66" s="981">
        <f>I66/I$71</f>
        <v>6.2894445520548195E-2</v>
      </c>
      <c r="K66" s="972">
        <f>((D66)*I$63*H$15)*SCHEDULES!I4/1000</f>
        <v>3082.752</v>
      </c>
      <c r="L66" s="954">
        <f>K66/K$71</f>
        <v>6.2894445520548181E-2</v>
      </c>
      <c r="M66" s="1977">
        <f>T66/D66</f>
        <v>1.3333333333333333</v>
      </c>
      <c r="N66" s="26"/>
      <c r="O66" s="719"/>
      <c r="P66" s="26"/>
      <c r="Q66" s="1467"/>
      <c r="R66" s="90"/>
      <c r="T66" s="1490">
        <f>INDEX('CODE-VALUES'!$C66:$S66, 1, MATCH(S2RepStandard, 'CODE-VALUES'!$C$2:$S$2, 0))</f>
        <v>2</v>
      </c>
      <c r="U66" s="94"/>
    </row>
    <row r="67" spans="2:21" ht="25" customHeight="1">
      <c r="B67" s="83"/>
      <c r="C67" s="1032" t="s">
        <v>1846</v>
      </c>
      <c r="D67" s="2240">
        <f>INDEX(SCHEDULES!J13:K28,MATCH(SCHEDULES!J36,SCHEDULES!I13:I28,0),MATCH(REPORT!D68,SCHEDULES!J12:K12,0))</f>
        <v>5</v>
      </c>
      <c r="E67" s="1864"/>
      <c r="F67" s="1681" t="s">
        <v>1985</v>
      </c>
      <c r="G67" s="1871" t="s">
        <v>575</v>
      </c>
      <c r="H67" s="972">
        <f>I67+K67</f>
        <v>31255.68</v>
      </c>
      <c r="I67" s="972">
        <f>D67*I63*H$15*SCHEDULES!I6/1000</f>
        <v>20979.84</v>
      </c>
      <c r="J67" s="982">
        <f>I67/I$71</f>
        <v>0.20964815173516066</v>
      </c>
      <c r="K67" s="972">
        <f>D67*I63*H$15*SCHEDULES!I4/1000</f>
        <v>10275.84</v>
      </c>
      <c r="L67" s="1432">
        <f>K67/K$71</f>
        <v>0.20964815173516063</v>
      </c>
      <c r="N67" s="26"/>
      <c r="O67" s="719"/>
      <c r="P67" s="26"/>
      <c r="Q67" s="1467"/>
      <c r="R67" s="1977">
        <f>T67/D67</f>
        <v>1</v>
      </c>
      <c r="T67" s="1490">
        <f>INDEX('CODE-VALUES'!$C67:$S67, 1, MATCH(S2RepStandard, 'CODE-VALUES'!$C$2:$S$2, 0))</f>
        <v>5</v>
      </c>
      <c r="U67" s="94"/>
    </row>
    <row r="68" spans="2:21" ht="25" customHeight="1">
      <c r="B68" s="83"/>
      <c r="C68" s="1032" t="s">
        <v>2031</v>
      </c>
      <c r="D68" s="1430" t="s">
        <v>574</v>
      </c>
      <c r="E68" s="1864"/>
      <c r="F68" s="1865"/>
      <c r="G68" s="1870"/>
      <c r="H68" s="1866"/>
      <c r="I68" s="1866"/>
      <c r="J68" s="1867"/>
      <c r="K68" s="1866"/>
      <c r="L68" s="1868"/>
      <c r="M68" s="1877"/>
      <c r="N68" s="26"/>
      <c r="O68" s="719"/>
      <c r="P68" s="26"/>
      <c r="Q68" s="1467"/>
      <c r="R68" s="90"/>
      <c r="T68" s="1493"/>
      <c r="U68" s="94"/>
    </row>
    <row r="69" spans="2:21" ht="25" customHeight="1">
      <c r="B69" s="83"/>
      <c r="C69" s="1869" t="s">
        <v>1986</v>
      </c>
      <c r="D69" s="24"/>
      <c r="H69" s="1429">
        <f>D54</f>
        <v>0</v>
      </c>
      <c r="I69" s="1688">
        <f>H69*SCHEDULES!I6</f>
        <v>0</v>
      </c>
      <c r="J69" s="982">
        <f>I69/I$71</f>
        <v>0</v>
      </c>
      <c r="K69" s="1688">
        <f>H69*SCHEDULES!I4</f>
        <v>0</v>
      </c>
      <c r="L69" s="1432">
        <f>K69/K$71</f>
        <v>0</v>
      </c>
      <c r="M69" s="117"/>
      <c r="N69" s="26"/>
      <c r="O69" s="719"/>
      <c r="P69" s="26"/>
      <c r="Q69" s="1467"/>
      <c r="R69" s="90"/>
      <c r="T69" s="1493"/>
      <c r="U69" s="94"/>
    </row>
    <row r="70" spans="2:21" ht="25" customHeight="1" thickBot="1">
      <c r="B70" s="83"/>
      <c r="C70" s="1813" t="s">
        <v>2004</v>
      </c>
      <c r="D70" s="1033"/>
      <c r="E70" s="1033"/>
      <c r="F70" s="1033"/>
      <c r="G70" s="1033"/>
      <c r="H70" s="1814">
        <f>SUM(H65:H67)</f>
        <v>84390.33600000001</v>
      </c>
      <c r="I70" s="1814">
        <f>SUM(I65:I69)</f>
        <v>56645.567999999999</v>
      </c>
      <c r="J70" s="1815"/>
      <c r="K70" s="1814">
        <f>SUM(K65:K69)</f>
        <v>27744.768</v>
      </c>
      <c r="L70" s="1815"/>
      <c r="M70" s="1816"/>
      <c r="N70" s="26"/>
      <c r="O70" s="719"/>
      <c r="P70" s="26"/>
      <c r="Q70" s="1467"/>
      <c r="R70" s="90"/>
      <c r="T70" s="1481"/>
      <c r="U70" s="94"/>
    </row>
    <row r="71" spans="2:21" ht="50" customHeight="1" thickTop="1">
      <c r="B71" s="83"/>
      <c r="C71" s="1810" t="s">
        <v>2005</v>
      </c>
      <c r="D71" s="1431"/>
      <c r="E71" s="1431"/>
      <c r="F71" s="948"/>
      <c r="H71" s="980">
        <f>SUM(H64:H69)</f>
        <v>149086.36084464</v>
      </c>
      <c r="I71" s="973">
        <f>SUM(I64:I69)</f>
        <v>100071.66686832</v>
      </c>
      <c r="J71" s="983">
        <f>SUM(J64:J69)</f>
        <v>1.0000000000000002</v>
      </c>
      <c r="K71" s="973">
        <f>SUM(K64:K69)</f>
        <v>49014.693976320006</v>
      </c>
      <c r="L71" s="992">
        <f>SUM(L64:L69)</f>
        <v>0.99999999999999989</v>
      </c>
      <c r="M71" s="980"/>
      <c r="N71" s="26"/>
      <c r="O71" s="719"/>
      <c r="P71" s="26"/>
      <c r="Q71" s="1467"/>
      <c r="R71" s="90"/>
      <c r="T71" s="1481"/>
      <c r="U71" s="94"/>
    </row>
    <row r="72" spans="2:21" ht="50" customHeight="1" thickBot="1">
      <c r="B72" s="83"/>
      <c r="C72" s="1086" t="s">
        <v>2071</v>
      </c>
      <c r="D72" s="1088"/>
      <c r="E72" s="1093" t="s">
        <v>1767</v>
      </c>
      <c r="F72" s="1093" t="s">
        <v>1758</v>
      </c>
      <c r="G72" s="1090" t="s">
        <v>1759</v>
      </c>
      <c r="H72" s="1090" t="s">
        <v>1760</v>
      </c>
      <c r="I72" s="1090" t="s">
        <v>1768</v>
      </c>
      <c r="J72" s="1090" t="s">
        <v>1769</v>
      </c>
      <c r="K72" s="1090" t="s">
        <v>1770</v>
      </c>
      <c r="L72" s="1092" t="s">
        <v>1771</v>
      </c>
      <c r="M72" s="1094" t="s">
        <v>1766</v>
      </c>
      <c r="N72" s="26"/>
      <c r="O72" s="719"/>
      <c r="P72" s="95" t="s">
        <v>1782</v>
      </c>
      <c r="Q72" s="1467"/>
      <c r="R72" s="90"/>
      <c r="T72" s="1481"/>
      <c r="U72" s="94"/>
    </row>
    <row r="73" spans="2:21" ht="25" customHeight="1" thickTop="1">
      <c r="B73" s="83"/>
      <c r="C73" s="930" t="s">
        <v>1753</v>
      </c>
      <c r="D73" s="889">
        <v>7.5</v>
      </c>
      <c r="E73" s="1947" t="s">
        <v>1826</v>
      </c>
      <c r="F73" s="993">
        <v>0.5</v>
      </c>
      <c r="G73" s="986">
        <v>0</v>
      </c>
      <c r="H73" s="986">
        <v>1</v>
      </c>
      <c r="I73" s="994">
        <f t="shared" ref="I73:I78" si="0">D73*M73*F73/0.5*(1-G73)</f>
        <v>375</v>
      </c>
      <c r="J73" s="954">
        <f>I73/I$79</f>
        <v>2.5638043388758091E-2</v>
      </c>
      <c r="K73" s="989">
        <f>D73*M73*F73/0.5*(1-H73)*0.5</f>
        <v>0</v>
      </c>
      <c r="L73" s="954">
        <f>K73/K$79</f>
        <v>0</v>
      </c>
      <c r="M73" s="988">
        <f>IF(E73="North",1.31,IF(E73="NorthEast",34.69,IF(E73="East",76.94,IF(E73="SouthEast",86.59,IF(E73="South",70.74,IF(E73="SouthWest",60.4,IF(E73="West",25.86,IF(E73="NorthWest",2.88,50))))))))</f>
        <v>50</v>
      </c>
      <c r="N73" s="26"/>
      <c r="O73" s="721" t="s">
        <v>524</v>
      </c>
      <c r="P73" s="102">
        <f t="shared" ref="P73:P78" si="1">L$12*(K73-I73)</f>
        <v>-48.75</v>
      </c>
      <c r="Q73" s="1467"/>
      <c r="R73" s="90"/>
      <c r="T73" s="1481"/>
      <c r="U73" s="94"/>
    </row>
    <row r="74" spans="2:21" ht="25" customHeight="1">
      <c r="B74" s="83"/>
      <c r="C74" s="956" t="s">
        <v>1754</v>
      </c>
      <c r="D74" s="889">
        <v>81.14</v>
      </c>
      <c r="E74" s="1947" t="s">
        <v>1762</v>
      </c>
      <c r="F74" s="993">
        <v>0.5</v>
      </c>
      <c r="G74" s="986">
        <v>0</v>
      </c>
      <c r="H74" s="986">
        <v>1</v>
      </c>
      <c r="I74" s="994">
        <f t="shared" si="0"/>
        <v>106.29340000000001</v>
      </c>
      <c r="J74" s="954">
        <f t="shared" ref="J74:J78" si="2">I74/I$79</f>
        <v>7.2670794697029849E-3</v>
      </c>
      <c r="K74" s="989">
        <f>D74*M74*F74/0.5*(1-H74)*0.5</f>
        <v>0</v>
      </c>
      <c r="L74" s="954">
        <f t="shared" ref="L74:L78" si="3">K74/K$79</f>
        <v>0</v>
      </c>
      <c r="M74" s="988">
        <f t="shared" ref="M74:M76" si="4">IF(E74="North",1.31,IF(E74="NorthEast",34.69,IF(E74="East",76.94,IF(E74="SouthEast",86.59,IF(E74="South",70.74,IF(E74="SouthWest",60.4,IF(E74="West",25.86,IF(E74="NorthWest",2.88,50))))))))</f>
        <v>1.31</v>
      </c>
      <c r="N74" s="26"/>
      <c r="O74" s="719"/>
      <c r="P74" s="102">
        <f t="shared" si="1"/>
        <v>-13.818142000000002</v>
      </c>
      <c r="Q74" s="1467"/>
      <c r="R74" s="90"/>
      <c r="T74" s="1481"/>
      <c r="U74" s="94"/>
    </row>
    <row r="75" spans="2:21" ht="25" customHeight="1">
      <c r="B75" s="83"/>
      <c r="C75" s="956" t="s">
        <v>1755</v>
      </c>
      <c r="D75" s="889">
        <v>3.83</v>
      </c>
      <c r="E75" s="1947" t="s">
        <v>1763</v>
      </c>
      <c r="F75" s="993">
        <v>0.5</v>
      </c>
      <c r="G75" s="986">
        <v>0</v>
      </c>
      <c r="H75" s="986">
        <v>1</v>
      </c>
      <c r="I75" s="994">
        <f t="shared" si="0"/>
        <v>294.68020000000001</v>
      </c>
      <c r="J75" s="954">
        <f t="shared" si="2"/>
        <v>2.0146730009087763E-2</v>
      </c>
      <c r="K75" s="989">
        <f>D75*M75*F75/0.5*(1-H75)*0.5</f>
        <v>0</v>
      </c>
      <c r="L75" s="954">
        <f t="shared" si="3"/>
        <v>0</v>
      </c>
      <c r="M75" s="988">
        <f t="shared" si="4"/>
        <v>76.94</v>
      </c>
      <c r="N75" s="26"/>
      <c r="O75" s="719"/>
      <c r="P75" s="102">
        <f t="shared" si="1"/>
        <v>-38.308426000000004</v>
      </c>
      <c r="Q75" s="1467"/>
      <c r="R75" s="90"/>
      <c r="T75" s="1481"/>
      <c r="U75" s="94"/>
    </row>
    <row r="76" spans="2:21" ht="25" customHeight="1">
      <c r="B76" s="83"/>
      <c r="C76" s="956" t="s">
        <v>1756</v>
      </c>
      <c r="D76" s="889">
        <v>159</v>
      </c>
      <c r="E76" s="1947" t="s">
        <v>1764</v>
      </c>
      <c r="F76" s="993">
        <v>0.5</v>
      </c>
      <c r="G76" s="986">
        <v>0</v>
      </c>
      <c r="H76" s="987">
        <v>1</v>
      </c>
      <c r="I76" s="994">
        <f t="shared" si="0"/>
        <v>11247.66</v>
      </c>
      <c r="J76" s="954">
        <f t="shared" si="2"/>
        <v>0.76898132027199684</v>
      </c>
      <c r="K76" s="989">
        <f>D76*M76*F76/0.5*(1-H76)*0.5</f>
        <v>0</v>
      </c>
      <c r="L76" s="954">
        <f t="shared" si="3"/>
        <v>0</v>
      </c>
      <c r="M76" s="988">
        <f t="shared" si="4"/>
        <v>70.739999999999995</v>
      </c>
      <c r="N76" s="26"/>
      <c r="O76" s="719"/>
      <c r="P76" s="102">
        <f t="shared" si="1"/>
        <v>-1462.1958</v>
      </c>
      <c r="Q76" s="1467"/>
      <c r="R76" s="90"/>
      <c r="T76" s="1481"/>
      <c r="U76" s="94"/>
    </row>
    <row r="77" spans="2:21" ht="25" customHeight="1">
      <c r="B77" s="83"/>
      <c r="C77" s="1526" t="s">
        <v>1757</v>
      </c>
      <c r="D77" s="1527">
        <v>100.66</v>
      </c>
      <c r="E77" s="1948" t="s">
        <v>1765</v>
      </c>
      <c r="F77" s="1528">
        <v>0.5</v>
      </c>
      <c r="G77" s="1529">
        <v>0</v>
      </c>
      <c r="H77" s="1530">
        <v>0.9</v>
      </c>
      <c r="I77" s="1531">
        <f t="shared" si="0"/>
        <v>2603.0675999999999</v>
      </c>
      <c r="J77" s="1532">
        <f t="shared" ref="J77" si="5">I77/I$79</f>
        <v>0.17796682686045434</v>
      </c>
      <c r="K77" s="1533">
        <f>D77*M77*F77/0.5*(1-H77)*0.5</f>
        <v>130.15337999999997</v>
      </c>
      <c r="L77" s="1532">
        <f t="shared" ref="L77" si="6">K77/K$79</f>
        <v>1</v>
      </c>
      <c r="M77" s="988">
        <f>IF(E77="Skylight",100,IF(E77="North",1.31,IF(E77="NorthEast",34.69,IF(E77="East",76.94,IF(E77="SouthEast",86.59,IF(E77="South",70.74,IF(E77="SouthWest",60.4,IF(E77="West",25.86,IF(E77="NorthWest",2.88,50)))))))))</f>
        <v>25.86</v>
      </c>
      <c r="N77" s="26"/>
      <c r="O77" s="719"/>
      <c r="P77" s="102">
        <f t="shared" si="1"/>
        <v>-321.47884859999999</v>
      </c>
      <c r="Q77" s="1467"/>
      <c r="R77" s="90"/>
      <c r="T77" s="1481"/>
      <c r="U77" s="94"/>
    </row>
    <row r="78" spans="2:21" ht="25" customHeight="1" thickBot="1">
      <c r="B78" s="83"/>
      <c r="C78" s="1535" t="s">
        <v>1902</v>
      </c>
      <c r="D78" s="1066">
        <v>0</v>
      </c>
      <c r="E78" s="1947" t="s">
        <v>1904</v>
      </c>
      <c r="F78" s="1536">
        <v>0.5</v>
      </c>
      <c r="G78" s="1530">
        <v>0</v>
      </c>
      <c r="H78" s="1530">
        <v>0.8</v>
      </c>
      <c r="I78" s="1538">
        <f t="shared" si="0"/>
        <v>0</v>
      </c>
      <c r="J78" s="1451">
        <f t="shared" si="2"/>
        <v>0</v>
      </c>
      <c r="K78" s="1076">
        <f>D78*M78*F78/0.5*(1-H78)*1.25</f>
        <v>0</v>
      </c>
      <c r="L78" s="1451">
        <f t="shared" si="3"/>
        <v>0</v>
      </c>
      <c r="M78" s="1537">
        <f>IF(E78="Skylight",75,IF(E78="North",1.31,IF(E78="NorthEast",34.69,IF(E78="East",76.94,IF(E78="SouthEast",86.59,IF(E78="South",70.74,IF(E78="SouthWest",60.4,IF(E78="West",25.86,IF(E78="NorthWest",2.88,50)))))))))</f>
        <v>75</v>
      </c>
      <c r="N78" s="26"/>
      <c r="O78" s="719"/>
      <c r="P78" s="102">
        <f t="shared" si="1"/>
        <v>0</v>
      </c>
      <c r="Q78" s="1467"/>
      <c r="R78" s="90"/>
      <c r="T78" s="1481"/>
      <c r="U78" s="94"/>
    </row>
    <row r="79" spans="2:21" ht="25" customHeight="1" thickTop="1">
      <c r="B79" s="83"/>
      <c r="C79" s="1041" t="s">
        <v>1848</v>
      </c>
      <c r="D79" s="1034"/>
      <c r="E79" s="1035"/>
      <c r="F79" s="1036"/>
      <c r="G79" s="1037"/>
      <c r="H79" s="1038"/>
      <c r="I79" s="990">
        <f>SUM(I73:I78)</f>
        <v>14626.7012</v>
      </c>
      <c r="J79" s="991">
        <f>IF(D80="NRC 0%",0.001,SUM(J73:J78))</f>
        <v>1</v>
      </c>
      <c r="K79" s="990">
        <f>SUM(K73:K78)</f>
        <v>130.15337999999997</v>
      </c>
      <c r="L79" s="991">
        <f>SUM(L73:L78)</f>
        <v>1</v>
      </c>
      <c r="M79" s="1026"/>
      <c r="N79" s="26"/>
      <c r="O79" s="719"/>
      <c r="P79" s="26"/>
      <c r="Q79" s="1467"/>
      <c r="R79" s="90"/>
      <c r="T79" s="1481"/>
      <c r="U79" s="94"/>
    </row>
    <row r="80" spans="2:21" ht="25" customHeight="1">
      <c r="B80" s="83"/>
      <c r="C80" s="957" t="s">
        <v>1849</v>
      </c>
      <c r="D80" s="2252" t="s">
        <v>1994</v>
      </c>
      <c r="E80" s="985">
        <f>I71+I79</f>
        <v>114698.36806831999</v>
      </c>
      <c r="F80" s="963" t="s">
        <v>1735</v>
      </c>
      <c r="G80" s="1030">
        <f>IF(D80="NRC 0%", "0.0", IF(D80="NRC 40%", 0.4, IF(D80="NRC 50%", 0.5, IF(D80="NRC 60%", 0.6, IF(D80="PH Method", G81)))))</f>
        <v>0.4</v>
      </c>
      <c r="H80" s="113"/>
      <c r="I80" s="113">
        <f>E80*G80</f>
        <v>45879.347227327999</v>
      </c>
      <c r="J80" s="1425" t="s">
        <v>1850</v>
      </c>
      <c r="K80" s="955"/>
      <c r="L80" s="964"/>
      <c r="M80" s="965"/>
      <c r="N80" s="26"/>
      <c r="O80" s="719"/>
      <c r="P80" s="26"/>
      <c r="Q80" s="1467"/>
      <c r="R80" s="90"/>
      <c r="T80" s="1481"/>
      <c r="U80" s="94"/>
    </row>
    <row r="81" spans="2:21" ht="25" customHeight="1">
      <c r="B81" s="83"/>
      <c r="C81" s="957" t="s">
        <v>1851</v>
      </c>
      <c r="D81" s="1001" t="s">
        <v>1607</v>
      </c>
      <c r="E81" s="984">
        <f>I71+I79</f>
        <v>114698.36806831999</v>
      </c>
      <c r="F81" s="1002" t="s">
        <v>1735</v>
      </c>
      <c r="G81" s="1031">
        <f>(1-((I79+I71)/(I97+I103+M121+I98))^5)/(1-((I79+I71)/(I97+I103+M121+I98))^6)</f>
        <v>0.94428257567885898</v>
      </c>
      <c r="H81" s="1003"/>
      <c r="I81" s="976">
        <f>E81*G81</f>
        <v>108307.670425715</v>
      </c>
      <c r="J81" s="1426" t="s">
        <v>1774</v>
      </c>
      <c r="K81" s="1004"/>
      <c r="L81" s="964"/>
      <c r="M81" s="965"/>
      <c r="N81" s="26"/>
      <c r="O81" s="719"/>
      <c r="P81" s="26"/>
      <c r="Q81" s="1467"/>
      <c r="R81" s="90"/>
      <c r="T81" s="1481"/>
      <c r="U81" s="94"/>
    </row>
    <row r="82" spans="2:21" ht="25" customHeight="1">
      <c r="B82" s="83"/>
      <c r="C82" s="1005" t="s">
        <v>1852</v>
      </c>
      <c r="D82" s="345"/>
      <c r="E82" s="107"/>
      <c r="F82" s="108"/>
      <c r="G82" s="108"/>
      <c r="H82" s="109"/>
      <c r="I82" s="1006">
        <f>E80-I80</f>
        <v>68819.020840991987</v>
      </c>
      <c r="K82" s="105"/>
      <c r="L82" s="110"/>
      <c r="M82" s="959"/>
      <c r="N82" s="26"/>
      <c r="O82" s="719"/>
      <c r="P82" s="26"/>
      <c r="Q82" s="1467"/>
      <c r="R82" s="90"/>
      <c r="T82" s="1481"/>
      <c r="U82" s="94"/>
    </row>
    <row r="83" spans="2:21" ht="25" customHeight="1">
      <c r="B83" s="83"/>
      <c r="C83" s="301"/>
      <c r="D83" s="464"/>
      <c r="E83" s="302"/>
      <c r="F83" s="203"/>
      <c r="G83" s="302"/>
      <c r="H83" s="302"/>
      <c r="I83" s="203"/>
      <c r="J83" s="303"/>
      <c r="K83" s="204"/>
      <c r="L83" s="204"/>
      <c r="M83" s="203"/>
      <c r="N83" s="26"/>
      <c r="O83" s="719"/>
      <c r="P83" s="26"/>
      <c r="Q83" s="1467"/>
      <c r="R83" s="90"/>
      <c r="T83" s="1481"/>
      <c r="U83" s="94"/>
    </row>
    <row r="84" spans="2:21" ht="50" customHeight="1" thickBot="1">
      <c r="B84" s="760"/>
      <c r="C84" s="1086" t="s">
        <v>2070</v>
      </c>
      <c r="D84" s="1087" t="s">
        <v>309</v>
      </c>
      <c r="E84" s="1090" t="s">
        <v>316</v>
      </c>
      <c r="F84" s="1094" t="s">
        <v>317</v>
      </c>
      <c r="G84" s="1094" t="s">
        <v>318</v>
      </c>
      <c r="H84" s="1090" t="s">
        <v>350</v>
      </c>
      <c r="I84" s="1090" t="s">
        <v>319</v>
      </c>
      <c r="J84" s="1109" t="s">
        <v>320</v>
      </c>
      <c r="K84" s="1090" t="s">
        <v>1736</v>
      </c>
      <c r="L84" s="1110" t="s">
        <v>814</v>
      </c>
      <c r="M84" s="1121" t="s">
        <v>815</v>
      </c>
      <c r="N84" s="25"/>
      <c r="O84" s="719"/>
      <c r="P84" s="95" t="s">
        <v>1884</v>
      </c>
      <c r="Q84" s="1467"/>
      <c r="R84" s="31"/>
      <c r="T84" s="1481"/>
      <c r="U84" s="143"/>
    </row>
    <row r="85" spans="2:21" ht="25" customHeight="1" thickTop="1">
      <c r="C85" s="930" t="s">
        <v>803</v>
      </c>
      <c r="D85" s="977">
        <v>1411.52</v>
      </c>
      <c r="E85" s="1007">
        <f>F85*5.678</f>
        <v>53.089299999999994</v>
      </c>
      <c r="F85" s="1774">
        <v>9.35</v>
      </c>
      <c r="G85" s="1008">
        <f>1/F85</f>
        <v>0.10695187165775401</v>
      </c>
      <c r="H85" s="1009">
        <f t="shared" ref="H85:H93" si="7">D85/D$101</f>
        <v>0.56993806074407871</v>
      </c>
      <c r="I85" s="1010">
        <f t="shared" ref="I85:I93" si="8">D85*(D$20*24)/(F85*1000)</f>
        <v>16666.503529411766</v>
      </c>
      <c r="J85" s="954">
        <f t="shared" ref="J85:J97" si="9">I85/I$98</f>
        <v>0.21530182956502592</v>
      </c>
      <c r="K85" s="1010">
        <f t="shared" ref="K85:K93" si="10">D85*(D$21*24)/(F85*1000)</f>
        <v>710.13797647058823</v>
      </c>
      <c r="L85" s="954">
        <f t="shared" ref="L85:L97" si="11">-K85/K$98</f>
        <v>0.21561348638558039</v>
      </c>
      <c r="M85" s="1980">
        <f>F85/T85</f>
        <v>1.7641509433962264</v>
      </c>
      <c r="N85" s="25"/>
      <c r="O85" s="719"/>
      <c r="P85" s="102">
        <f>I85*L$12</f>
        <v>2166.6454588235297</v>
      </c>
      <c r="Q85" s="1474"/>
      <c r="R85" s="56"/>
      <c r="T85" s="1490">
        <f>INDEX('CODE-VALUES'!$C85:$S85, 1, MATCH(S2RepStandard, 'CODE-VALUES'!$C$2:$S$2, 0))</f>
        <v>5.3</v>
      </c>
      <c r="U85" s="91" t="s">
        <v>30</v>
      </c>
    </row>
    <row r="86" spans="2:21" ht="25" customHeight="1">
      <c r="B86" s="83"/>
      <c r="C86" s="316" t="s">
        <v>804</v>
      </c>
      <c r="D86" s="889">
        <v>712.97</v>
      </c>
      <c r="E86" s="96">
        <f t="shared" ref="E86:E93" si="12">F86*5.678</f>
        <v>37.985820000000004</v>
      </c>
      <c r="F86" s="1775">
        <v>6.69</v>
      </c>
      <c r="G86" s="97">
        <f>1/F86</f>
        <v>0.14947683109118085</v>
      </c>
      <c r="H86" s="98">
        <f t="shared" si="7"/>
        <v>0.28788025615556695</v>
      </c>
      <c r="I86" s="346">
        <f t="shared" si="8"/>
        <v>11765.603587443946</v>
      </c>
      <c r="J86" s="100">
        <f t="shared" si="9"/>
        <v>0.15199084642097815</v>
      </c>
      <c r="K86" s="346">
        <f t="shared" si="10"/>
        <v>501.31702242152471</v>
      </c>
      <c r="L86" s="100">
        <f t="shared" si="11"/>
        <v>0.15221085841086535</v>
      </c>
      <c r="M86" s="1980">
        <f>F86/T86</f>
        <v>1.6317073170731711</v>
      </c>
      <c r="N86" s="25"/>
      <c r="O86" s="719"/>
      <c r="P86" s="102">
        <f>I86*L$12</f>
        <v>1529.528466367713</v>
      </c>
      <c r="Q86" s="1474"/>
      <c r="R86" s="56"/>
      <c r="T86" s="1490">
        <f>INDEX('CODE-VALUES'!$C86:$S86, 1, MATCH(S2RepStandard, 'CODE-VALUES'!$C$2:$S$2, 0))</f>
        <v>4.0999999999999996</v>
      </c>
      <c r="U86" s="91" t="s">
        <v>30</v>
      </c>
    </row>
    <row r="87" spans="2:21" ht="25" customHeight="1">
      <c r="B87" s="83"/>
      <c r="C87" s="312" t="s">
        <v>805</v>
      </c>
      <c r="D87" s="889">
        <v>0</v>
      </c>
      <c r="E87" s="96">
        <f t="shared" si="12"/>
        <v>54.054559999999995</v>
      </c>
      <c r="F87" s="1775">
        <v>9.52</v>
      </c>
      <c r="G87" s="97">
        <f>1/F87</f>
        <v>0.10504201680672269</v>
      </c>
      <c r="H87" s="98">
        <f t="shared" si="7"/>
        <v>0</v>
      </c>
      <c r="I87" s="346">
        <f t="shared" si="8"/>
        <v>0</v>
      </c>
      <c r="J87" s="100">
        <f t="shared" si="9"/>
        <v>0</v>
      </c>
      <c r="K87" s="346">
        <f t="shared" si="10"/>
        <v>0</v>
      </c>
      <c r="L87" s="100">
        <f t="shared" si="11"/>
        <v>0</v>
      </c>
      <c r="M87" s="1980">
        <f>F87/T87</f>
        <v>1.4424242424242424</v>
      </c>
      <c r="N87" s="25"/>
      <c r="O87" s="719"/>
      <c r="P87" s="102">
        <f>I87*L$12</f>
        <v>0</v>
      </c>
      <c r="Q87" s="1474"/>
      <c r="R87" s="56"/>
      <c r="T87" s="1490">
        <f>INDEX('CODE-VALUES'!$C87:$S87, 1, MATCH(S2RepStandard, 'CODE-VALUES'!$C$2:$S$2, 0))</f>
        <v>6.6</v>
      </c>
      <c r="U87" s="91" t="s">
        <v>285</v>
      </c>
    </row>
    <row r="88" spans="2:21" ht="25" customHeight="1">
      <c r="B88" s="83"/>
      <c r="C88" s="312" t="s">
        <v>1731</v>
      </c>
      <c r="D88" s="978">
        <f t="shared" ref="D88:D93" si="13">D73</f>
        <v>7.5</v>
      </c>
      <c r="E88" s="96">
        <f t="shared" si="12"/>
        <v>6.3088888888888892</v>
      </c>
      <c r="F88" s="907">
        <f>1/G88</f>
        <v>1.1111111111111112</v>
      </c>
      <c r="G88" s="1776">
        <v>0.9</v>
      </c>
      <c r="H88" s="98">
        <f t="shared" si="7"/>
        <v>3.0283208566514045E-3</v>
      </c>
      <c r="I88" s="346">
        <f t="shared" si="8"/>
        <v>745.2</v>
      </c>
      <c r="J88" s="100">
        <f t="shared" si="9"/>
        <v>9.6266696316188918E-3</v>
      </c>
      <c r="K88" s="346">
        <f t="shared" si="10"/>
        <v>31.752000000000002</v>
      </c>
      <c r="L88" s="100">
        <f t="shared" si="11"/>
        <v>9.6406045677779589E-3</v>
      </c>
      <c r="M88" s="1980">
        <f t="shared" ref="M88:M93" si="14">T88/G88</f>
        <v>2.2111111111111112</v>
      </c>
      <c r="N88" s="25"/>
      <c r="O88" s="719"/>
      <c r="P88" s="102">
        <f t="shared" ref="P88:P93" si="15">(I88-I73)*L$12</f>
        <v>48.126000000000005</v>
      </c>
      <c r="Q88" s="1474"/>
      <c r="R88" s="56"/>
      <c r="T88" s="1490">
        <f>INDEX('CODE-VALUES'!$C88:$S88, 1, MATCH(S2RepStandard, 'CODE-VALUES'!$C$2:$S$2, 0))</f>
        <v>1.99</v>
      </c>
      <c r="U88" s="91" t="s">
        <v>30</v>
      </c>
    </row>
    <row r="89" spans="2:21" ht="25" customHeight="1">
      <c r="B89" s="83"/>
      <c r="C89" s="312" t="s">
        <v>806</v>
      </c>
      <c r="D89" s="978">
        <f t="shared" si="13"/>
        <v>81.14</v>
      </c>
      <c r="E89" s="96">
        <f t="shared" si="12"/>
        <v>6.3088888888888892</v>
      </c>
      <c r="F89" s="907">
        <f>1/G89</f>
        <v>1.1111111111111112</v>
      </c>
      <c r="G89" s="1776">
        <v>0.9</v>
      </c>
      <c r="H89" s="98">
        <f t="shared" si="7"/>
        <v>3.2762393907825996E-2</v>
      </c>
      <c r="I89" s="346">
        <f t="shared" si="8"/>
        <v>8062.0704000000005</v>
      </c>
      <c r="J89" s="100">
        <f t="shared" si="9"/>
        <v>0.10414772985460759</v>
      </c>
      <c r="K89" s="346">
        <f t="shared" si="10"/>
        <v>343.51430399999998</v>
      </c>
      <c r="L89" s="100">
        <f t="shared" si="11"/>
        <v>0.1042984872839338</v>
      </c>
      <c r="M89" s="1980">
        <f t="shared" si="14"/>
        <v>1.5777777777777777</v>
      </c>
      <c r="N89" s="25"/>
      <c r="O89" s="719"/>
      <c r="P89" s="102">
        <f t="shared" si="15"/>
        <v>1034.2510100000002</v>
      </c>
      <c r="Q89" s="1474"/>
      <c r="R89" s="56"/>
      <c r="T89" s="1490">
        <f>INDEX('CODE-VALUES'!$C89:$S89, 1, MATCH(S2RepStandard, 'CODE-VALUES'!$C$2:$S$2, 0))</f>
        <v>1.42</v>
      </c>
      <c r="U89" s="91" t="s">
        <v>30</v>
      </c>
    </row>
    <row r="90" spans="2:21" ht="25" customHeight="1">
      <c r="B90" s="83"/>
      <c r="C90" s="312" t="s">
        <v>807</v>
      </c>
      <c r="D90" s="978">
        <f t="shared" si="13"/>
        <v>3.83</v>
      </c>
      <c r="E90" s="96">
        <f t="shared" si="12"/>
        <v>6.3088888888888892</v>
      </c>
      <c r="F90" s="907">
        <f>1/G90</f>
        <v>1.1111111111111112</v>
      </c>
      <c r="G90" s="1776">
        <v>0.9</v>
      </c>
      <c r="H90" s="98">
        <f t="shared" si="7"/>
        <v>1.5464625174633174E-3</v>
      </c>
      <c r="I90" s="346">
        <f t="shared" si="8"/>
        <v>380.54880000000003</v>
      </c>
      <c r="J90" s="100">
        <f t="shared" si="9"/>
        <v>4.9160192918800477E-3</v>
      </c>
      <c r="K90" s="346">
        <f t="shared" si="10"/>
        <v>16.214687999999999</v>
      </c>
      <c r="L90" s="100">
        <f t="shared" si="11"/>
        <v>4.9231353992786105E-3</v>
      </c>
      <c r="M90" s="1980">
        <f t="shared" si="14"/>
        <v>1.5777777777777777</v>
      </c>
      <c r="N90" s="26"/>
      <c r="O90" s="719"/>
      <c r="P90" s="102">
        <f t="shared" si="15"/>
        <v>11.162918000000003</v>
      </c>
      <c r="Q90" s="1474"/>
      <c r="R90" s="90"/>
      <c r="T90" s="1490">
        <f>INDEX('CODE-VALUES'!$C90:$S90, 1, MATCH(S2RepStandard, 'CODE-VALUES'!$C$2:$S$2, 0))</f>
        <v>1.42</v>
      </c>
      <c r="U90" s="91"/>
    </row>
    <row r="91" spans="2:21" ht="25" customHeight="1">
      <c r="B91" s="83"/>
      <c r="C91" s="312" t="s">
        <v>808</v>
      </c>
      <c r="D91" s="978">
        <f t="shared" si="13"/>
        <v>159</v>
      </c>
      <c r="E91" s="96">
        <f t="shared" si="12"/>
        <v>6.3088888888888892</v>
      </c>
      <c r="F91" s="907">
        <f t="shared" ref="F91:F93" si="16">1/G91</f>
        <v>1.1111111111111112</v>
      </c>
      <c r="G91" s="1776">
        <v>0.9</v>
      </c>
      <c r="H91" s="98">
        <f t="shared" si="7"/>
        <v>6.4200402161009779E-2</v>
      </c>
      <c r="I91" s="346">
        <f t="shared" si="8"/>
        <v>15798.24</v>
      </c>
      <c r="J91" s="100">
        <f t="shared" si="9"/>
        <v>0.20408539619032048</v>
      </c>
      <c r="K91" s="346">
        <f t="shared" si="10"/>
        <v>673.14240000000007</v>
      </c>
      <c r="L91" s="100">
        <f t="shared" si="11"/>
        <v>0.20438081683689274</v>
      </c>
      <c r="M91" s="1980">
        <f t="shared" si="14"/>
        <v>1.5777777777777777</v>
      </c>
      <c r="N91" s="26"/>
      <c r="O91" s="719"/>
      <c r="P91" s="102">
        <f t="shared" si="15"/>
        <v>591.57540000000006</v>
      </c>
      <c r="Q91" s="1474"/>
      <c r="R91" s="90"/>
      <c r="T91" s="1490">
        <f>INDEX('CODE-VALUES'!$C91:$S91, 1, MATCH(S2RepStandard, 'CODE-VALUES'!$C$2:$S$2, 0))</f>
        <v>1.42</v>
      </c>
      <c r="U91" s="91"/>
    </row>
    <row r="92" spans="2:21" ht="25" customHeight="1">
      <c r="B92" s="83"/>
      <c r="C92" s="312" t="s">
        <v>809</v>
      </c>
      <c r="D92" s="978">
        <f t="shared" si="13"/>
        <v>100.66</v>
      </c>
      <c r="E92" s="96">
        <f t="shared" ref="E92" si="17">F92*5.678</f>
        <v>6.3088888888888892</v>
      </c>
      <c r="F92" s="907">
        <f t="shared" ref="F92" si="18">1/G92</f>
        <v>1.1111111111111112</v>
      </c>
      <c r="G92" s="1776">
        <v>0.9</v>
      </c>
      <c r="H92" s="98">
        <f t="shared" si="7"/>
        <v>4.0644103657404049E-2</v>
      </c>
      <c r="I92" s="346">
        <f t="shared" si="8"/>
        <v>10001.577600000001</v>
      </c>
      <c r="J92" s="100">
        <f t="shared" ref="J92" si="19">I92/I$98</f>
        <v>0.12920274201583434</v>
      </c>
      <c r="K92" s="346">
        <f t="shared" si="10"/>
        <v>426.15417599999995</v>
      </c>
      <c r="L92" s="100">
        <f t="shared" ref="L92" si="20">-K92/K$98</f>
        <v>0.12938976743900388</v>
      </c>
      <c r="M92" s="1980">
        <f t="shared" si="14"/>
        <v>1.5777777777777777</v>
      </c>
      <c r="N92" s="26"/>
      <c r="O92" s="719"/>
      <c r="P92" s="102">
        <f t="shared" si="15"/>
        <v>961.80630000000008</v>
      </c>
      <c r="Q92" s="1474"/>
      <c r="R92" s="90"/>
      <c r="T92" s="1490">
        <f>INDEX('CODE-VALUES'!$C91:$S91, 1, MATCH(S2RepStandard, 'CODE-VALUES'!$C$2:$S$2, 0))</f>
        <v>1.42</v>
      </c>
      <c r="U92" s="91"/>
    </row>
    <row r="93" spans="2:21" ht="25" customHeight="1">
      <c r="B93" s="83"/>
      <c r="C93" s="312" t="s">
        <v>1903</v>
      </c>
      <c r="D93" s="978">
        <f t="shared" si="13"/>
        <v>0</v>
      </c>
      <c r="E93" s="96">
        <f t="shared" si="12"/>
        <v>6.3088888888888892</v>
      </c>
      <c r="F93" s="907">
        <f t="shared" si="16"/>
        <v>1.1111111111111112</v>
      </c>
      <c r="G93" s="890">
        <v>0.9</v>
      </c>
      <c r="H93" s="98">
        <f t="shared" si="7"/>
        <v>0</v>
      </c>
      <c r="I93" s="346">
        <f t="shared" si="8"/>
        <v>0</v>
      </c>
      <c r="J93" s="100">
        <f t="shared" si="9"/>
        <v>0</v>
      </c>
      <c r="K93" s="346">
        <f t="shared" si="10"/>
        <v>0</v>
      </c>
      <c r="L93" s="100">
        <f t="shared" si="11"/>
        <v>0</v>
      </c>
      <c r="M93" s="1980">
        <f t="shared" si="14"/>
        <v>1.5777777777777777</v>
      </c>
      <c r="N93" s="26"/>
      <c r="O93" s="719"/>
      <c r="P93" s="102">
        <f t="shared" si="15"/>
        <v>0</v>
      </c>
      <c r="Q93" s="1474"/>
      <c r="R93" s="90"/>
      <c r="T93" s="1490">
        <f>INDEX('CODE-VALUES'!$C93:$S93, 1, MATCH(S2RepStandard, 'CODE-VALUES'!$C$2:$S$2, 0))</f>
        <v>1.42</v>
      </c>
      <c r="U93" s="91"/>
    </row>
    <row r="94" spans="2:21" ht="25" customHeight="1">
      <c r="B94" s="83"/>
      <c r="C94" s="312" t="s">
        <v>906</v>
      </c>
      <c r="D94" s="889">
        <v>0</v>
      </c>
      <c r="E94" s="96">
        <f>F94*5.678</f>
        <v>22.712</v>
      </c>
      <c r="F94" s="1775">
        <v>4</v>
      </c>
      <c r="G94" s="97">
        <f>1/F94</f>
        <v>0.25</v>
      </c>
      <c r="H94" s="104">
        <f>D94/D$102</f>
        <v>0</v>
      </c>
      <c r="I94" s="346">
        <f>D94*(D$22*24)/(F94*1000)</f>
        <v>0</v>
      </c>
      <c r="J94" s="100">
        <f t="shared" si="9"/>
        <v>0</v>
      </c>
      <c r="K94" s="1063">
        <f>I$21*D94*H$22*24/(F94*1000)</f>
        <v>0</v>
      </c>
      <c r="L94" s="100">
        <f t="shared" si="11"/>
        <v>0</v>
      </c>
      <c r="M94" s="1980">
        <f>F94/T94</f>
        <v>2.2222222222222223</v>
      </c>
      <c r="N94" s="25"/>
      <c r="O94" s="719"/>
      <c r="P94" s="102">
        <f>I94*L$12</f>
        <v>0</v>
      </c>
      <c r="Q94" s="1474"/>
      <c r="R94" s="56"/>
      <c r="T94" s="1490">
        <f>INDEX('CODE-VALUES'!$C94:$S94, 1, MATCH(S2RepStandard, 'CODE-VALUES'!$C$2:$S$2, 0))</f>
        <v>1.8</v>
      </c>
      <c r="U94" s="91" t="s">
        <v>30</v>
      </c>
    </row>
    <row r="95" spans="2:21" ht="25" customHeight="1">
      <c r="B95" s="83"/>
      <c r="C95" s="1057" t="s">
        <v>905</v>
      </c>
      <c r="D95" s="1058">
        <v>1100.42</v>
      </c>
      <c r="E95" s="1059">
        <f>F95*5.678</f>
        <v>21.008600000000001</v>
      </c>
      <c r="F95" s="1060">
        <v>3.7</v>
      </c>
      <c r="G95" s="1061">
        <f>1/F95</f>
        <v>0.27027027027027023</v>
      </c>
      <c r="H95" s="1062">
        <f>D95/D$102</f>
        <v>1</v>
      </c>
      <c r="I95" s="1063">
        <f>D95*(D$22*24)/(F95*1000)</f>
        <v>13990.204540540542</v>
      </c>
      <c r="J95" s="1064">
        <f t="shared" si="9"/>
        <v>0.18072876702973478</v>
      </c>
      <c r="K95" s="1063">
        <f>I$21*D95*H$22*24/(F95*1000)</f>
        <v>-5995.8019459459465</v>
      </c>
      <c r="L95" s="1064">
        <f t="shared" si="11"/>
        <v>-1.8204571563233327</v>
      </c>
      <c r="M95" s="1980">
        <f>F95/T95</f>
        <v>1.0571428571428572</v>
      </c>
      <c r="N95" s="25"/>
      <c r="O95" s="719"/>
      <c r="P95" s="102">
        <f>I95*L$12</f>
        <v>1818.7265902702707</v>
      </c>
      <c r="Q95" s="1474"/>
      <c r="R95" s="56"/>
      <c r="T95" s="1490">
        <f>INDEX('CODE-VALUES'!$C95:$S95, 1, MATCH(S2RepStandard, 'CODE-VALUES'!$C$2:$S$2, 0))</f>
        <v>3.5</v>
      </c>
      <c r="U95" s="91" t="s">
        <v>30</v>
      </c>
    </row>
    <row r="96" spans="2:21" ht="25" customHeight="1">
      <c r="B96" s="105"/>
      <c r="C96" s="1065" t="s">
        <v>810</v>
      </c>
      <c r="D96" s="1066">
        <v>29.7</v>
      </c>
      <c r="E96" s="1067" t="s">
        <v>34</v>
      </c>
      <c r="F96" s="1068" t="s">
        <v>34</v>
      </c>
      <c r="G96" s="1069" t="s">
        <v>34</v>
      </c>
      <c r="H96" s="1070" t="s">
        <v>34</v>
      </c>
      <c r="I96" s="1071" t="s">
        <v>34</v>
      </c>
      <c r="J96" s="1071" t="s">
        <v>34</v>
      </c>
      <c r="K96" s="1071" t="s">
        <v>34</v>
      </c>
      <c r="L96" s="1071" t="s">
        <v>34</v>
      </c>
      <c r="M96" s="1072"/>
      <c r="T96" s="1481"/>
      <c r="U96" s="149" t="s">
        <v>359</v>
      </c>
    </row>
    <row r="97" spans="2:21" ht="25" customHeight="1" thickBot="1">
      <c r="B97" s="105"/>
      <c r="C97" s="1073" t="s">
        <v>1854</v>
      </c>
      <c r="D97" s="2259">
        <v>0.2</v>
      </c>
      <c r="E97" s="1074"/>
      <c r="F97" s="1033"/>
      <c r="G97" s="1075"/>
      <c r="H97" s="1033"/>
      <c r="I97" s="1076">
        <f>I98*D97</f>
        <v>15481.989691479248</v>
      </c>
      <c r="J97" s="1451">
        <f t="shared" si="9"/>
        <v>0.2</v>
      </c>
      <c r="K97" s="1076">
        <f>IF(H21="Static", 0, K98*D97)</f>
        <v>-658.71387581076669</v>
      </c>
      <c r="L97" s="1451">
        <f t="shared" si="11"/>
        <v>-0.2</v>
      </c>
      <c r="M97" s="1078"/>
      <c r="P97" s="453">
        <f>(I97*L$12)+(K97*L$12)</f>
        <v>1927.0258560369025</v>
      </c>
      <c r="T97" s="1481"/>
      <c r="U97" s="150" t="s">
        <v>1714</v>
      </c>
    </row>
    <row r="98" spans="2:21" ht="25" customHeight="1" thickTop="1">
      <c r="B98" s="105"/>
      <c r="C98" s="1824" t="s">
        <v>811</v>
      </c>
      <c r="D98" s="345">
        <f>SUM(D85:D95)</f>
        <v>3577.0399999999995</v>
      </c>
      <c r="E98" s="107">
        <f>IF(D94+D95=0, 1/G101*5.678, 1/G102*5.678)</f>
        <v>17.507166666666667</v>
      </c>
      <c r="F98" s="108"/>
      <c r="G98" s="108"/>
      <c r="H98" s="109">
        <f>SUM(H85:H93)</f>
        <v>1</v>
      </c>
      <c r="I98" s="110">
        <f>SUM(I85:I95)</f>
        <v>77409.94845739624</v>
      </c>
      <c r="J98" s="109">
        <f>SUM(J85:J95)</f>
        <v>1.0000000000000002</v>
      </c>
      <c r="K98" s="110">
        <f>SUM(K85:K95)</f>
        <v>-3293.5693790538335</v>
      </c>
      <c r="L98" s="109">
        <f>ABS(SUM(L85:L95))</f>
        <v>1</v>
      </c>
      <c r="M98" s="959"/>
      <c r="P98" s="112">
        <f>SUM(P85:P97)</f>
        <v>10088.847999498415</v>
      </c>
      <c r="Q98" s="1475"/>
      <c r="T98" s="1481"/>
      <c r="U98" s="144" t="s">
        <v>424</v>
      </c>
    </row>
    <row r="99" spans="2:21" ht="25" customHeight="1">
      <c r="B99" s="105"/>
      <c r="C99" s="305"/>
      <c r="D99" s="106"/>
      <c r="E99" s="106"/>
      <c r="F99" s="107"/>
      <c r="G99" s="108"/>
      <c r="H99" s="108"/>
      <c r="I99" s="109"/>
      <c r="J99" s="110"/>
      <c r="K99" s="111"/>
      <c r="L99" s="111"/>
      <c r="M99" s="352"/>
      <c r="P99" s="306"/>
      <c r="Q99" s="1475"/>
      <c r="T99" s="1481"/>
      <c r="U99" s="105"/>
    </row>
    <row r="100" spans="2:21" ht="50" customHeight="1" thickBot="1">
      <c r="C100" s="1108" t="s">
        <v>2072</v>
      </c>
      <c r="D100" s="1089"/>
      <c r="E100" s="1108"/>
      <c r="F100" s="1089"/>
      <c r="G100" s="1090" t="s">
        <v>1889</v>
      </c>
      <c r="H100" s="1091" t="s">
        <v>1776</v>
      </c>
      <c r="I100" s="1091" t="s">
        <v>319</v>
      </c>
      <c r="J100" s="1091" t="s">
        <v>1775</v>
      </c>
      <c r="K100" s="1090" t="s">
        <v>1736</v>
      </c>
      <c r="L100" s="1092" t="s">
        <v>320</v>
      </c>
      <c r="M100" s="1121" t="s">
        <v>815</v>
      </c>
      <c r="T100" s="1481"/>
      <c r="U100" s="149"/>
    </row>
    <row r="101" spans="2:21" ht="25" customHeight="1" thickTop="1">
      <c r="C101" s="569" t="s">
        <v>813</v>
      </c>
      <c r="D101" s="1022">
        <f>SUM(D85:D93)</f>
        <v>2476.6199999999994</v>
      </c>
      <c r="E101" s="566" t="s">
        <v>303</v>
      </c>
      <c r="F101" s="1846" t="s">
        <v>1772</v>
      </c>
      <c r="G101" s="1081">
        <f>(SUMPRODUCT(G85:G93,H85:H93)/SUM(H85:H93))*(D97+1)</f>
        <v>0.27834106264768871</v>
      </c>
      <c r="H101" s="873">
        <f>(D$20*G101*24)/1000</f>
        <v>30.728853316304836</v>
      </c>
      <c r="I101" s="872">
        <f>H101*D101</f>
        <v>76103.692700226864</v>
      </c>
      <c r="J101" s="128">
        <f>(D21*G101*24)/1000</f>
        <v>1.3093163586947276</v>
      </c>
      <c r="K101" s="116">
        <f>J101*D101</f>
        <v>3242.6790802705355</v>
      </c>
      <c r="L101" s="954">
        <f>I101/I104</f>
        <v>0.65566881624762874</v>
      </c>
      <c r="T101" s="1481"/>
      <c r="U101" s="149" t="s">
        <v>1890</v>
      </c>
    </row>
    <row r="102" spans="2:21" ht="25" customHeight="1">
      <c r="C102" s="1023" t="s">
        <v>1857</v>
      </c>
      <c r="D102" s="1024">
        <f>IF(D95+D94=0, 0.0000001, D94+D95)</f>
        <v>1100.42</v>
      </c>
      <c r="E102" s="1025" t="s">
        <v>303</v>
      </c>
      <c r="F102" s="1829" t="s">
        <v>1773</v>
      </c>
      <c r="G102" s="1826">
        <f>IF(D94+D95=0,0.0000001,(SUMPRODUCT(G94:G95,H94:H95)/SUM(H94:H95))*(D97+1))</f>
        <v>0.32432432432432429</v>
      </c>
      <c r="H102" s="1827">
        <f>(D$22*G102*24)/1000</f>
        <v>15.256216216216215</v>
      </c>
      <c r="I102" s="1828">
        <f>H102*D102</f>
        <v>16788.245448648649</v>
      </c>
      <c r="J102" s="1827">
        <f>(H22*G102*24)/1000</f>
        <v>-13.076756756756755</v>
      </c>
      <c r="K102" s="1828">
        <f>J102*D102</f>
        <v>-14389.924670270269</v>
      </c>
      <c r="L102" s="100">
        <f>I102/I104</f>
        <v>0.14463856653512014</v>
      </c>
      <c r="M102" s="960"/>
      <c r="S102" s="454"/>
      <c r="T102" s="1481"/>
      <c r="U102" s="149" t="s">
        <v>1891</v>
      </c>
    </row>
    <row r="103" spans="2:21" ht="25" customHeight="1" thickBot="1">
      <c r="C103" s="1830" t="s">
        <v>1858</v>
      </c>
      <c r="D103" s="1831">
        <v>1.5</v>
      </c>
      <c r="E103" s="1832" t="s">
        <v>462</v>
      </c>
      <c r="F103" s="1832" t="s">
        <v>2019</v>
      </c>
      <c r="G103" s="1833" t="s">
        <v>300</v>
      </c>
      <c r="H103" s="1834">
        <f>I103/H15</f>
        <v>16.24046175223544</v>
      </c>
      <c r="I103" s="1835">
        <f>(1.21*G108*D20*24/1000)*D101/G110</f>
        <v>23178.387012790419</v>
      </c>
      <c r="J103" s="1834">
        <f>K103/H15</f>
        <v>0.69198489205177072</v>
      </c>
      <c r="K103" s="1834">
        <f>(1.21*G108*D21*24/1000)*D101/G110</f>
        <v>987.60083793628723</v>
      </c>
      <c r="L103" s="1040">
        <f>I103/I104</f>
        <v>0.19969261721725104</v>
      </c>
      <c r="M103" s="1836"/>
      <c r="T103" s="1481"/>
    </row>
    <row r="104" spans="2:21" ht="50" customHeight="1" thickTop="1">
      <c r="C104" s="1847" t="s">
        <v>2025</v>
      </c>
      <c r="D104" s="1840"/>
      <c r="E104" s="1840"/>
      <c r="F104" s="1841"/>
      <c r="G104" s="1842">
        <f>(G101*D101/(SUM(D101:D102)+0.000001) + G102*D102/(SUM(D101:D102)+0.000001))</f>
        <v>0.29248708855785921</v>
      </c>
      <c r="H104" s="1849"/>
      <c r="I104" s="1843">
        <f>SUM(I101:I103)</f>
        <v>116070.32516166594</v>
      </c>
      <c r="J104" s="1849"/>
      <c r="K104" s="1845">
        <f>IF(H21="Capacitance", K98, SUM(K101:K102))</f>
        <v>-3293.5693790538335</v>
      </c>
      <c r="L104" s="1848">
        <f>SUM(L101:L103)</f>
        <v>1</v>
      </c>
      <c r="M104" s="1981" t="str">
        <f>IF(T104="-", "N/A", T104/G104)</f>
        <v>N/A</v>
      </c>
      <c r="T104" s="1860" t="str">
        <f>INDEX('CODE-VALUES'!$C104:$S104, 1, MATCH(S2RepStandard, 'CODE-VALUES'!$C$2:$S$2, 0))</f>
        <v>-</v>
      </c>
      <c r="U104" s="149" t="s">
        <v>343</v>
      </c>
    </row>
    <row r="105" spans="2:21" ht="25" customHeight="1">
      <c r="C105" s="1045" t="s">
        <v>1855</v>
      </c>
      <c r="D105" s="1042">
        <v>8000</v>
      </c>
      <c r="E105" s="937" t="s">
        <v>31</v>
      </c>
      <c r="F105" s="1839" t="s">
        <v>2026</v>
      </c>
      <c r="G105" s="1838">
        <f>D105/D101</f>
        <v>3.2302089137614982</v>
      </c>
      <c r="H105" s="1043" t="s">
        <v>2027</v>
      </c>
      <c r="I105" s="1838">
        <f>D101/D105</f>
        <v>0.30957749999999995</v>
      </c>
      <c r="J105" s="1806"/>
      <c r="K105" s="1806"/>
      <c r="L105" s="1806"/>
      <c r="M105" s="1044"/>
      <c r="T105" s="1481"/>
      <c r="U105" s="149"/>
    </row>
    <row r="106" spans="2:21" ht="25" customHeight="1">
      <c r="C106" s="1817" t="s">
        <v>2010</v>
      </c>
      <c r="D106" s="1021">
        <f>D87+D95+D96</f>
        <v>1130.1200000000001</v>
      </c>
      <c r="E106" s="937" t="s">
        <v>2009</v>
      </c>
      <c r="F106" s="1424"/>
      <c r="H106" s="1046"/>
      <c r="I106" s="105"/>
      <c r="J106" s="938"/>
      <c r="K106" s="758"/>
      <c r="L106" s="866"/>
      <c r="M106" s="1982"/>
      <c r="T106" s="1481"/>
      <c r="U106" s="149"/>
    </row>
    <row r="107" spans="2:21" ht="25" customHeight="1">
      <c r="C107" s="1079" t="s">
        <v>1856</v>
      </c>
      <c r="D107" s="2173">
        <f>SUM(D88:D93)/(D86+SUM(D88:D93))</f>
        <v>0.33060745469908931</v>
      </c>
      <c r="E107" s="955"/>
      <c r="F107" s="971"/>
      <c r="G107" s="971"/>
      <c r="H107" s="971"/>
      <c r="I107" s="971"/>
      <c r="M107" s="2126">
        <f>D107/T108</f>
        <v>0.6145119975819503</v>
      </c>
      <c r="T107" s="1494">
        <f>INDEX('CODE-VALUES'!$C107:$S107, 1, MATCH(S2RepStandard, 'CODE-VALUES'!$C$2:$S$2, 0))</f>
        <v>0.4</v>
      </c>
      <c r="U107" s="149"/>
    </row>
    <row r="108" spans="2:21" ht="25" customHeight="1">
      <c r="C108" s="568" t="s">
        <v>2022</v>
      </c>
      <c r="D108" s="737" t="s">
        <v>2011</v>
      </c>
      <c r="F108" s="566" t="s">
        <v>2021</v>
      </c>
      <c r="G108" s="2176">
        <f>IF(D108="Measured",((G109*D105)/(D101*3.6)),IF(D108="AL-1A",0.89,IF(D108="AL-2A",0.71,IF(D108="AL-3A",0.53,IF(D108="AL-4A",0.35,IF(D108="AL-5A",0.21,IF(D108="AL-1B",1.17,IF(D108="AL-2B",0.98,IF(D108="AL-3B",0.78,IF(D108="AL-4B",0.59,IF(D108="AL-5B",0.39,IF(D108="AL-6B",0.23,IF(D108="PH Classic",((0.6*D105)/(D101*3.6)),IF(D108="PH Low",((1*D105)/(D101*3.6)), IF(D108="PH+",0.1,)))))))))))))))</f>
        <v>1.17</v>
      </c>
      <c r="H108" s="570" t="s">
        <v>278</v>
      </c>
      <c r="I108" s="1823"/>
      <c r="J108" s="573"/>
      <c r="K108" s="566"/>
      <c r="L108" s="567"/>
      <c r="P108" s="1122" t="s">
        <v>866</v>
      </c>
      <c r="R108" s="2126">
        <f>G108/T108</f>
        <v>2.1747211895910779</v>
      </c>
      <c r="T108" s="1494">
        <f>INDEX('CODE-VALUES'!$C108:$S108, 1, MATCH(S2RepStandard, 'CODE-VALUES'!$C$2:$S$2, 0))</f>
        <v>0.53800000000000003</v>
      </c>
    </row>
    <row r="109" spans="2:21" ht="25" customHeight="1">
      <c r="C109" s="568" t="s">
        <v>2018</v>
      </c>
      <c r="D109" s="2175">
        <f>G108*(D101/D105)*3.6</f>
        <v>1.3039404299999997</v>
      </c>
      <c r="E109" s="570" t="s">
        <v>2017</v>
      </c>
      <c r="F109" s="566" t="s">
        <v>2016</v>
      </c>
      <c r="G109" s="1820">
        <v>1.5</v>
      </c>
      <c r="H109" s="1863"/>
      <c r="J109" s="566"/>
      <c r="K109" s="572"/>
      <c r="L109" s="567"/>
      <c r="M109" s="1983">
        <f>T109/G109</f>
        <v>1.3333333333333333</v>
      </c>
      <c r="T109" s="1494">
        <f>INDEX('CODE-VALUES'!$C109:$S109, 1, MATCH(S2RepStandard, 'CODE-VALUES'!$C$2:$S$2, 0))</f>
        <v>2</v>
      </c>
    </row>
    <row r="110" spans="2:21" ht="25" customHeight="1">
      <c r="C110" s="1027" t="s">
        <v>2012</v>
      </c>
      <c r="D110" s="2174">
        <f>D109*D105/3600</f>
        <v>2.8976453999999991</v>
      </c>
      <c r="E110" s="1028"/>
      <c r="F110" s="1821" t="s">
        <v>1859</v>
      </c>
      <c r="G110" s="2177">
        <f>INDEX('NRL50-n-Factors'!D38:J49,MATCH('NRL50-n-Factors'!D34,'NRL50-n-Factors'!C38:C49,0),MATCH(REPORT!D103,'NRL50-n-Factors'!D37:J37,0))</f>
        <v>16.7</v>
      </c>
      <c r="H110" s="1837" t="s">
        <v>2020</v>
      </c>
      <c r="I110" s="1938">
        <v>2</v>
      </c>
      <c r="L110" s="1120"/>
      <c r="M110" s="1984">
        <f>T110/D110</f>
        <v>1.7255389496589202</v>
      </c>
      <c r="T110" s="1494">
        <f>INDEX('CODE-VALUES'!$C110:$S110, 1, MATCH(S2RepStandard, 'CODE-VALUES'!$C$2:$S$2, 0))</f>
        <v>5</v>
      </c>
      <c r="U110" s="150" t="s">
        <v>344</v>
      </c>
    </row>
    <row r="111" spans="2:21" ht="25" customHeight="1">
      <c r="T111" s="1481"/>
      <c r="U111" s="114" t="s">
        <v>423</v>
      </c>
    </row>
    <row r="112" spans="2:21" ht="40" customHeight="1" thickBot="1">
      <c r="B112" s="105"/>
      <c r="C112" s="1114" t="s">
        <v>2073</v>
      </c>
      <c r="D112" s="2128" t="s">
        <v>0</v>
      </c>
      <c r="E112" s="2137"/>
      <c r="F112" s="2130"/>
      <c r="G112" s="2130"/>
      <c r="H112" s="2131"/>
      <c r="I112" s="2132"/>
      <c r="J112" s="2133"/>
      <c r="K112" s="2133"/>
      <c r="L112" s="2129" t="s">
        <v>0</v>
      </c>
      <c r="M112" s="2134" t="s">
        <v>815</v>
      </c>
      <c r="T112" s="1481"/>
    </row>
    <row r="113" spans="2:21" ht="25" customHeight="1" thickTop="1">
      <c r="B113" s="83"/>
      <c r="C113" s="2102" t="s">
        <v>2130</v>
      </c>
      <c r="D113" s="2136" t="s">
        <v>1991</v>
      </c>
      <c r="E113" s="2103" t="s">
        <v>2131</v>
      </c>
      <c r="F113" s="2104">
        <v>12.5</v>
      </c>
      <c r="G113" s="2105" t="s">
        <v>2132</v>
      </c>
      <c r="H113" s="2106">
        <f>IF(D113="Heatpump", (F113/3.412), 1)</f>
        <v>3.6635404454865181</v>
      </c>
      <c r="I113" s="2105" t="s">
        <v>2133</v>
      </c>
      <c r="J113" s="2148">
        <f>H113-1</f>
        <v>2.6635404454865181</v>
      </c>
      <c r="K113" s="2105" t="s">
        <v>2135</v>
      </c>
      <c r="L113" s="2113">
        <f>IF(D113="Heatpump",((D114*H113)-D114),0)</f>
        <v>86642.649429381039</v>
      </c>
      <c r="M113" s="2107">
        <f>F113/T113</f>
        <v>1.7605633802816902</v>
      </c>
      <c r="N113" s="25"/>
      <c r="O113" s="719"/>
      <c r="P113" s="120"/>
      <c r="T113" s="1491">
        <f>INDEX('CODE-VALUES'!$C113:$S113, 1, MATCH(S2RepStandard, 'CODE-VALUES'!$C$2:$S$2, 0))</f>
        <v>7.1</v>
      </c>
      <c r="U113" s="91" t="s">
        <v>417</v>
      </c>
    </row>
    <row r="114" spans="2:21" s="122" customFormat="1" ht="25" customHeight="1">
      <c r="C114" s="2114" t="s">
        <v>1860</v>
      </c>
      <c r="D114" s="2146">
        <f>IF(D113="Heatpump",D127/H113,D127)</f>
        <v>32529.128504956876</v>
      </c>
      <c r="E114" s="2147"/>
      <c r="F114" s="2115"/>
      <c r="G114" s="2116"/>
      <c r="H114" s="2115"/>
      <c r="I114" s="2135" t="s">
        <v>2137</v>
      </c>
      <c r="J114" s="2149">
        <f>3.412*J113</f>
        <v>9.0879999999999992</v>
      </c>
      <c r="K114" s="2135" t="s">
        <v>2138</v>
      </c>
      <c r="L114" s="2125">
        <f>IF(D113="Heatpump", IF(D116="Cooling", ((D117*J113)-D117), 0), 0)</f>
        <v>5020.6306645644963</v>
      </c>
      <c r="M114" s="2115"/>
      <c r="O114" s="724"/>
      <c r="P114" s="452">
        <f>IF(D113="Gas", 0, D114*L$12)</f>
        <v>4228.7867056443938</v>
      </c>
      <c r="S114" s="224"/>
      <c r="T114" s="1481"/>
      <c r="U114" s="146" t="s">
        <v>384</v>
      </c>
    </row>
    <row r="115" spans="2:21" s="122" customFormat="1" ht="25" customHeight="1">
      <c r="C115" s="2114" t="s">
        <v>2134</v>
      </c>
      <c r="D115" s="2146">
        <f>IF(D113="Gas",D127/(J115),0)</f>
        <v>0</v>
      </c>
      <c r="E115" s="2147"/>
      <c r="G115" s="2143" t="s">
        <v>2139</v>
      </c>
      <c r="H115" s="2142">
        <f>D115/0.0373/277.7778</f>
        <v>0</v>
      </c>
      <c r="I115" s="2118" t="s">
        <v>2143</v>
      </c>
      <c r="J115" s="2119">
        <v>0.98</v>
      </c>
      <c r="K115" s="2120" t="s">
        <v>2144</v>
      </c>
      <c r="L115" s="2121">
        <f>IF(D113="Gas", D115-D114, 0)</f>
        <v>0</v>
      </c>
      <c r="M115" s="2120" t="s">
        <v>0</v>
      </c>
      <c r="O115" s="724"/>
      <c r="P115" s="452">
        <f>H115*L$13</f>
        <v>0</v>
      </c>
      <c r="S115" s="224"/>
      <c r="T115" s="1481"/>
      <c r="U115" s="146" t="s">
        <v>384</v>
      </c>
    </row>
    <row r="116" spans="2:21" ht="25" customHeight="1">
      <c r="B116" s="83"/>
      <c r="C116" s="2122" t="s">
        <v>2145</v>
      </c>
      <c r="D116" s="2138" t="s">
        <v>787</v>
      </c>
      <c r="E116" s="2144"/>
      <c r="F116" s="2139"/>
      <c r="G116" s="2123" t="s">
        <v>2146</v>
      </c>
      <c r="H116" s="2124"/>
      <c r="I116" s="2124"/>
      <c r="J116" s="2140">
        <v>2.66</v>
      </c>
      <c r="K116" s="2135" t="s">
        <v>2136</v>
      </c>
      <c r="L116" s="2125">
        <f>IF(D116="Cooling",((D117*J116)-D117),0)</f>
        <v>5009.9454604721886</v>
      </c>
      <c r="M116" s="1980">
        <f>T116/J116</f>
        <v>1.2406015037593983</v>
      </c>
      <c r="N116" s="25"/>
      <c r="O116" s="719"/>
      <c r="R116" s="56"/>
      <c r="T116" s="1490">
        <f>INDEX('CODE-VALUES'!$C116:$S116, 1, MATCH(S2RepStandard, 'CODE-VALUES'!$C$2:$S$2, 0))</f>
        <v>3.3</v>
      </c>
      <c r="U116" s="145" t="s">
        <v>421</v>
      </c>
    </row>
    <row r="117" spans="2:21" ht="25" customHeight="1">
      <c r="C117" s="2114" t="s">
        <v>2147</v>
      </c>
      <c r="D117" s="2146">
        <f>IF(D116="No Cooling", 0, IF(D113="Heatpump", M129/J113, IF(D116="Cooling", M129/J116)))</f>
        <v>3018.0394340193907</v>
      </c>
      <c r="E117" s="2147"/>
      <c r="F117" s="2146">
        <f>D117/H15</f>
        <v>2.1146576751817481</v>
      </c>
      <c r="G117" s="2182" t="s">
        <v>273</v>
      </c>
      <c r="H117" s="2127"/>
      <c r="I117" s="2117" t="s">
        <v>2148</v>
      </c>
      <c r="J117" s="2150">
        <f>J116*3.412</f>
        <v>9.07592</v>
      </c>
      <c r="K117" s="2124"/>
      <c r="L117" s="2124"/>
      <c r="M117" s="2126">
        <f>F117/T117</f>
        <v>4.229315350363496E-2</v>
      </c>
      <c r="P117" s="452"/>
      <c r="Q117" s="1471"/>
      <c r="S117" s="224"/>
      <c r="T117" s="1490">
        <f>INDEX('CODE-VALUES'!$C117:$S117, 1, MATCH(S2RepStandard, 'CODE-VALUES'!$C$2:$S$2, 0))</f>
        <v>50</v>
      </c>
      <c r="U117" s="146" t="s">
        <v>422</v>
      </c>
    </row>
    <row r="118" spans="2:21" ht="25" customHeight="1">
      <c r="B118" s="83"/>
      <c r="C118" s="2156" t="s">
        <v>1861</v>
      </c>
      <c r="D118" s="2108">
        <v>0.89</v>
      </c>
      <c r="E118" s="1634"/>
      <c r="F118" s="2109" t="s">
        <v>1862</v>
      </c>
      <c r="G118" s="1806"/>
      <c r="H118" s="2110" t="s">
        <v>1995</v>
      </c>
      <c r="I118" s="1806"/>
      <c r="J118" s="2109" t="s">
        <v>1863</v>
      </c>
      <c r="K118" s="1806"/>
      <c r="L118" s="2111">
        <v>3</v>
      </c>
      <c r="M118" s="2112">
        <f>D118/T120</f>
        <v>0.25428571428571428</v>
      </c>
      <c r="N118" s="25"/>
      <c r="O118" s="719"/>
      <c r="P118" s="452">
        <f>D117*L$12</f>
        <v>392.34512642252082</v>
      </c>
      <c r="Q118" s="1467"/>
      <c r="R118" s="56"/>
      <c r="T118" s="1490">
        <f>INDEX('CODE-VALUES'!$C118:$S118, 1, MATCH(S2RepStandard, 'CODE-VALUES'!$C$2:$S$2, 0))</f>
        <v>0.81</v>
      </c>
      <c r="U118" s="145" t="s">
        <v>837</v>
      </c>
    </row>
    <row r="119" spans="2:21" ht="25" customHeight="1">
      <c r="C119" s="2157" t="s">
        <v>1887</v>
      </c>
      <c r="D119" s="29">
        <v>14</v>
      </c>
      <c r="E119" s="64" t="s">
        <v>1605</v>
      </c>
      <c r="F119" s="755">
        <f>D119*2.11888</f>
        <v>29.664319999999996</v>
      </c>
      <c r="G119" s="363" t="s">
        <v>329</v>
      </c>
      <c r="H119" s="756">
        <f>D119*3.6</f>
        <v>50.4</v>
      </c>
      <c r="I119" s="757" t="s">
        <v>385</v>
      </c>
      <c r="J119" s="868" t="s">
        <v>2129</v>
      </c>
      <c r="L119" s="2083" t="s">
        <v>856</v>
      </c>
      <c r="M119" s="1977">
        <f>D119/T119</f>
        <v>1.1200000000000001</v>
      </c>
      <c r="Q119" s="1471"/>
      <c r="S119" s="224"/>
      <c r="T119" s="1490">
        <f>INDEX('CODE-VALUES'!$C119:$S119, 1, MATCH(S2RepStandard, 'CODE-VALUES'!$C$2:$S$2, 0))</f>
        <v>12.5</v>
      </c>
      <c r="U119" s="329" t="s">
        <v>1489</v>
      </c>
    </row>
    <row r="120" spans="2:21" ht="25" customHeight="1">
      <c r="C120" s="2158" t="s">
        <v>1888</v>
      </c>
      <c r="D120" s="1515">
        <f>IF(H118="Occupant Constant", D63*D119, IF(H118="Occupant by Schedule", D63*D119*(I63/J63), IF(H118="Volume by Schedule", L118*D105/3.6*(I63/J63), L118*D105/3.6)))</f>
        <v>3333.333333333333</v>
      </c>
      <c r="E120" s="55" t="s">
        <v>32</v>
      </c>
      <c r="F120" s="1524">
        <f>D120*2.11888</f>
        <v>7062.9333333333325</v>
      </c>
      <c r="G120" s="64" t="s">
        <v>329</v>
      </c>
      <c r="H120" s="1524">
        <f>D120*3.6</f>
        <v>12000</v>
      </c>
      <c r="I120" s="233" t="s">
        <v>385</v>
      </c>
      <c r="J120" s="754"/>
      <c r="K120" s="141"/>
      <c r="L120" s="202"/>
      <c r="M120" s="1985"/>
      <c r="T120" s="1490">
        <f>INDEX('CODE-VALUES'!$C120:$S120, 1, MATCH(S2RepStandard, 'CODE-VALUES'!$C$2:$S$2, 0))</f>
        <v>3.5</v>
      </c>
      <c r="U120" s="145" t="s">
        <v>419</v>
      </c>
    </row>
    <row r="121" spans="2:21" ht="25" customHeight="1">
      <c r="C121" s="2159" t="s">
        <v>1562</v>
      </c>
      <c r="D121" s="126">
        <f>1.21*D120*D20*24/1000</f>
        <v>445280</v>
      </c>
      <c r="E121" s="37"/>
      <c r="F121" s="2167" t="s">
        <v>2141</v>
      </c>
      <c r="G121" s="2172"/>
      <c r="H121" s="2172"/>
      <c r="I121" s="2168">
        <f>D121*D118</f>
        <v>396299.2</v>
      </c>
      <c r="J121" s="2167" t="s">
        <v>2142</v>
      </c>
      <c r="K121" s="1805"/>
      <c r="L121" s="243"/>
      <c r="M121" s="125">
        <f>D121-I121</f>
        <v>48980.799999999988</v>
      </c>
      <c r="P121" s="452">
        <f>M121*L$12</f>
        <v>6367.503999999999</v>
      </c>
      <c r="T121" s="1481"/>
      <c r="U121" s="145" t="s">
        <v>838</v>
      </c>
    </row>
    <row r="122" spans="2:21" ht="25" customHeight="1">
      <c r="C122" s="2159" t="s">
        <v>1564</v>
      </c>
      <c r="D122" s="116">
        <f>IF(H118="Yes",IF(L119="None", (1.21*D120*D21*24/1000)*(I63/J63)*J122, (1.21*D120*D21*24/1000)*(I63/J63)*L119*J122),IF(L119="None", (1.21*D120*D21*24/1000)*J122, (1.21*D120*D21*24/1000)*J122*L119))</f>
        <v>30257.36908356542</v>
      </c>
      <c r="E122" s="37"/>
      <c r="F122" s="33" t="s">
        <v>1565</v>
      </c>
      <c r="H122" s="574"/>
      <c r="J122" s="2171">
        <f>'COOLING-TARGET'!A6</f>
        <v>1.5947761576343724</v>
      </c>
      <c r="L122" s="116"/>
      <c r="M122" s="1987"/>
      <c r="P122" s="119"/>
      <c r="Q122" s="1471"/>
      <c r="T122" s="1481"/>
      <c r="U122" s="105"/>
    </row>
    <row r="123" spans="2:21" ht="25" customHeight="1">
      <c r="C123" s="2160" t="s">
        <v>1566</v>
      </c>
      <c r="D123" s="116">
        <f>D118*D122</f>
        <v>26929.058484373225</v>
      </c>
      <c r="E123" s="1055"/>
      <c r="G123" s="127"/>
      <c r="H123" s="55"/>
      <c r="I123" s="153"/>
      <c r="J123" s="93"/>
      <c r="K123" s="941"/>
      <c r="L123" s="202"/>
      <c r="M123" s="1986"/>
      <c r="P123" s="119"/>
      <c r="Q123" s="1471"/>
      <c r="T123" s="1481"/>
      <c r="U123" s="105"/>
    </row>
    <row r="124" spans="2:21" ht="25" customHeight="1">
      <c r="C124" s="2161" t="s">
        <v>1865</v>
      </c>
      <c r="D124" s="2170">
        <f>H124/D129</f>
        <v>0.54253196378032076</v>
      </c>
      <c r="E124" s="1056"/>
      <c r="F124" s="2035" t="s">
        <v>2128</v>
      </c>
      <c r="H124" s="2169">
        <f>'COOLING-TARGET'!A33*REPORT!M19</f>
        <v>41469.805440000004</v>
      </c>
      <c r="I124" s="2035" t="s">
        <v>0</v>
      </c>
      <c r="J124" s="939" t="s">
        <v>1552</v>
      </c>
      <c r="K124" s="1082"/>
      <c r="L124" s="942"/>
      <c r="M124" s="940">
        <f>'COOLING-TARGET'!E55</f>
        <v>-31.281710334175472</v>
      </c>
      <c r="P124" s="452">
        <f>H124*-L$12</f>
        <v>-5391.0747072000004</v>
      </c>
      <c r="Q124" s="1471"/>
      <c r="S124" s="224"/>
      <c r="T124" s="1481"/>
      <c r="U124" s="145" t="s">
        <v>839</v>
      </c>
    </row>
    <row r="125" spans="2:21" ht="25" customHeight="1">
      <c r="D125" s="238"/>
      <c r="E125" s="34"/>
      <c r="F125" s="234"/>
      <c r="G125" s="121"/>
      <c r="H125" s="33"/>
      <c r="I125" s="93"/>
      <c r="J125" s="93"/>
      <c r="K125" s="300"/>
      <c r="L125" s="73"/>
      <c r="M125" s="1986"/>
      <c r="T125" s="1481"/>
      <c r="U125" s="145"/>
    </row>
    <row r="126" spans="2:21" ht="40" customHeight="1" thickBot="1">
      <c r="C126" s="1018" t="s">
        <v>2074</v>
      </c>
      <c r="D126" s="1019"/>
      <c r="E126" s="1019"/>
      <c r="F126" s="1019"/>
      <c r="G126" s="1019"/>
      <c r="H126" s="1972" t="s">
        <v>2083</v>
      </c>
      <c r="I126" s="1019"/>
      <c r="J126" s="1019"/>
      <c r="K126" s="1020"/>
      <c r="L126" s="1019"/>
      <c r="M126" s="1972" t="s">
        <v>2084</v>
      </c>
      <c r="O126" s="721" t="s">
        <v>524</v>
      </c>
      <c r="P126" s="452">
        <f>D127*L$12</f>
        <v>15492.331131463929</v>
      </c>
      <c r="Q126" s="1471"/>
      <c r="S126" s="224"/>
      <c r="T126" s="2185"/>
      <c r="U126" s="105"/>
    </row>
    <row r="127" spans="2:21" s="230" customFormat="1" ht="30" customHeight="1" thickTop="1">
      <c r="C127" s="2018" t="s">
        <v>2088</v>
      </c>
      <c r="D127" s="2017">
        <f>(I97+I98+I103+M121)-I80</f>
        <v>119171.77793433791</v>
      </c>
      <c r="E127" s="2019" t="s">
        <v>0</v>
      </c>
      <c r="F127" s="2061" t="s">
        <v>2089</v>
      </c>
      <c r="G127" s="1807"/>
      <c r="H127" s="2020">
        <f>D127/H$15</f>
        <v>83.5004049427816</v>
      </c>
      <c r="I127" s="2021"/>
      <c r="J127" s="2022"/>
      <c r="K127" s="2023"/>
      <c r="L127" s="2024" t="s">
        <v>823</v>
      </c>
      <c r="M127" s="2025" t="str">
        <f>IF(T127=0, "N/A", T127/H127)</f>
        <v>N/A</v>
      </c>
      <c r="O127" s="2009"/>
      <c r="P127" s="2010"/>
      <c r="Q127" s="2011"/>
      <c r="S127" s="2012"/>
      <c r="T127" s="2186">
        <f>INDEX('CODE-VALUES'!$C127:$S127, 1, MATCH(S2RepStandard, 'CODE-VALUES'!$C$2:$S$2, 0))</f>
        <v>0</v>
      </c>
      <c r="U127" s="1726"/>
    </row>
    <row r="128" spans="2:21" ht="27" customHeight="1">
      <c r="C128" s="869" t="s">
        <v>2090</v>
      </c>
      <c r="D128" s="1672">
        <f>(I97+I98+I103)-I80</f>
        <v>70190.97793433792</v>
      </c>
      <c r="E128" s="1446" t="s">
        <v>0</v>
      </c>
      <c r="F128" s="2065" t="s">
        <v>2091</v>
      </c>
      <c r="G128" s="2062"/>
      <c r="H128" s="1447">
        <f>D128/H$15</f>
        <v>49.180898216324216</v>
      </c>
      <c r="I128" s="763"/>
      <c r="J128" s="868"/>
      <c r="K128" s="763"/>
      <c r="L128" s="874"/>
      <c r="M128" s="877"/>
      <c r="P128" s="452">
        <f>D128*L$12</f>
        <v>9124.8271314639296</v>
      </c>
      <c r="Q128" s="1471"/>
      <c r="S128" s="224"/>
      <c r="U128" s="366" t="s">
        <v>355</v>
      </c>
    </row>
    <row r="129" spans="3:21" ht="25" customHeight="1">
      <c r="C129" s="2079" t="s">
        <v>2122</v>
      </c>
      <c r="D129" s="2080">
        <f>K71+K79+K97+K104+K103+D122</f>
        <v>76437.534022957116</v>
      </c>
      <c r="E129" s="2081" t="s">
        <v>0</v>
      </c>
      <c r="F129" s="2066" t="s">
        <v>2123</v>
      </c>
      <c r="G129" s="2082"/>
      <c r="H129" s="1448">
        <f>D129/H$15</f>
        <v>53.557689197699773</v>
      </c>
      <c r="I129" s="123"/>
      <c r="J129" s="55" t="s">
        <v>2085</v>
      </c>
      <c r="L129" s="209"/>
      <c r="M129" s="1502">
        <f>D129-H124-D123</f>
        <v>8038.670098583887</v>
      </c>
      <c r="P129" s="452">
        <f>D129*L$12</f>
        <v>9936.8794229844261</v>
      </c>
      <c r="Q129" s="1471"/>
      <c r="S129" s="224"/>
      <c r="U129" s="147" t="s">
        <v>420</v>
      </c>
    </row>
    <row r="130" spans="3:21" ht="25" customHeight="1">
      <c r="C130" s="317" t="s">
        <v>2094</v>
      </c>
      <c r="D130" s="1444">
        <f>(D129/8760*1000)/H$15</f>
        <v>6.1138914609246306</v>
      </c>
      <c r="E130" s="123" t="s">
        <v>2124</v>
      </c>
      <c r="F130" s="2066" t="s">
        <v>2125</v>
      </c>
      <c r="G130" s="2062"/>
      <c r="H130" s="1448">
        <f>(M129/8760*1000)/H$15</f>
        <v>0.6429767404343697</v>
      </c>
      <c r="I130" s="123" t="s">
        <v>2126</v>
      </c>
      <c r="J130" s="2078"/>
      <c r="K130" s="766"/>
      <c r="P130" s="452">
        <f>M129*L$12</f>
        <v>1045.0271128159054</v>
      </c>
      <c r="Q130" s="1471"/>
      <c r="S130" s="224"/>
      <c r="U130" s="147" t="s">
        <v>420</v>
      </c>
    </row>
    <row r="131" spans="3:21" ht="25" customHeight="1">
      <c r="C131" s="317" t="s">
        <v>2096</v>
      </c>
      <c r="D131" s="1443">
        <f>SUM(I97:I98)+I103</f>
        <v>116070.32516166591</v>
      </c>
      <c r="E131" s="1445" t="s">
        <v>0</v>
      </c>
      <c r="F131" s="462" t="s">
        <v>2097</v>
      </c>
      <c r="G131" s="2062"/>
      <c r="H131" s="348">
        <f>D131/H$15</f>
        <v>81.327301822916141</v>
      </c>
      <c r="I131" s="123"/>
      <c r="J131" s="122"/>
      <c r="L131" s="236"/>
      <c r="M131" s="1442"/>
      <c r="P131" s="452"/>
      <c r="Q131" s="1471"/>
      <c r="S131" s="224"/>
      <c r="U131" s="147"/>
    </row>
    <row r="132" spans="3:21" ht="25" customHeight="1">
      <c r="C132" s="317" t="s">
        <v>2098</v>
      </c>
      <c r="D132" s="1443">
        <f>SUM(K97:K98)+K103</f>
        <v>-2964.6824169283127</v>
      </c>
      <c r="E132" s="1445" t="s">
        <v>0</v>
      </c>
      <c r="F132" s="462" t="s">
        <v>1883</v>
      </c>
      <c r="H132" s="348">
        <f>D132/H$15</f>
        <v>-2.0772718728477528</v>
      </c>
      <c r="I132" s="123"/>
      <c r="J132" s="1441"/>
      <c r="K132" s="1440"/>
      <c r="L132" s="1449"/>
      <c r="M132" s="1450"/>
      <c r="P132" s="452"/>
      <c r="Q132" s="1471"/>
      <c r="S132" s="224"/>
      <c r="U132" s="147"/>
    </row>
    <row r="133" spans="3:21" ht="25" customHeight="1">
      <c r="C133" s="1047"/>
      <c r="D133" s="1048"/>
      <c r="E133" s="307"/>
      <c r="F133" s="878"/>
      <c r="G133" s="1049"/>
      <c r="H133" s="1050"/>
      <c r="I133" s="1051"/>
      <c r="J133" s="308"/>
      <c r="K133" s="1052"/>
      <c r="L133" s="1053"/>
      <c r="M133" s="1054"/>
      <c r="P133" s="119"/>
      <c r="Q133" s="1471"/>
      <c r="U133" s="147"/>
    </row>
    <row r="134" spans="3:21" ht="40" customHeight="1" thickBot="1">
      <c r="C134" s="2002" t="s">
        <v>2075</v>
      </c>
      <c r="D134" s="1083"/>
      <c r="E134" s="1083"/>
      <c r="F134" s="1083"/>
      <c r="G134" s="1083"/>
      <c r="H134" s="1083"/>
      <c r="I134" s="1083"/>
      <c r="J134" s="1083"/>
      <c r="K134" s="1083"/>
      <c r="L134" s="1083"/>
      <c r="M134" s="1085"/>
      <c r="T134" s="1481"/>
      <c r="U134" s="151" t="s">
        <v>347</v>
      </c>
    </row>
    <row r="135" spans="3:21" s="230" customFormat="1" ht="30" customHeight="1" thickTop="1">
      <c r="C135" s="869" t="s">
        <v>2086</v>
      </c>
      <c r="D135" s="2026">
        <f>I103+K51+D117+M121+I101+I102+M43+SUM(H65:H67)-I80</f>
        <v>219408.29736835731</v>
      </c>
      <c r="E135" s="2019" t="s">
        <v>2</v>
      </c>
      <c r="F135" s="868" t="s">
        <v>2087</v>
      </c>
      <c r="G135" s="2027">
        <f>D135/H$15</f>
        <v>153.73339221437593</v>
      </c>
      <c r="H135" s="2021" t="s">
        <v>353</v>
      </c>
      <c r="I135" s="2022"/>
      <c r="J135" s="2022"/>
      <c r="K135" s="2023"/>
      <c r="L135" s="2024" t="s">
        <v>499</v>
      </c>
      <c r="M135" s="2028"/>
      <c r="O135" s="2013"/>
      <c r="P135" s="452">
        <f>D135*L$12</f>
        <v>28523.07865788645</v>
      </c>
      <c r="Q135" s="2014"/>
      <c r="T135" s="1789"/>
      <c r="U135" s="2015"/>
    </row>
    <row r="136" spans="3:21" s="34" customFormat="1" ht="27" customHeight="1">
      <c r="C136" s="869" t="s">
        <v>2099</v>
      </c>
      <c r="D136" s="879">
        <f>IF(D113="Electricity",D135,IF(D113="Heatpump",(K51+D117+D114+M43+H70),IF(D113="Gas",(K51+D117+M43+H70))))</f>
        <v>132765.64793897627</v>
      </c>
      <c r="E136" s="763" t="s">
        <v>0</v>
      </c>
      <c r="F136" s="868" t="s">
        <v>2100</v>
      </c>
      <c r="G136" s="880">
        <f>D136/H$15</f>
        <v>93.025257804775976</v>
      </c>
      <c r="H136" s="763" t="s">
        <v>4</v>
      </c>
      <c r="I136" s="868"/>
      <c r="J136" s="868"/>
      <c r="K136" s="309"/>
      <c r="L136" s="309"/>
      <c r="M136" s="870"/>
      <c r="O136" s="725"/>
      <c r="P136" s="452">
        <f>D136*L$12</f>
        <v>17259.534232066915</v>
      </c>
      <c r="Q136" s="1476"/>
      <c r="S136" s="224" t="s">
        <v>878</v>
      </c>
      <c r="T136" s="1481"/>
      <c r="U136" s="151" t="s">
        <v>416</v>
      </c>
    </row>
    <row r="137" spans="3:21" ht="27" customHeight="1">
      <c r="C137" s="315" t="s">
        <v>2101</v>
      </c>
      <c r="D137" s="359">
        <f>(G101*D101+D102*G102)*(H23-D23)/1000</f>
        <v>46.034472684089636</v>
      </c>
      <c r="E137" s="33" t="s">
        <v>33</v>
      </c>
      <c r="F137" s="868" t="s">
        <v>2102</v>
      </c>
      <c r="G137" s="234"/>
      <c r="H137" s="235"/>
      <c r="I137" s="361">
        <f>D137*3412.14245</f>
        <v>157076.17840874768</v>
      </c>
      <c r="J137" s="89" t="s">
        <v>35</v>
      </c>
      <c r="K137" s="236"/>
      <c r="L137" s="236"/>
      <c r="M137" s="101"/>
      <c r="T137" s="1481"/>
      <c r="U137" s="105"/>
    </row>
    <row r="138" spans="3:21" ht="27" customHeight="1">
      <c r="C138" s="316" t="s">
        <v>2103</v>
      </c>
      <c r="D138" s="348">
        <f>(G101*D101+D102*G102)*(D24-H24)/1000</f>
        <v>10.462380155474916</v>
      </c>
      <c r="E138" s="33" t="s">
        <v>33</v>
      </c>
      <c r="F138" s="103" t="s">
        <v>2104</v>
      </c>
      <c r="G138" s="362">
        <f>D138*0.2843451361</f>
        <v>2.9749269092384543</v>
      </c>
      <c r="H138" s="55" t="s">
        <v>504</v>
      </c>
      <c r="I138" s="361">
        <f>D138*3412.14245</f>
        <v>35699.131456533556</v>
      </c>
      <c r="J138" s="89" t="s">
        <v>35</v>
      </c>
      <c r="K138" s="330"/>
      <c r="L138" s="236"/>
      <c r="M138" s="101"/>
      <c r="T138" s="1483">
        <f>INDEX('CODE-VALUES'!$C138:$S138, 1, MATCH(S2RepStandard, 'CODE-VALUES'!$C$2:$S$2, 0))</f>
        <v>0</v>
      </c>
      <c r="U138" s="105"/>
    </row>
    <row r="139" spans="3:21" ht="27" customHeight="1">
      <c r="C139" s="316" t="s">
        <v>2105</v>
      </c>
      <c r="D139" s="348">
        <f>((G101*D101+D102*G102)*(D24-H24)+(D65+D66+D67)*H15)/1000+((K79+D122+K64-H124)/(M19*24))+SCHEDULES!F4</f>
        <v>48.037738125101797</v>
      </c>
      <c r="E139" s="33" t="s">
        <v>33</v>
      </c>
      <c r="F139" s="103" t="s">
        <v>2106</v>
      </c>
      <c r="G139" s="362">
        <f>D139*0.2843451361</f>
        <v>13.659297185118229</v>
      </c>
      <c r="H139" s="55" t="s">
        <v>504</v>
      </c>
      <c r="I139" s="361">
        <f>D139*3412.14245</f>
        <v>163911.60545864323</v>
      </c>
      <c r="J139" s="89" t="s">
        <v>35</v>
      </c>
      <c r="K139" s="492"/>
      <c r="L139" s="244"/>
      <c r="T139" s="1483">
        <f>INDEX('CODE-VALUES'!$C139:$S139, 1, MATCH(S2RepStandard, 'CODE-VALUES'!$C$2:$S$2, 0))</f>
        <v>0</v>
      </c>
      <c r="U139" s="105"/>
    </row>
    <row r="140" spans="3:21" ht="27" customHeight="1">
      <c r="C140" s="314" t="s">
        <v>2107</v>
      </c>
      <c r="D140" s="360">
        <f>D137*1000/H$15</f>
        <v>32.255095770802711</v>
      </c>
      <c r="E140" s="64" t="s">
        <v>304</v>
      </c>
      <c r="F140" s="103" t="s">
        <v>2108</v>
      </c>
      <c r="G140" s="129">
        <f>D138/H15*1000</f>
        <v>7.3307035842733432</v>
      </c>
      <c r="H140" s="67" t="s">
        <v>1867</v>
      </c>
      <c r="I140" s="818"/>
      <c r="J140" s="203"/>
      <c r="K140" s="64"/>
      <c r="M140" s="2126">
        <f>D140/T140</f>
        <v>0.64510191541605422</v>
      </c>
      <c r="T140" s="1483">
        <f>INDEX('CODE-VALUES'!$C140:$S140, 1, MATCH(S2RepStandard, 'CODE-VALUES'!$C$2:$S$2, 0))</f>
        <v>50</v>
      </c>
      <c r="U140" s="105"/>
    </row>
    <row r="141" spans="3:21" ht="27" customHeight="1">
      <c r="C141" s="314" t="s">
        <v>2109</v>
      </c>
      <c r="D141" s="227">
        <f>D135*L12</f>
        <v>28523.07865788645</v>
      </c>
      <c r="E141" s="227"/>
      <c r="F141" s="2067" t="s">
        <v>2110</v>
      </c>
      <c r="G141" s="227">
        <f>D136*L12</f>
        <v>17259.534232066915</v>
      </c>
      <c r="H141" s="226" t="s">
        <v>323</v>
      </c>
      <c r="I141" s="93"/>
      <c r="J141" s="93" t="s">
        <v>2111</v>
      </c>
      <c r="L141" s="864">
        <f>(L13*D28)+(D29*L14)+(L15*D31)</f>
        <v>0</v>
      </c>
      <c r="M141" s="237"/>
      <c r="P141" s="522">
        <f>D141-G141</f>
        <v>11263.544425819535</v>
      </c>
      <c r="S141" s="454" t="s">
        <v>1708</v>
      </c>
      <c r="U141" s="149" t="s">
        <v>324</v>
      </c>
    </row>
    <row r="142" spans="3:21" ht="27" customHeight="1">
      <c r="C142" s="314" t="s">
        <v>2112</v>
      </c>
      <c r="D142" s="228">
        <v>30000</v>
      </c>
      <c r="E142" s="465"/>
      <c r="F142" s="2067" t="s">
        <v>2127</v>
      </c>
      <c r="G142" s="130">
        <f>IF(D113="Heatpump",D142/(D141-G141), 0)</f>
        <v>2.6634599967689301</v>
      </c>
      <c r="H142" s="85" t="s">
        <v>356</v>
      </c>
      <c r="I142" s="93"/>
      <c r="J142" s="93"/>
      <c r="K142" s="229"/>
      <c r="L142" s="229"/>
      <c r="M142" s="237"/>
      <c r="U142" s="149" t="s">
        <v>324</v>
      </c>
    </row>
    <row r="143" spans="3:21" ht="27" customHeight="1">
      <c r="C143" s="860" t="s">
        <v>2117</v>
      </c>
      <c r="D143" s="2068">
        <f>E10</f>
        <v>233.83133435979741</v>
      </c>
      <c r="E143" s="2069" t="s">
        <v>2114</v>
      </c>
      <c r="F143" s="2067" t="s">
        <v>2116</v>
      </c>
      <c r="G143" s="1420">
        <f>H10</f>
        <v>93.025257804775976</v>
      </c>
      <c r="H143" s="861" t="s">
        <v>1710</v>
      </c>
      <c r="I143" s="759"/>
      <c r="J143" s="2067" t="s">
        <v>2118</v>
      </c>
      <c r="K143" s="1420">
        <f>IF(D14="Targeted Use", "N/A", K10)</f>
        <v>93.146020179372201</v>
      </c>
      <c r="L143" s="861" t="s">
        <v>331</v>
      </c>
      <c r="M143" s="862"/>
      <c r="U143" s="149" t="s">
        <v>324</v>
      </c>
    </row>
    <row r="144" spans="3:21" s="34" customFormat="1" ht="25" customHeight="1">
      <c r="C144" s="860" t="s">
        <v>2119</v>
      </c>
      <c r="D144" s="2070">
        <f>1-(G143/D143)</f>
        <v>0.60216940958974496</v>
      </c>
      <c r="E144" s="2071"/>
      <c r="F144" s="2067" t="s">
        <v>2121</v>
      </c>
      <c r="G144" s="2070">
        <f>IF(K143="N/A", "N/A", IF(K143=0, 0, G143/K143))</f>
        <v>0.9987035154656777</v>
      </c>
      <c r="H144" s="2071" t="s">
        <v>1824</v>
      </c>
      <c r="I144" s="2073"/>
      <c r="J144" s="2074" t="s">
        <v>2115</v>
      </c>
      <c r="K144" s="2070">
        <f>IF(D14="Targeted Use", "N/A", K143/G143)</f>
        <v>1.0012981675885237</v>
      </c>
      <c r="L144" s="2071" t="s">
        <v>357</v>
      </c>
      <c r="M144" s="2072"/>
      <c r="O144" s="725"/>
      <c r="Q144" s="1477"/>
      <c r="T144" s="1495"/>
    </row>
    <row r="145" spans="1:13" ht="25" customHeight="1">
      <c r="C145" s="860" t="s">
        <v>2120</v>
      </c>
      <c r="D145" s="2075">
        <f>1-(K32/REFERENCE!K32)</f>
        <v>0.60216940958974496</v>
      </c>
      <c r="E145" s="2076"/>
      <c r="F145" s="2205"/>
      <c r="G145" s="1806"/>
      <c r="H145" s="1806"/>
      <c r="I145" s="1806"/>
      <c r="J145" s="1806"/>
      <c r="K145" s="1806"/>
      <c r="L145" s="2205"/>
      <c r="M145" s="2205"/>
    </row>
    <row r="146" spans="1:13" ht="25" customHeight="1">
      <c r="C146" s="131"/>
      <c r="D146" s="132"/>
      <c r="E146" s="132"/>
      <c r="F146" s="133"/>
      <c r="G146" s="133"/>
      <c r="L146" s="133"/>
      <c r="M146" s="133"/>
    </row>
    <row r="147" spans="1:13" ht="15" customHeight="1">
      <c r="E147" s="133"/>
      <c r="F147" s="133"/>
      <c r="H147" s="770" t="s">
        <v>1572</v>
      </c>
      <c r="J147" s="2330" t="s">
        <v>1573</v>
      </c>
      <c r="K147" s="2330"/>
      <c r="L147" s="197"/>
      <c r="M147" s="134"/>
    </row>
    <row r="148" spans="1:13" ht="86" customHeight="1">
      <c r="E148" s="197"/>
      <c r="F148" s="197"/>
      <c r="G148" s="769"/>
      <c r="H148" s="769"/>
      <c r="J148" s="2330"/>
      <c r="K148" s="2330"/>
      <c r="L148" s="197"/>
      <c r="M148" s="134"/>
    </row>
    <row r="149" spans="1:13" ht="10" customHeight="1" thickBot="1">
      <c r="G149" s="769"/>
      <c r="H149" s="769"/>
    </row>
    <row r="150" spans="1:13" ht="159" customHeight="1" thickBot="1">
      <c r="C150" s="2346" t="s">
        <v>2166</v>
      </c>
      <c r="D150" s="2347"/>
      <c r="E150" s="2347"/>
      <c r="F150" s="2347"/>
      <c r="G150" s="2347"/>
      <c r="H150" s="2347"/>
      <c r="I150" s="2347"/>
      <c r="J150" s="2347"/>
      <c r="K150" s="2347"/>
      <c r="L150" s="2347"/>
      <c r="M150" s="2348"/>
    </row>
    <row r="151" spans="1:13" ht="118" customHeight="1">
      <c r="C151" s="2345" t="s">
        <v>1814</v>
      </c>
      <c r="D151" s="2345"/>
      <c r="E151" s="2345"/>
    </row>
    <row r="152" spans="1:13" ht="118" customHeight="1">
      <c r="A152" s="1990">
        <f>H27-D43</f>
        <v>132765.64793897627</v>
      </c>
    </row>
    <row r="153" spans="1:13" ht="11.75" customHeight="1">
      <c r="A153" s="1990">
        <f>H27-D43</f>
        <v>132765.64793897627</v>
      </c>
    </row>
    <row r="154" spans="1:13" ht="11.75" customHeight="1">
      <c r="A154" s="1990">
        <f>H27-D43</f>
        <v>132765.64793897627</v>
      </c>
    </row>
    <row r="155" spans="1:13" ht="11.75" customHeight="1">
      <c r="A155" s="1989">
        <f>H28*0.0373</f>
        <v>0</v>
      </c>
    </row>
    <row r="156" spans="1:13" ht="11.75" customHeight="1">
      <c r="A156" s="1990">
        <f>H27-D43</f>
        <v>132765.64793897627</v>
      </c>
    </row>
    <row r="157" spans="1:13" ht="11.75" customHeight="1">
      <c r="A157" s="1989">
        <f>H28*0.0373</f>
        <v>0</v>
      </c>
    </row>
    <row r="158" spans="1:13" ht="11.75" customHeight="1">
      <c r="A158" s="1990">
        <f>H27-D43</f>
        <v>132765.64793897627</v>
      </c>
    </row>
    <row r="159" spans="1:13" ht="11.75" customHeight="1">
      <c r="A159" s="1989">
        <f>H28*0.0373</f>
        <v>0</v>
      </c>
    </row>
    <row r="160" spans="1:13" ht="11.75" customHeight="1">
      <c r="A160" s="1990">
        <f>H27-D43</f>
        <v>132765.64793897627</v>
      </c>
    </row>
    <row r="161" spans="1:1" ht="11.75" customHeight="1">
      <c r="A161" s="1989">
        <f>H28*0.0373</f>
        <v>0</v>
      </c>
    </row>
    <row r="162" spans="1:1" ht="11.75" customHeight="1">
      <c r="A162" s="1989">
        <f>H30*36.72</f>
        <v>0</v>
      </c>
    </row>
    <row r="163" spans="1:1" ht="11.75" customHeight="1">
      <c r="A163" s="1990">
        <f>H27-D43</f>
        <v>132765.64793897627</v>
      </c>
    </row>
    <row r="164" spans="1:1" ht="11.75" customHeight="1">
      <c r="A164" s="1989">
        <f>H28*0.0373</f>
        <v>0</v>
      </c>
    </row>
    <row r="165" spans="1:1" ht="11.75" customHeight="1">
      <c r="A165" s="1989">
        <f>H30*36.72</f>
        <v>0</v>
      </c>
    </row>
    <row r="166" spans="1:1" ht="11.75" customHeight="1">
      <c r="A166" s="1990">
        <f>H27-D43</f>
        <v>132765.64793897627</v>
      </c>
    </row>
    <row r="167" spans="1:1" ht="11.75" customHeight="1">
      <c r="A167" s="1989">
        <f>H28*0.0373</f>
        <v>0</v>
      </c>
    </row>
    <row r="168" spans="1:1" ht="11.75" customHeight="1">
      <c r="A168" s="1989">
        <f>H30*36.72</f>
        <v>0</v>
      </c>
    </row>
    <row r="169" spans="1:1" ht="11.75" customHeight="1">
      <c r="A169" s="1990">
        <f>H27-D43</f>
        <v>132765.64793897627</v>
      </c>
    </row>
    <row r="170" spans="1:1" ht="11.75" customHeight="1">
      <c r="A170" s="1989">
        <f>H28*0.0373</f>
        <v>0</v>
      </c>
    </row>
    <row r="171" spans="1:1" ht="11.75" customHeight="1">
      <c r="A171" s="1989">
        <f>H30*36.72</f>
        <v>0</v>
      </c>
    </row>
    <row r="172" spans="1:1" ht="11.75" customHeight="1">
      <c r="A172" s="1990">
        <f>H27-D43</f>
        <v>132765.64793897627</v>
      </c>
    </row>
    <row r="173" spans="1:1" ht="11.75" customHeight="1">
      <c r="A173" s="1989">
        <f>H28*0.0373</f>
        <v>0</v>
      </c>
    </row>
    <row r="174" spans="1:1" ht="11.75" customHeight="1">
      <c r="A174" s="1989">
        <f>H30*36.72</f>
        <v>0</v>
      </c>
    </row>
    <row r="175" spans="1:1" ht="11.75" customHeight="1">
      <c r="A175" s="1990">
        <f>H27-D43</f>
        <v>132765.64793897627</v>
      </c>
    </row>
    <row r="176" spans="1:1" ht="11.75" customHeight="1">
      <c r="A176" s="1989">
        <f>H28*0.0373</f>
        <v>0</v>
      </c>
    </row>
    <row r="177" spans="1:1" ht="11.75" customHeight="1">
      <c r="A177" s="1989">
        <f>H30*36.72</f>
        <v>0</v>
      </c>
    </row>
    <row r="178" spans="1:1" ht="11.75" customHeight="1">
      <c r="A178" s="1990">
        <f>H27-D43</f>
        <v>132765.64793897627</v>
      </c>
    </row>
    <row r="179" spans="1:1" ht="11.75" customHeight="1">
      <c r="A179" s="1989">
        <f>H28*0.0373</f>
        <v>0</v>
      </c>
    </row>
    <row r="180" spans="1:1" ht="11.75" customHeight="1">
      <c r="A180" s="1989">
        <f>H30*36.72</f>
        <v>0</v>
      </c>
    </row>
    <row r="181" spans="1:1" ht="11.75" customHeight="1">
      <c r="A181" s="1990">
        <f>H27-D43</f>
        <v>132765.64793897627</v>
      </c>
    </row>
    <row r="182" spans="1:1" ht="11.75" customHeight="1">
      <c r="A182" s="1990">
        <f>I44+I45</f>
        <v>0</v>
      </c>
    </row>
    <row r="183" spans="1:1" ht="11.75" customHeight="1">
      <c r="A183" s="1989">
        <f>H28*0.0373</f>
        <v>0</v>
      </c>
    </row>
    <row r="184" spans="1:1" ht="11.75" customHeight="1">
      <c r="A184" s="1989">
        <f>H30*36.72</f>
        <v>0</v>
      </c>
    </row>
    <row r="185" spans="1:1" ht="11.75" customHeight="1">
      <c r="A185" s="1990">
        <f>H27-D43</f>
        <v>132765.64793897627</v>
      </c>
    </row>
    <row r="186" spans="1:1" ht="11.75" customHeight="1">
      <c r="A186" s="1990">
        <f>I44+I45</f>
        <v>0</v>
      </c>
    </row>
    <row r="187" spans="1:1" ht="11.75" customHeight="1">
      <c r="A187" s="1989">
        <f>H28*0.0373</f>
        <v>0</v>
      </c>
    </row>
    <row r="188" spans="1:1" ht="11.75" customHeight="1">
      <c r="A188" s="1989">
        <f>H30*36.72</f>
        <v>0</v>
      </c>
    </row>
    <row r="189" spans="1:1" ht="11.75" customHeight="1">
      <c r="A189" s="1990">
        <f>H27-D43</f>
        <v>132765.64793897627</v>
      </c>
    </row>
    <row r="190" spans="1:1" ht="11.75" customHeight="1">
      <c r="A190" s="1990">
        <f>I44+I45</f>
        <v>0</v>
      </c>
    </row>
    <row r="191" spans="1:1" ht="11.75" customHeight="1">
      <c r="A191" s="1989">
        <f>H28*0.0373</f>
        <v>0</v>
      </c>
    </row>
    <row r="192" spans="1:1" ht="11.75" customHeight="1">
      <c r="A192" s="1989">
        <f>H30*36.72</f>
        <v>0</v>
      </c>
    </row>
    <row r="193" spans="1:1" ht="11.75" customHeight="1">
      <c r="A193" s="1990">
        <f>H27-D43</f>
        <v>132765.64793897627</v>
      </c>
    </row>
    <row r="194" spans="1:1" ht="11.75" customHeight="1">
      <c r="A194" s="1990">
        <f>I44+I45</f>
        <v>0</v>
      </c>
    </row>
    <row r="195" spans="1:1" ht="11.75" customHeight="1">
      <c r="A195" s="1989">
        <f>H28*0.0373</f>
        <v>0</v>
      </c>
    </row>
    <row r="196" spans="1:1" ht="11.75" customHeight="1">
      <c r="A196" s="1989">
        <f>H30*36.72</f>
        <v>0</v>
      </c>
    </row>
    <row r="197" spans="1:1" ht="11.75" customHeight="1">
      <c r="A197" s="1990">
        <f>H27-D43</f>
        <v>132765.64793897627</v>
      </c>
    </row>
    <row r="198" spans="1:1" ht="11.75" customHeight="1">
      <c r="A198" s="1990">
        <f>I44+I45</f>
        <v>0</v>
      </c>
    </row>
    <row r="199" spans="1:1" ht="11.75" customHeight="1">
      <c r="A199" s="1989">
        <f>H28*0.0373</f>
        <v>0</v>
      </c>
    </row>
    <row r="200" spans="1:1" ht="11.75" customHeight="1">
      <c r="A200" s="1989">
        <f>H30*36.72</f>
        <v>0</v>
      </c>
    </row>
    <row r="201" spans="1:1" ht="11.75" customHeight="1">
      <c r="A201" s="1990">
        <f>H27-D43</f>
        <v>132765.64793897627</v>
      </c>
    </row>
    <row r="202" spans="1:1" ht="11.75" customHeight="1">
      <c r="A202" s="1990">
        <f>I44+I45</f>
        <v>0</v>
      </c>
    </row>
    <row r="203" spans="1:1" ht="11.75" customHeight="1">
      <c r="A203" s="1989">
        <f>H28*0.0373</f>
        <v>0</v>
      </c>
    </row>
    <row r="204" spans="1:1" ht="11.75" customHeight="1">
      <c r="A204" s="1989">
        <f>H30*36.72</f>
        <v>0</v>
      </c>
    </row>
    <row r="205" spans="1:1" ht="11.75" customHeight="1">
      <c r="A205" s="1990">
        <f>H27-D43</f>
        <v>132765.64793897627</v>
      </c>
    </row>
    <row r="206" spans="1:1" ht="11.75" customHeight="1">
      <c r="A206" s="1990">
        <f>I44+I45</f>
        <v>0</v>
      </c>
    </row>
    <row r="207" spans="1:1" ht="11.75" customHeight="1">
      <c r="A207" s="1989">
        <f>H28*0.0373</f>
        <v>0</v>
      </c>
    </row>
    <row r="208" spans="1:1" ht="11.75" customHeight="1">
      <c r="A208" s="1989">
        <f>H30*36.72</f>
        <v>0</v>
      </c>
    </row>
    <row r="209" spans="1:1" ht="11.75" customHeight="1">
      <c r="A209" s="1990">
        <f>H27-D43</f>
        <v>132765.64793897627</v>
      </c>
    </row>
    <row r="210" spans="1:1" ht="11.75" customHeight="1">
      <c r="A210" s="1990">
        <f>I44+I45</f>
        <v>0</v>
      </c>
    </row>
    <row r="211" spans="1:1" ht="11.75" customHeight="1">
      <c r="A211" s="1989">
        <f>H28*0.0373</f>
        <v>0</v>
      </c>
    </row>
    <row r="212" spans="1:1" ht="11.75" customHeight="1">
      <c r="A212" s="1989">
        <f>H30*36.72</f>
        <v>0</v>
      </c>
    </row>
    <row r="213" spans="1:1" ht="11.75" customHeight="1">
      <c r="A213" s="1990">
        <f>H27-D43</f>
        <v>132765.64793897627</v>
      </c>
    </row>
    <row r="214" spans="1:1" ht="11.75" customHeight="1">
      <c r="A214" s="1989">
        <f>SUM(D44:D46)</f>
        <v>0</v>
      </c>
    </row>
    <row r="215" spans="1:1" ht="11.75" customHeight="1">
      <c r="A215" s="1990">
        <f>I44+I45</f>
        <v>0</v>
      </c>
    </row>
    <row r="216" spans="1:1" ht="11.75" customHeight="1">
      <c r="A216" s="1989">
        <f>H28*0.0373</f>
        <v>0</v>
      </c>
    </row>
    <row r="217" spans="1:1" ht="11.75" customHeight="1">
      <c r="A217" s="1989">
        <f>H30*36.72</f>
        <v>0</v>
      </c>
    </row>
    <row r="218" spans="1:1" ht="11.75" customHeight="1">
      <c r="A218" s="1990">
        <f>H27-D43</f>
        <v>132765.64793897627</v>
      </c>
    </row>
    <row r="219" spans="1:1" ht="11.75" customHeight="1">
      <c r="A219" s="1989">
        <f>SUM(D44:D46)</f>
        <v>0</v>
      </c>
    </row>
    <row r="220" spans="1:1" ht="11.75" customHeight="1">
      <c r="A220" s="1990">
        <f>I44+I45</f>
        <v>0</v>
      </c>
    </row>
    <row r="221" spans="1:1" ht="11.75" customHeight="1">
      <c r="A221" s="1989">
        <f>H28*0.0373</f>
        <v>0</v>
      </c>
    </row>
    <row r="222" spans="1:1" ht="11.75" customHeight="1">
      <c r="A222" s="1989">
        <f>H30*36.72</f>
        <v>0</v>
      </c>
    </row>
    <row r="223" spans="1:1" ht="11.75" customHeight="1">
      <c r="A223" s="1990">
        <f>H27-D43</f>
        <v>132765.64793897627</v>
      </c>
    </row>
    <row r="224" spans="1:1" ht="11.75" customHeight="1">
      <c r="A224" s="1989">
        <f>SUM(D44:D46)</f>
        <v>0</v>
      </c>
    </row>
    <row r="225" spans="1:1" ht="11.75" customHeight="1">
      <c r="A225" s="1990">
        <f>I44+I45</f>
        <v>0</v>
      </c>
    </row>
    <row r="226" spans="1:1" ht="11.75" customHeight="1">
      <c r="A226" s="1989">
        <f>H28*0.0373</f>
        <v>0</v>
      </c>
    </row>
    <row r="227" spans="1:1" ht="11.75" customHeight="1">
      <c r="A227" s="1989">
        <f>H30*36.72</f>
        <v>0</v>
      </c>
    </row>
    <row r="228" spans="1:1" ht="11.75" customHeight="1">
      <c r="A228" s="1990">
        <f>H27-D43</f>
        <v>132765.64793897627</v>
      </c>
    </row>
    <row r="229" spans="1:1" ht="11.75" customHeight="1">
      <c r="A229" s="1989">
        <f>SUM(D44:D46)</f>
        <v>0</v>
      </c>
    </row>
    <row r="230" spans="1:1" ht="11.75" customHeight="1">
      <c r="A230" s="1990">
        <f>I44+I45</f>
        <v>0</v>
      </c>
    </row>
    <row r="231" spans="1:1" ht="11.75" customHeight="1">
      <c r="A231" s="1989">
        <f>H28*0.0373</f>
        <v>0</v>
      </c>
    </row>
    <row r="232" spans="1:1" ht="11.75" customHeight="1">
      <c r="A232" s="1989">
        <f>H30*36.72</f>
        <v>0</v>
      </c>
    </row>
    <row r="233" spans="1:1" ht="11.75" customHeight="1">
      <c r="A233" s="1990">
        <f>H27-D43</f>
        <v>132765.64793897627</v>
      </c>
    </row>
    <row r="234" spans="1:1" ht="11.75" customHeight="1">
      <c r="A234" s="1989">
        <f>SUM(D44:D46)</f>
        <v>0</v>
      </c>
    </row>
    <row r="235" spans="1:1" ht="11.75" customHeight="1">
      <c r="A235" s="1990">
        <f>I44+I45</f>
        <v>0</v>
      </c>
    </row>
    <row r="236" spans="1:1" ht="11.75" customHeight="1">
      <c r="A236" s="1989">
        <f>H28*0.0373</f>
        <v>0</v>
      </c>
    </row>
    <row r="237" spans="1:1" ht="11.75" customHeight="1">
      <c r="A237" s="1989">
        <f>H30*36.72</f>
        <v>0</v>
      </c>
    </row>
    <row r="238" spans="1:1" ht="11.75" customHeight="1">
      <c r="A238" s="1990">
        <f>H27-D43</f>
        <v>132765.64793897627</v>
      </c>
    </row>
    <row r="239" spans="1:1" ht="11.75" customHeight="1">
      <c r="A239" s="1989">
        <f>SUM(D44:D46)</f>
        <v>0</v>
      </c>
    </row>
    <row r="240" spans="1:1" ht="11.75" customHeight="1">
      <c r="A240" s="1990">
        <f>I44+I45</f>
        <v>0</v>
      </c>
    </row>
    <row r="241" spans="1:1" ht="11.75" customHeight="1">
      <c r="A241" s="1989">
        <f>H28*0.0373</f>
        <v>0</v>
      </c>
    </row>
    <row r="242" spans="1:1" ht="11.75" customHeight="1">
      <c r="A242" s="1989">
        <f>H30*36.72</f>
        <v>0</v>
      </c>
    </row>
    <row r="243" spans="1:1" ht="11.75" customHeight="1">
      <c r="A243" s="1990">
        <f>H27-D43</f>
        <v>132765.64793897627</v>
      </c>
    </row>
    <row r="244" spans="1:1" ht="11.75" customHeight="1">
      <c r="A244" s="1989">
        <f>SUM(D44:D46)</f>
        <v>0</v>
      </c>
    </row>
    <row r="245" spans="1:1" ht="11.75" customHeight="1">
      <c r="A245" s="1990">
        <f>I44+I45</f>
        <v>0</v>
      </c>
    </row>
    <row r="246" spans="1:1" ht="11.75" customHeight="1">
      <c r="A246" s="1989">
        <f>H28*0.0373</f>
        <v>0</v>
      </c>
    </row>
    <row r="247" spans="1:1" ht="11.75" customHeight="1">
      <c r="A247" s="1989">
        <f>H30*36.72</f>
        <v>0</v>
      </c>
    </row>
    <row r="248" spans="1:1" ht="11.75" customHeight="1">
      <c r="A248" s="1990">
        <f>H27-D43</f>
        <v>132765.64793897627</v>
      </c>
    </row>
    <row r="249" spans="1:1" ht="11.75" customHeight="1">
      <c r="A249" s="1989">
        <f>SUM(D44:D46)</f>
        <v>0</v>
      </c>
    </row>
    <row r="250" spans="1:1" ht="11.75" customHeight="1">
      <c r="A250" s="1990">
        <f>I44+I45</f>
        <v>0</v>
      </c>
    </row>
    <row r="251" spans="1:1" ht="11.75" customHeight="1">
      <c r="A251" s="1989">
        <f>H28*0.0373</f>
        <v>0</v>
      </c>
    </row>
    <row r="252" spans="1:1" ht="11.75" customHeight="1">
      <c r="A252" s="1989">
        <f>H30*36.72</f>
        <v>0</v>
      </c>
    </row>
    <row r="253" spans="1:1" ht="11.75" customHeight="1">
      <c r="A253" s="1990">
        <f>H27-D43</f>
        <v>132765.64793897627</v>
      </c>
    </row>
    <row r="254" spans="1:1" ht="11.75" customHeight="1">
      <c r="A254" s="1989">
        <f>SUM(D44:D46)</f>
        <v>0</v>
      </c>
    </row>
    <row r="255" spans="1:1" ht="11.75" customHeight="1">
      <c r="A255" s="1990">
        <f>I44+I45</f>
        <v>0</v>
      </c>
    </row>
    <row r="256" spans="1:1" ht="11.75" customHeight="1">
      <c r="A256" s="1989">
        <f>H28*0.0373</f>
        <v>0</v>
      </c>
    </row>
    <row r="257" spans="1:1" ht="11.75" customHeight="1">
      <c r="A257" s="1989">
        <f>H30*36.72</f>
        <v>0</v>
      </c>
    </row>
    <row r="258" spans="1:1" ht="11.75" customHeight="1">
      <c r="A258" s="1990">
        <f>H27-D43</f>
        <v>132765.64793897627</v>
      </c>
    </row>
    <row r="259" spans="1:1" ht="11.75" customHeight="1">
      <c r="A259" s="1989">
        <f>SUM(D44:D46)</f>
        <v>0</v>
      </c>
    </row>
    <row r="260" spans="1:1" ht="11.75" customHeight="1">
      <c r="A260" s="1990">
        <f>I44+I45</f>
        <v>0</v>
      </c>
    </row>
    <row r="261" spans="1:1" ht="11.75" customHeight="1">
      <c r="A261" s="1989">
        <f>H28*0.0373</f>
        <v>0</v>
      </c>
    </row>
    <row r="262" spans="1:1" ht="11.75" customHeight="1">
      <c r="A262" s="1989">
        <f>H30*36.72</f>
        <v>0</v>
      </c>
    </row>
    <row r="263" spans="1:1" ht="11.75" customHeight="1">
      <c r="A263" s="1990">
        <f>H27-D43</f>
        <v>132765.64793897627</v>
      </c>
    </row>
    <row r="264" spans="1:1" ht="11.75" customHeight="1">
      <c r="A264" s="1989" t="b">
        <f>D113="Electricity"</f>
        <v>0</v>
      </c>
    </row>
    <row r="265" spans="1:1" ht="11.75" customHeight="1">
      <c r="A265" s="1989">
        <f>IF(D113="Heatpump",K51+D117+D114+M43+H70,IF(D113="Gas",K51+D117+M43+H70))</f>
        <v>132765.64793897627</v>
      </c>
    </row>
    <row r="266" spans="1:1" ht="11.75" customHeight="1">
      <c r="A266" s="1989">
        <f>SUM(D44:D46)</f>
        <v>0</v>
      </c>
    </row>
    <row r="267" spans="1:1" ht="11.75" customHeight="1">
      <c r="A267" s="1990">
        <f>I44+I45</f>
        <v>0</v>
      </c>
    </row>
    <row r="268" spans="1:1" ht="11.75" customHeight="1">
      <c r="A268" s="1989">
        <f>H28*0.0373</f>
        <v>0</v>
      </c>
    </row>
    <row r="269" spans="1:1" ht="11.75" customHeight="1">
      <c r="A269" s="1989">
        <f>H30*36.72</f>
        <v>0</v>
      </c>
    </row>
    <row r="270" spans="1:1" ht="11.75" customHeight="1">
      <c r="A270" s="1990">
        <f>H27-D43</f>
        <v>132765.64793897627</v>
      </c>
    </row>
    <row r="271" spans="1:1" ht="11.75" customHeight="1">
      <c r="A271" s="1989" t="b">
        <f>D113="Electricity"</f>
        <v>0</v>
      </c>
    </row>
    <row r="272" spans="1:1" ht="11.75" customHeight="1">
      <c r="A272" s="1989">
        <f>IF(D113="Heatpump",K51+D117+D114+M43+H70,IF(D113="Gas",K51+D117+M43+H70))</f>
        <v>132765.64793897627</v>
      </c>
    </row>
    <row r="273" spans="1:1" ht="11.75" customHeight="1">
      <c r="A273" s="1989">
        <f>SUM(D44:D46)</f>
        <v>0</v>
      </c>
    </row>
    <row r="274" spans="1:1" ht="11.75" customHeight="1">
      <c r="A274" s="1990">
        <f>I44+I45</f>
        <v>0</v>
      </c>
    </row>
    <row r="275" spans="1:1" ht="11.75" customHeight="1">
      <c r="A275" s="1989">
        <f>H28*0.0373</f>
        <v>0</v>
      </c>
    </row>
    <row r="276" spans="1:1" ht="11.75" customHeight="1">
      <c r="A276" s="1989">
        <f>H30*36.72</f>
        <v>0</v>
      </c>
    </row>
    <row r="277" spans="1:1" ht="11.75" customHeight="1">
      <c r="A277" s="1990">
        <f>H27-D43</f>
        <v>132765.64793897627</v>
      </c>
    </row>
    <row r="278" spans="1:1" ht="11.75" customHeight="1">
      <c r="A278" s="1989" t="b">
        <f>D113="Electricity"</f>
        <v>0</v>
      </c>
    </row>
    <row r="279" spans="1:1" ht="11.75" customHeight="1">
      <c r="A279" s="1989">
        <f>IF(D113="Heatpump",K51+D117+D114+M43+H70,IF(D113="Gas",K51+D117+M43+H70))</f>
        <v>132765.64793897627</v>
      </c>
    </row>
    <row r="280" spans="1:1" ht="11.75" customHeight="1">
      <c r="A280" s="1989">
        <f>SUM(D44:D46)</f>
        <v>0</v>
      </c>
    </row>
    <row r="281" spans="1:1" ht="11.75" customHeight="1">
      <c r="A281" s="1990">
        <f>I44+I45</f>
        <v>0</v>
      </c>
    </row>
    <row r="282" spans="1:1" ht="11.75" customHeight="1">
      <c r="A282" s="1989">
        <f>H28*0.0373</f>
        <v>0</v>
      </c>
    </row>
    <row r="283" spans="1:1" ht="11.75" customHeight="1">
      <c r="A283" s="1989">
        <f>H30*36.72</f>
        <v>0</v>
      </c>
    </row>
    <row r="284" spans="1:1" ht="11.75" customHeight="1">
      <c r="A284" s="1990">
        <f>H27-D43</f>
        <v>132765.64793897627</v>
      </c>
    </row>
    <row r="285" spans="1:1" ht="11.75" customHeight="1">
      <c r="A285" s="1989" t="b">
        <f>D113="Electricity"</f>
        <v>0</v>
      </c>
    </row>
    <row r="286" spans="1:1" ht="11.75" customHeight="1">
      <c r="A286" s="1989">
        <f>IF(D113="Heatpump",K51+D117+D114+M43+H70,IF(D113="Gas",K51+D117+M43+H70))</f>
        <v>132765.64793897627</v>
      </c>
    </row>
    <row r="287" spans="1:1" ht="11.75" customHeight="1">
      <c r="A287" s="1989">
        <f>SUM(D44:D46)</f>
        <v>0</v>
      </c>
    </row>
    <row r="288" spans="1:1" ht="11.75" customHeight="1">
      <c r="A288" s="1990">
        <f>I44+I45</f>
        <v>0</v>
      </c>
    </row>
    <row r="289" spans="1:1" ht="11.75" customHeight="1">
      <c r="A289" s="1989">
        <f>H28*0.0373</f>
        <v>0</v>
      </c>
    </row>
    <row r="290" spans="1:1" ht="11.75" customHeight="1">
      <c r="A290" s="1989">
        <f>H30*36.72</f>
        <v>0</v>
      </c>
    </row>
    <row r="291" spans="1:1" ht="11.75" customHeight="1">
      <c r="A291" s="1990">
        <f>H27-D43</f>
        <v>132765.64793897627</v>
      </c>
    </row>
    <row r="292" spans="1:1" ht="11.75" customHeight="1">
      <c r="A292" s="1989" t="b">
        <f>D113="Electricity"</f>
        <v>0</v>
      </c>
    </row>
    <row r="293" spans="1:1" ht="11.75" customHeight="1">
      <c r="A293" s="1989">
        <f>IF(D113="Heatpump",K51+D117+D114+M43+H70,IF(D113="Gas",K51+D117+M43+H70))</f>
        <v>132765.64793897627</v>
      </c>
    </row>
    <row r="294" spans="1:1" ht="11.75" customHeight="1">
      <c r="A294" s="1989">
        <f>SUM(D44:D46)</f>
        <v>0</v>
      </c>
    </row>
    <row r="295" spans="1:1" ht="11.75" customHeight="1">
      <c r="A295" s="1990">
        <f>I44+I45</f>
        <v>0</v>
      </c>
    </row>
    <row r="296" spans="1:1" ht="11.75" customHeight="1">
      <c r="A296" s="1989">
        <f>H28*0.0373</f>
        <v>0</v>
      </c>
    </row>
    <row r="297" spans="1:1" ht="11.75" customHeight="1">
      <c r="A297" s="1989">
        <f>H30*36.72</f>
        <v>0</v>
      </c>
    </row>
    <row r="298" spans="1:1" ht="11.75" customHeight="1">
      <c r="A298" s="1990">
        <f>H27-D43</f>
        <v>132765.64793897627</v>
      </c>
    </row>
    <row r="299" spans="1:1" ht="11.75" customHeight="1">
      <c r="A299" s="1989" t="b">
        <f>D113="Electricity"</f>
        <v>0</v>
      </c>
    </row>
    <row r="300" spans="1:1" ht="11.75" customHeight="1">
      <c r="A300" s="1989">
        <f>IF(D113="Heatpump",K51+D117+D114+M43+H70,IF(D113="Gas",K51+D117+M43+H70))</f>
        <v>132765.64793897627</v>
      </c>
    </row>
    <row r="301" spans="1:1" ht="11.75" customHeight="1">
      <c r="A301" s="1989">
        <f>SUM(D44:D46)</f>
        <v>0</v>
      </c>
    </row>
    <row r="302" spans="1:1" ht="11.75" customHeight="1">
      <c r="A302" s="1990">
        <f>I44+I45</f>
        <v>0</v>
      </c>
    </row>
    <row r="303" spans="1:1" ht="11.75" customHeight="1">
      <c r="A303" s="1989">
        <f>H28*0.0373</f>
        <v>0</v>
      </c>
    </row>
    <row r="304" spans="1:1" ht="11.75" customHeight="1">
      <c r="A304" s="1989">
        <f>H30*36.72</f>
        <v>0</v>
      </c>
    </row>
    <row r="305" spans="1:1" ht="11.75" customHeight="1">
      <c r="A305" s="1990">
        <f>H27-D43</f>
        <v>132765.64793897627</v>
      </c>
    </row>
    <row r="306" spans="1:1" ht="11.75" customHeight="1">
      <c r="A306" s="1989" t="b">
        <f>D113="Electricity"</f>
        <v>0</v>
      </c>
    </row>
    <row r="307" spans="1:1" ht="11.75" customHeight="1">
      <c r="A307" s="1989">
        <f>IF(D113="Heatpump",K51+D117+D114+M43+H70,IF(D113="Gas",K51+D117+M43+H70))</f>
        <v>132765.64793897627</v>
      </c>
    </row>
    <row r="308" spans="1:1" ht="11.75" customHeight="1">
      <c r="A308" s="1989">
        <f>SUM(D44:D46)</f>
        <v>0</v>
      </c>
    </row>
    <row r="309" spans="1:1" ht="11.75" customHeight="1">
      <c r="A309" s="1990">
        <f>I44+I45</f>
        <v>0</v>
      </c>
    </row>
    <row r="310" spans="1:1" ht="11.75" customHeight="1">
      <c r="A310" s="1989">
        <f>H28*0.0373</f>
        <v>0</v>
      </c>
    </row>
    <row r="311" spans="1:1" ht="11.75" customHeight="1">
      <c r="A311" s="1989">
        <f>H30*36.72</f>
        <v>0</v>
      </c>
    </row>
    <row r="312" spans="1:1" ht="11.75" customHeight="1">
      <c r="A312" s="1990">
        <f>H27-D43</f>
        <v>132765.64793897627</v>
      </c>
    </row>
    <row r="313" spans="1:1" ht="11.75" customHeight="1">
      <c r="A313" s="1989" t="b">
        <f>D113="Electricity"</f>
        <v>0</v>
      </c>
    </row>
    <row r="314" spans="1:1" ht="11.75" customHeight="1">
      <c r="A314" s="1989">
        <f>IF(D113="Heatpump",K51+D117+D114+M43+H70,IF(D113="Gas",K51+D117+M43+H70))</f>
        <v>132765.64793897627</v>
      </c>
    </row>
    <row r="315" spans="1:1" ht="11.75" customHeight="1">
      <c r="A315" s="1989">
        <f>SUM(D44:D46)</f>
        <v>0</v>
      </c>
    </row>
    <row r="316" spans="1:1" ht="11.75" customHeight="1">
      <c r="A316" s="1990">
        <f>I44+I45</f>
        <v>0</v>
      </c>
    </row>
    <row r="317" spans="1:1" ht="11.75" customHeight="1">
      <c r="A317" s="1989">
        <f>H28*0.0373</f>
        <v>0</v>
      </c>
    </row>
    <row r="318" spans="1:1" ht="11.75" customHeight="1">
      <c r="A318" s="1989">
        <f>H30*36.72</f>
        <v>0</v>
      </c>
    </row>
    <row r="319" spans="1:1" ht="11.75" customHeight="1">
      <c r="A319" s="1990">
        <f>H27-D43</f>
        <v>132765.64793897627</v>
      </c>
    </row>
    <row r="320" spans="1:1" ht="11.75" customHeight="1">
      <c r="A320" s="1989" t="b">
        <f>D113="Electricity"</f>
        <v>0</v>
      </c>
    </row>
    <row r="321" spans="1:1" ht="11.75" customHeight="1">
      <c r="A321" s="1990">
        <f>I103+K51+D117+M121+I101+I102+M43+SUM(H65:H67)</f>
        <v>265287.6445956853</v>
      </c>
    </row>
    <row r="322" spans="1:1" ht="11.75" customHeight="1">
      <c r="A322" s="1989">
        <f>IF(D113="Heatpump",K51+D117+D114+M43+H70,IF(D113="Gas",K51+D117+M43+H70))</f>
        <v>132765.64793897627</v>
      </c>
    </row>
    <row r="323" spans="1:1" ht="11.75" customHeight="1">
      <c r="A323" s="1989">
        <f>SUM(D44:D46)</f>
        <v>0</v>
      </c>
    </row>
    <row r="324" spans="1:1" ht="11.75" customHeight="1">
      <c r="A324" s="1990">
        <f>I44+I45</f>
        <v>0</v>
      </c>
    </row>
    <row r="325" spans="1:1" ht="11.75" customHeight="1">
      <c r="A325" s="1989">
        <f>H28*0.0373</f>
        <v>0</v>
      </c>
    </row>
    <row r="326" spans="1:1" ht="11.75" customHeight="1">
      <c r="A326" s="1989">
        <f>H30*36.72</f>
        <v>0</v>
      </c>
    </row>
    <row r="327" spans="1:1" ht="11.75" customHeight="1">
      <c r="A327" s="1990">
        <f>H27-D43</f>
        <v>132765.64793897627</v>
      </c>
    </row>
    <row r="328" spans="1:1" ht="11.75" customHeight="1">
      <c r="A328" s="1989" t="b">
        <f>D113="Electricity"</f>
        <v>0</v>
      </c>
    </row>
    <row r="329" spans="1:1" ht="11.75" customHeight="1">
      <c r="A329" s="1990">
        <f>I103+K51+D117+M121+I101+I102+M43+SUM(H65:H67)</f>
        <v>265287.6445956853</v>
      </c>
    </row>
    <row r="330" spans="1:1" ht="11.75" customHeight="1">
      <c r="A330" s="1989">
        <f>IF(D113="Heatpump",K51+D117+D114+M43+H70,IF(D113="Gas",K51+D117+M43+H70))</f>
        <v>132765.64793897627</v>
      </c>
    </row>
    <row r="331" spans="1:1" ht="11.75" customHeight="1">
      <c r="A331" s="1989">
        <f>SUM(D44:D46)</f>
        <v>0</v>
      </c>
    </row>
    <row r="332" spans="1:1" ht="11.75" customHeight="1">
      <c r="A332" s="1990">
        <f>I44+I45</f>
        <v>0</v>
      </c>
    </row>
    <row r="333" spans="1:1" ht="11.75" customHeight="1">
      <c r="A333" s="1989">
        <f>H28*0.0373</f>
        <v>0</v>
      </c>
    </row>
    <row r="334" spans="1:1" ht="11.75" customHeight="1">
      <c r="A334" s="1989">
        <f>H30*36.72</f>
        <v>0</v>
      </c>
    </row>
    <row r="335" spans="1:1" ht="11.75" customHeight="1">
      <c r="A335" s="1990">
        <f>H27-D43</f>
        <v>132765.64793897627</v>
      </c>
    </row>
    <row r="336" spans="1:1" ht="11.75" customHeight="1">
      <c r="A336" s="1989" t="b">
        <f>D113="Electricity"</f>
        <v>0</v>
      </c>
    </row>
    <row r="337" spans="1:1" ht="11.75" customHeight="1">
      <c r="A337" s="1990">
        <f>I103+K51+D117+M121+I101+I102+M43+SUM(H65:H67)</f>
        <v>265287.6445956853</v>
      </c>
    </row>
    <row r="338" spans="1:1" ht="11.75" customHeight="1">
      <c r="A338" s="1989">
        <f>IF(D113="Heatpump",K51+D117+D114+M43+H70,IF(D113="Gas",K51+D117+M43+H70))</f>
        <v>132765.64793897627</v>
      </c>
    </row>
    <row r="339" spans="1:1" ht="11.75" customHeight="1">
      <c r="A339" s="1989" t="b">
        <f>D113="Heatpump"</f>
        <v>1</v>
      </c>
    </row>
    <row r="340" spans="1:1" ht="11.75" customHeight="1">
      <c r="A340" s="1990">
        <f>K51+D117+D114+M43+H70</f>
        <v>132765.64793897627</v>
      </c>
    </row>
    <row r="341" spans="1:1" ht="11.75" customHeight="1">
      <c r="A341" s="1989" t="b">
        <f>IF(D113="Gas",K51+D117+M43+H70)</f>
        <v>0</v>
      </c>
    </row>
    <row r="342" spans="1:1" ht="11.75" customHeight="1">
      <c r="A342" s="1989">
        <f>SUM(D44:D46)</f>
        <v>0</v>
      </c>
    </row>
    <row r="343" spans="1:1" ht="11.75" customHeight="1">
      <c r="A343" s="1990">
        <f>I44+I45</f>
        <v>0</v>
      </c>
    </row>
    <row r="344" spans="1:1" ht="11.75" customHeight="1">
      <c r="A344" s="1989">
        <f>H28*0.0373</f>
        <v>0</v>
      </c>
    </row>
    <row r="345" spans="1:1" ht="11.75" customHeight="1">
      <c r="A345" s="1989">
        <f>H30*36.72</f>
        <v>0</v>
      </c>
    </row>
    <row r="346" spans="1:1" ht="11.75" customHeight="1">
      <c r="A346" s="1990">
        <f>H27-D43</f>
        <v>132765.64793897627</v>
      </c>
    </row>
    <row r="347" spans="1:1" ht="11.75" customHeight="1">
      <c r="A347" s="1989" t="b">
        <f>D113="Electricity"</f>
        <v>0</v>
      </c>
    </row>
    <row r="348" spans="1:1" ht="11.75" customHeight="1">
      <c r="A348" s="1990">
        <f>I103+K51+D117+M121+I101+I102+M43+SUM(H65:H67)</f>
        <v>265287.6445956853</v>
      </c>
    </row>
    <row r="349" spans="1:1" ht="11.75" customHeight="1">
      <c r="A349" s="1990">
        <f>I103+K51+D117+M121+I101+I102+M43</f>
        <v>180897.30859568529</v>
      </c>
    </row>
    <row r="350" spans="1:1" ht="11.75" customHeight="1">
      <c r="A350" s="1989">
        <f>SUM(H65:H67)</f>
        <v>84390.33600000001</v>
      </c>
    </row>
    <row r="351" spans="1:1" ht="11.75" customHeight="1">
      <c r="A351" s="1989">
        <f>IF(D113="Heatpump",K51+D117+D114+M43+H70,IF(D113="Gas",K51+D117+M43+H70))</f>
        <v>132765.64793897627</v>
      </c>
    </row>
    <row r="352" spans="1:1" ht="11.75" customHeight="1">
      <c r="A352" s="1989" t="b">
        <f>D113="Heatpump"</f>
        <v>1</v>
      </c>
    </row>
    <row r="353" spans="1:1" ht="11.75" customHeight="1">
      <c r="A353" s="1990">
        <f>K51+D117+D114+M43+H70</f>
        <v>132765.64793897627</v>
      </c>
    </row>
    <row r="354" spans="1:1" ht="11.75" customHeight="1">
      <c r="A354" s="1989" t="b">
        <f>IF(D113="Gas",K51+D117+M43+H70)</f>
        <v>0</v>
      </c>
    </row>
    <row r="355" spans="1:1" ht="11.75" customHeight="1">
      <c r="A355" s="1989">
        <f>SUM(D44:D46)</f>
        <v>0</v>
      </c>
    </row>
    <row r="356" spans="1:1" ht="11.75" customHeight="1">
      <c r="A356" s="1990">
        <f>I44+I45</f>
        <v>0</v>
      </c>
    </row>
    <row r="357" spans="1:1" ht="11.75" customHeight="1">
      <c r="A357" s="1989">
        <f>H28*0.0373</f>
        <v>0</v>
      </c>
    </row>
    <row r="358" spans="1:1" ht="11.75" customHeight="1">
      <c r="A358" s="1989">
        <f>H30*36.72</f>
        <v>0</v>
      </c>
    </row>
    <row r="359" spans="1:1" ht="11.75" customHeight="1">
      <c r="A359" s="1990">
        <f>H27-D43</f>
        <v>132765.64793897627</v>
      </c>
    </row>
    <row r="360" spans="1:1" ht="11.75" customHeight="1">
      <c r="A360" s="1989" t="b">
        <f>D113="Electricity"</f>
        <v>0</v>
      </c>
    </row>
    <row r="361" spans="1:1" ht="11.75" customHeight="1">
      <c r="A361" s="1990">
        <f>I103+K51+D117+M121+I101+I102+M43+SUM(H65:H67)</f>
        <v>265287.6445956853</v>
      </c>
    </row>
    <row r="362" spans="1:1" ht="11.75" customHeight="1">
      <c r="A362" s="1990">
        <f>I103+K51+D117+M121+I101+I102+M43</f>
        <v>180897.30859568529</v>
      </c>
    </row>
    <row r="363" spans="1:1" ht="11.75" customHeight="1">
      <c r="A363" s="1989">
        <f>SUM(H65:H67)</f>
        <v>84390.33600000001</v>
      </c>
    </row>
    <row r="364" spans="1:1" ht="11.75" customHeight="1">
      <c r="A364" s="1989">
        <f>IF(D113="Heatpump",K51+D117+D114+M43+H70,IF(D113="Gas",K51+D117+M43+H70))</f>
        <v>132765.64793897627</v>
      </c>
    </row>
    <row r="365" spans="1:1" ht="11.75" customHeight="1">
      <c r="A365" s="1989" t="b">
        <f>D113="Heatpump"</f>
        <v>1</v>
      </c>
    </row>
    <row r="366" spans="1:1" ht="11.75" customHeight="1">
      <c r="A366" s="1990">
        <f>K51+D117+D114+M43+H70</f>
        <v>132765.64793897627</v>
      </c>
    </row>
    <row r="367" spans="1:1" ht="11.75" customHeight="1">
      <c r="A367" s="1989" t="b">
        <f>IF(D113="Gas",K51+D117+M43+H70)</f>
        <v>0</v>
      </c>
    </row>
    <row r="368" spans="1:1" ht="11.75" customHeight="1">
      <c r="A368" s="1989">
        <f>SUM(D44:D46)</f>
        <v>0</v>
      </c>
    </row>
    <row r="369" spans="1:1" ht="11.75" customHeight="1">
      <c r="A369" s="1990">
        <f>I44+I45</f>
        <v>0</v>
      </c>
    </row>
    <row r="370" spans="1:1" ht="11.75" customHeight="1">
      <c r="A370" s="1989">
        <f>H28*0.0373</f>
        <v>0</v>
      </c>
    </row>
    <row r="371" spans="1:1" ht="11.75" customHeight="1">
      <c r="A371" s="1989">
        <f>H30*36.72</f>
        <v>0</v>
      </c>
    </row>
    <row r="372" spans="1:1" ht="11.75" customHeight="1">
      <c r="A372" s="1990">
        <f>H27-D43</f>
        <v>132765.64793897627</v>
      </c>
    </row>
    <row r="373" spans="1:1" ht="11.75" customHeight="1">
      <c r="A373" s="1989" t="b">
        <f>D113="Electricity"</f>
        <v>0</v>
      </c>
    </row>
    <row r="374" spans="1:1" ht="11.75" customHeight="1">
      <c r="A374" s="1990">
        <f>I103+K51+D117+M121+I101+I102+M43+SUM(H65:H67)</f>
        <v>265287.6445956853</v>
      </c>
    </row>
    <row r="375" spans="1:1" ht="11.75" customHeight="1">
      <c r="A375" s="1990">
        <f>I103+K51+D117+M121+I101+I102+M43</f>
        <v>180897.30859568529</v>
      </c>
    </row>
    <row r="376" spans="1:1" ht="11.75" customHeight="1">
      <c r="A376" s="1989">
        <f>SUM(H65:H67)</f>
        <v>84390.33600000001</v>
      </c>
    </row>
    <row r="377" spans="1:1" ht="11.75" customHeight="1">
      <c r="A377" s="1989">
        <f>IF(D113="Heatpump",K51+D117+D114+M43+H70,IF(D113="Gas",K51+D117+M43+H70))</f>
        <v>132765.64793897627</v>
      </c>
    </row>
    <row r="378" spans="1:1" ht="11.75" customHeight="1">
      <c r="A378" s="1989" t="b">
        <f>D113="Heatpump"</f>
        <v>1</v>
      </c>
    </row>
    <row r="379" spans="1:1" ht="11.75" customHeight="1">
      <c r="A379" s="1990">
        <f>K51+D117+D114+M43+H70</f>
        <v>132765.64793897627</v>
      </c>
    </row>
    <row r="380" spans="1:1" ht="11.75" customHeight="1">
      <c r="A380" s="1989" t="b">
        <f>IF(D113="Gas",K51+D117+M43+H70)</f>
        <v>0</v>
      </c>
    </row>
    <row r="381" spans="1:1" ht="11.75" customHeight="1">
      <c r="A381" s="1989">
        <f>SUM(D44:D46)</f>
        <v>0</v>
      </c>
    </row>
    <row r="382" spans="1:1" ht="11.75" customHeight="1">
      <c r="A382" s="1990">
        <f>I44+I45</f>
        <v>0</v>
      </c>
    </row>
    <row r="383" spans="1:1" ht="11.75" customHeight="1">
      <c r="A383" s="1989">
        <f>H28*0.0373</f>
        <v>0</v>
      </c>
    </row>
    <row r="384" spans="1:1" ht="11.75" customHeight="1">
      <c r="A384" s="1989">
        <f>H30*36.72</f>
        <v>0</v>
      </c>
    </row>
    <row r="385" spans="1:1" ht="11.75" customHeight="1">
      <c r="A385" s="1990">
        <f>H27-D43</f>
        <v>132765.64793897627</v>
      </c>
    </row>
    <row r="386" spans="1:1" ht="11.75" customHeight="1">
      <c r="A386" s="1989" t="b">
        <f>D113="Electricity"</f>
        <v>0</v>
      </c>
    </row>
    <row r="387" spans="1:1" ht="11.75" customHeight="1">
      <c r="A387" s="1990">
        <f>I103+K51+D117+M121+I101+I102+M43+SUM(H65:H67)</f>
        <v>265287.6445956853</v>
      </c>
    </row>
    <row r="388" spans="1:1" ht="11.75" customHeight="1">
      <c r="A388" s="1990">
        <f>I103+K51+D117+M121+I101+I102+M43</f>
        <v>180897.30859568529</v>
      </c>
    </row>
    <row r="389" spans="1:1" ht="11.75" customHeight="1">
      <c r="A389" s="1989">
        <f>SUM(H65:H67)</f>
        <v>84390.33600000001</v>
      </c>
    </row>
    <row r="390" spans="1:1" ht="11.75" customHeight="1">
      <c r="A390" s="1989">
        <f>IF(D113="Heatpump",K51+D117+D114+M43+H70,IF(D113="Gas",K51+D117+M43+H70))</f>
        <v>132765.64793897627</v>
      </c>
    </row>
    <row r="391" spans="1:1" ht="11.75" customHeight="1">
      <c r="A391" s="1989" t="b">
        <f>D113="Heatpump"</f>
        <v>1</v>
      </c>
    </row>
    <row r="392" spans="1:1" ht="11.75" customHeight="1">
      <c r="A392" s="1990">
        <f>K51+D117+D114+M43+H70</f>
        <v>132765.64793897627</v>
      </c>
    </row>
    <row r="393" spans="1:1" ht="11.75" customHeight="1">
      <c r="A393" s="1989" t="b">
        <f>IF(D113="Gas",K51+D117+M43+H70)</f>
        <v>0</v>
      </c>
    </row>
    <row r="394" spans="1:1" ht="11.75" customHeight="1">
      <c r="A394" s="1989">
        <f>SUM(D44:D46)</f>
        <v>0</v>
      </c>
    </row>
    <row r="395" spans="1:1" ht="11.75" customHeight="1">
      <c r="A395" s="1990">
        <f>I44+I45</f>
        <v>0</v>
      </c>
    </row>
    <row r="396" spans="1:1" ht="11.75" customHeight="1">
      <c r="A396" s="1989">
        <f>H28*0.0373</f>
        <v>0</v>
      </c>
    </row>
    <row r="397" spans="1:1" ht="11.75" customHeight="1">
      <c r="A397" s="1989">
        <f>H30*36.72</f>
        <v>0</v>
      </c>
    </row>
    <row r="398" spans="1:1" ht="11.75" customHeight="1">
      <c r="A398" s="1990">
        <f>H27-D43</f>
        <v>132765.64793897627</v>
      </c>
    </row>
    <row r="399" spans="1:1" ht="11.75" customHeight="1">
      <c r="A399" s="1989" t="b">
        <f>D113="Electricity"</f>
        <v>0</v>
      </c>
    </row>
    <row r="400" spans="1:1" ht="11.75" customHeight="1">
      <c r="A400" s="1990">
        <f>I103+K51+D117+M121+I101+I102+M43+SUM(H65:H67)</f>
        <v>265287.6445956853</v>
      </c>
    </row>
    <row r="401" spans="1:1" ht="11.75" customHeight="1">
      <c r="A401" s="1990">
        <f>I103+K51+D117+M121+I101+I102+M43</f>
        <v>180897.30859568529</v>
      </c>
    </row>
    <row r="402" spans="1:1" ht="11.75" customHeight="1">
      <c r="A402" s="1989">
        <f>SUM(H65:H67)</f>
        <v>84390.33600000001</v>
      </c>
    </row>
    <row r="403" spans="1:1" ht="11.75" customHeight="1">
      <c r="A403" s="1989">
        <f>IF(D113="Heatpump",K51+D117+D114+M43+H70,IF(D113="Gas",K51+D117+M43+H70))</f>
        <v>132765.64793897627</v>
      </c>
    </row>
    <row r="404" spans="1:1" ht="11.75" customHeight="1">
      <c r="A404" s="1989" t="b">
        <f>D113="Heatpump"</f>
        <v>1</v>
      </c>
    </row>
    <row r="405" spans="1:1" ht="11.75" customHeight="1">
      <c r="A405" s="1990">
        <f>K51+D117+D114+M43+H70</f>
        <v>132765.64793897627</v>
      </c>
    </row>
    <row r="406" spans="1:1" ht="11.75" customHeight="1">
      <c r="A406" s="1989" t="b">
        <f>IF(D113="Gas",K51+D117+M43+H70)</f>
        <v>0</v>
      </c>
    </row>
    <row r="407" spans="1:1" ht="11.75" customHeight="1">
      <c r="A407" s="1989">
        <f>SUM(D44:D46)</f>
        <v>0</v>
      </c>
    </row>
    <row r="408" spans="1:1" ht="11.75" customHeight="1">
      <c r="A408" s="1990">
        <f>I44+I45</f>
        <v>0</v>
      </c>
    </row>
    <row r="409" spans="1:1" ht="11.75" customHeight="1">
      <c r="A409" s="1989">
        <f>H28*0.0373</f>
        <v>0</v>
      </c>
    </row>
    <row r="410" spans="1:1" ht="11.75" customHeight="1">
      <c r="A410" s="1989">
        <f>H30*36.72</f>
        <v>0</v>
      </c>
    </row>
    <row r="411" spans="1:1" ht="11.75" customHeight="1">
      <c r="A411" s="1990">
        <f>H27-D43</f>
        <v>132765.64793897627</v>
      </c>
    </row>
    <row r="412" spans="1:1" ht="11.75" customHeight="1">
      <c r="A412" s="1989" t="b">
        <f>D113="Electricity"</f>
        <v>0</v>
      </c>
    </row>
    <row r="413" spans="1:1" ht="11.75" customHeight="1">
      <c r="A413" s="1990">
        <f>I103+K51+D117+M121+I101+I102+M43+SUM(H65:H67)</f>
        <v>265287.6445956853</v>
      </c>
    </row>
    <row r="414" spans="1:1" ht="11.75" customHeight="1">
      <c r="A414" s="1990">
        <f>I103+K51+D117+M121+I101+I102+M43</f>
        <v>180897.30859568529</v>
      </c>
    </row>
    <row r="415" spans="1:1" ht="11.75" customHeight="1">
      <c r="A415" s="1990">
        <f>I103+K51+D117+M121+I101+I102</f>
        <v>180897.30859568529</v>
      </c>
    </row>
    <row r="416" spans="1:1" ht="11.75" customHeight="1">
      <c r="A416" s="1989">
        <f>SUM(H65:H67)</f>
        <v>84390.33600000001</v>
      </c>
    </row>
    <row r="417" spans="1:1" ht="11.75" customHeight="1">
      <c r="A417" s="1989">
        <f>IF(D113="Heatpump",K51+D117+D114+M43+H70,IF(D113="Gas",K51+D117+M43+H70))</f>
        <v>132765.64793897627</v>
      </c>
    </row>
    <row r="418" spans="1:1" ht="11.75" customHeight="1">
      <c r="A418" s="1989" t="b">
        <f>D113="Heatpump"</f>
        <v>1</v>
      </c>
    </row>
    <row r="419" spans="1:1" ht="11.75" customHeight="1">
      <c r="A419" s="1990">
        <f>K51+D117+D114+M43+H70</f>
        <v>132765.64793897627</v>
      </c>
    </row>
    <row r="420" spans="1:1" ht="11.75" customHeight="1">
      <c r="A420" s="1989" t="b">
        <f>IF(D113="Gas",K51+D117+M43+H70)</f>
        <v>0</v>
      </c>
    </row>
    <row r="421" spans="1:1" ht="11.75" customHeight="1">
      <c r="A421" s="1989">
        <f>SUM(D44:D46)</f>
        <v>0</v>
      </c>
    </row>
    <row r="422" spans="1:1" ht="11.75" customHeight="1">
      <c r="A422" s="1990">
        <f>I44+I45</f>
        <v>0</v>
      </c>
    </row>
    <row r="423" spans="1:1" ht="11.75" customHeight="1">
      <c r="A423" s="1989">
        <f>H28*0.0373</f>
        <v>0</v>
      </c>
    </row>
    <row r="424" spans="1:1" ht="11.75" customHeight="1">
      <c r="A424" s="1989">
        <f>H30*36.72</f>
        <v>0</v>
      </c>
    </row>
    <row r="425" spans="1:1" ht="11.75" customHeight="1">
      <c r="A425" s="1990">
        <f>H27-D43</f>
        <v>132765.64793897627</v>
      </c>
    </row>
    <row r="426" spans="1:1" ht="11.75" customHeight="1">
      <c r="A426" s="1989" t="b">
        <f>D113="Electricity"</f>
        <v>0</v>
      </c>
    </row>
    <row r="427" spans="1:1" ht="11.75" customHeight="1">
      <c r="A427" s="1990">
        <f>I103+K51+D117+M121+I101+I102+M43+SUM(H65:H67)</f>
        <v>265287.6445956853</v>
      </c>
    </row>
    <row r="428" spans="1:1" ht="11.75" customHeight="1">
      <c r="A428" s="1990">
        <f>I103+K51+D117+M121+I101+I102+M43</f>
        <v>180897.30859568529</v>
      </c>
    </row>
    <row r="429" spans="1:1" ht="11.75" customHeight="1">
      <c r="A429" s="1990">
        <f>I103+K51+D117+M121+I101+I102</f>
        <v>180897.30859568529</v>
      </c>
    </row>
    <row r="430" spans="1:1" ht="11.75" customHeight="1">
      <c r="A430" s="1989">
        <f>SUM(H65:H67)</f>
        <v>84390.33600000001</v>
      </c>
    </row>
    <row r="431" spans="1:1" ht="11.75" customHeight="1">
      <c r="A431" s="1989">
        <f>IF(D113="Heatpump",K51+D117+D114+M43+H70,IF(D113="Gas",K51+D117+M43+H70))</f>
        <v>132765.64793897627</v>
      </c>
    </row>
    <row r="432" spans="1:1" ht="11.75" customHeight="1">
      <c r="A432" s="1989" t="b">
        <f>D113="Heatpump"</f>
        <v>1</v>
      </c>
    </row>
    <row r="433" spans="1:1" ht="11.75" customHeight="1">
      <c r="A433" s="1990">
        <f>K51+D117+D114+M43+H70</f>
        <v>132765.64793897627</v>
      </c>
    </row>
    <row r="434" spans="1:1" ht="11.75" customHeight="1">
      <c r="A434" s="1989" t="b">
        <f>IF(D113="Gas",K51+D117+M43+H70)</f>
        <v>0</v>
      </c>
    </row>
    <row r="435" spans="1:1" ht="11.75" customHeight="1">
      <c r="A435" s="1989">
        <f>SUM(D44:D46)</f>
        <v>0</v>
      </c>
    </row>
    <row r="436" spans="1:1" ht="11.75" customHeight="1">
      <c r="A436" s="1990">
        <f>I44+I45</f>
        <v>0</v>
      </c>
    </row>
    <row r="437" spans="1:1" ht="11.75" customHeight="1">
      <c r="A437" s="1989">
        <f>H28*0.0373</f>
        <v>0</v>
      </c>
    </row>
    <row r="438" spans="1:1" ht="11.75" customHeight="1">
      <c r="A438" s="1989">
        <f>H30*36.72</f>
        <v>0</v>
      </c>
    </row>
    <row r="439" spans="1:1" ht="11.75" customHeight="1">
      <c r="A439" s="1990">
        <f>H27-D43</f>
        <v>132765.64793897627</v>
      </c>
    </row>
    <row r="440" spans="1:1" ht="11.75" customHeight="1">
      <c r="A440" s="1989" t="b">
        <f>D113="Electricity"</f>
        <v>0</v>
      </c>
    </row>
    <row r="441" spans="1:1" ht="11.75" customHeight="1">
      <c r="A441" s="1990">
        <f>I103+K51+D117+M121+I101+I102+M43+SUM(H65:H67)</f>
        <v>265287.6445956853</v>
      </c>
    </row>
    <row r="442" spans="1:1" ht="11.75" customHeight="1">
      <c r="A442" s="1990">
        <f>I103+K51+D117+M121+I101+I102+M43</f>
        <v>180897.30859568529</v>
      </c>
    </row>
    <row r="443" spans="1:1" ht="11.75" customHeight="1">
      <c r="A443" s="1990">
        <f>I103+K51+D117+M121+I101+I102</f>
        <v>180897.30859568529</v>
      </c>
    </row>
    <row r="444" spans="1:1" ht="11.75" customHeight="1">
      <c r="A444" s="1989">
        <f>SUM(H65:H67)</f>
        <v>84390.33600000001</v>
      </c>
    </row>
    <row r="445" spans="1:1" ht="11.75" customHeight="1">
      <c r="A445" s="1989">
        <f>IF(D113="Heatpump",K51+D117+D114+M43+H70,IF(D113="Gas",K51+D117+M43+H70))</f>
        <v>132765.64793897627</v>
      </c>
    </row>
    <row r="446" spans="1:1" ht="11.75" customHeight="1">
      <c r="A446" s="1989" t="b">
        <f>D113="Heatpump"</f>
        <v>1</v>
      </c>
    </row>
    <row r="447" spans="1:1" ht="11.75" customHeight="1">
      <c r="A447" s="1990">
        <f>K51+D117+D114+M43+H70</f>
        <v>132765.64793897627</v>
      </c>
    </row>
    <row r="448" spans="1:1" ht="11.75" customHeight="1">
      <c r="A448" s="1989" t="b">
        <f>IF(D113="Gas",K51+D117+M43+H70)</f>
        <v>0</v>
      </c>
    </row>
    <row r="449" spans="1:1" ht="11.75" customHeight="1">
      <c r="A449" s="1989">
        <f>SUM(D44:D46)</f>
        <v>0</v>
      </c>
    </row>
    <row r="450" spans="1:1" ht="11.75" customHeight="1">
      <c r="A450" s="1990">
        <f>I44+I45</f>
        <v>0</v>
      </c>
    </row>
    <row r="451" spans="1:1" ht="11.75" customHeight="1">
      <c r="A451" s="1989">
        <f>H28*0.0373</f>
        <v>0</v>
      </c>
    </row>
    <row r="452" spans="1:1" ht="11.75" customHeight="1">
      <c r="A452" s="1989">
        <f>H30*36.72</f>
        <v>0</v>
      </c>
    </row>
    <row r="453" spans="1:1" ht="11.75" customHeight="1">
      <c r="A453" s="1990">
        <f>H27-D43</f>
        <v>132765.64793897627</v>
      </c>
    </row>
    <row r="454" spans="1:1" ht="11.75" customHeight="1">
      <c r="A454" s="1989" t="b">
        <f>D113="Electricity"</f>
        <v>0</v>
      </c>
    </row>
    <row r="455" spans="1:1" ht="11.75" customHeight="1">
      <c r="A455" s="1990">
        <f>I103+K51+D117+M121+I101+I102+M43+SUM(H65:H67)</f>
        <v>265287.6445956853</v>
      </c>
    </row>
    <row r="456" spans="1:1" ht="11.75" customHeight="1">
      <c r="A456" s="1990">
        <f>I103+K51+D117+M121+I101+I102+M43</f>
        <v>180897.30859568529</v>
      </c>
    </row>
    <row r="457" spans="1:1" ht="11.75" customHeight="1">
      <c r="A457" s="1990">
        <f>I103+K51+D117+M121+I101+I102</f>
        <v>180897.30859568529</v>
      </c>
    </row>
    <row r="458" spans="1:1" ht="11.75" customHeight="1">
      <c r="A458" s="1989">
        <f>SUM(H65:H67)</f>
        <v>84390.33600000001</v>
      </c>
    </row>
    <row r="459" spans="1:1" ht="11.75" customHeight="1">
      <c r="A459" s="1989">
        <f>IF(D113="Heatpump",K51+D117+D114+M43+H70,IF(D113="Gas",K51+D117+M43+H70))</f>
        <v>132765.64793897627</v>
      </c>
    </row>
    <row r="460" spans="1:1" ht="11.75" customHeight="1">
      <c r="A460" s="1989" t="b">
        <f>D113="Heatpump"</f>
        <v>1</v>
      </c>
    </row>
    <row r="461" spans="1:1" ht="11.75" customHeight="1">
      <c r="A461" s="1990">
        <f>K51+D117+D114+M43+H70</f>
        <v>132765.64793897627</v>
      </c>
    </row>
    <row r="462" spans="1:1" ht="11.75" customHeight="1">
      <c r="A462" s="1989" t="b">
        <f>IF(D113="Gas",K51+D117+M43+H70)</f>
        <v>0</v>
      </c>
    </row>
    <row r="463" spans="1:1" ht="11.75" customHeight="1">
      <c r="A463" s="1989">
        <f>SUM(D44:D46)</f>
        <v>0</v>
      </c>
    </row>
    <row r="464" spans="1:1" ht="11.75" customHeight="1">
      <c r="A464" s="1990">
        <f>I44+I45</f>
        <v>0</v>
      </c>
    </row>
    <row r="465" spans="1:1" ht="11.75" customHeight="1">
      <c r="A465" s="1989">
        <f>H28*0.0373</f>
        <v>0</v>
      </c>
    </row>
    <row r="466" spans="1:1" ht="11.75" customHeight="1">
      <c r="A466" s="1989">
        <f>H30*36.72</f>
        <v>0</v>
      </c>
    </row>
    <row r="467" spans="1:1" ht="11.75" customHeight="1">
      <c r="A467" s="1990">
        <f>H27-D43</f>
        <v>132765.64793897627</v>
      </c>
    </row>
    <row r="468" spans="1:1" ht="11.75" customHeight="1">
      <c r="A468" s="1989" t="b">
        <f>D113="Electricity"</f>
        <v>0</v>
      </c>
    </row>
    <row r="469" spans="1:1" ht="11.75" customHeight="1">
      <c r="A469" s="1990">
        <f>I103+K51+D117+M121+I101+I102+M43+SUM(H65:H67)</f>
        <v>265287.6445956853</v>
      </c>
    </row>
    <row r="470" spans="1:1" ht="11.75" customHeight="1">
      <c r="A470" s="1990">
        <f>I103+K51+D117+M121+I101+I102+M43</f>
        <v>180897.30859568529</v>
      </c>
    </row>
    <row r="471" spans="1:1" ht="11.75" customHeight="1">
      <c r="A471" s="1990">
        <f>I103+K51+D117+M121+I101+I102</f>
        <v>180897.30859568529</v>
      </c>
    </row>
    <row r="472" spans="1:1" ht="11.75" customHeight="1">
      <c r="A472" s="1989">
        <f>SUM(H65:H67)</f>
        <v>84390.33600000001</v>
      </c>
    </row>
    <row r="473" spans="1:1" ht="11.75" customHeight="1">
      <c r="A473" s="1989">
        <f>IF(D113="Heatpump",K51+D117+D114+M43+H70,IF(D113="Gas",K51+D117+M43+H70))</f>
        <v>132765.64793897627</v>
      </c>
    </row>
    <row r="474" spans="1:1" ht="11.75" customHeight="1">
      <c r="A474" s="1989" t="b">
        <f>D113="Heatpump"</f>
        <v>1</v>
      </c>
    </row>
    <row r="475" spans="1:1" ht="11.75" customHeight="1">
      <c r="A475" s="1990">
        <f>K51+D117+D114+M43+H70</f>
        <v>132765.64793897627</v>
      </c>
    </row>
    <row r="476" spans="1:1" ht="11.75" customHeight="1">
      <c r="A476" s="1989" t="b">
        <f>IF(D113="Gas",K51+D117+M43+H70)</f>
        <v>0</v>
      </c>
    </row>
    <row r="477" spans="1:1" ht="11.75" customHeight="1">
      <c r="A477" s="1989">
        <f>SUM(D44:D46)</f>
        <v>0</v>
      </c>
    </row>
    <row r="478" spans="1:1" ht="11.75" customHeight="1">
      <c r="A478" s="1990">
        <f>I44+I45</f>
        <v>0</v>
      </c>
    </row>
    <row r="479" spans="1:1" ht="11.75" customHeight="1">
      <c r="A479" s="1989">
        <f>H28*0.0373</f>
        <v>0</v>
      </c>
    </row>
    <row r="480" spans="1:1" ht="11.75" customHeight="1">
      <c r="A480" s="1989">
        <f>H30*36.72</f>
        <v>0</v>
      </c>
    </row>
    <row r="481" spans="1:1" ht="11.75" customHeight="1">
      <c r="A481" s="1990">
        <f>H27-D43</f>
        <v>132765.64793897627</v>
      </c>
    </row>
    <row r="482" spans="1:1" ht="11.75" customHeight="1">
      <c r="A482" s="1989" t="b">
        <f>D113="Electricity"</f>
        <v>0</v>
      </c>
    </row>
    <row r="483" spans="1:1" ht="11.75" customHeight="1">
      <c r="A483" s="1990">
        <f>I103+K51+D117+M121+I101+I102+M43+SUM(H65:H67)</f>
        <v>265287.6445956853</v>
      </c>
    </row>
    <row r="484" spans="1:1" ht="11.75" customHeight="1">
      <c r="A484" s="1990">
        <f>I103+K51+D117+M121+I101+I102+M43</f>
        <v>180897.30859568529</v>
      </c>
    </row>
    <row r="485" spans="1:1" ht="11.75" customHeight="1">
      <c r="A485" s="1990">
        <f>I103+K51+D117+M121+I101+I102</f>
        <v>180897.30859568529</v>
      </c>
    </row>
    <row r="486" spans="1:1" ht="11.75" customHeight="1">
      <c r="A486" s="1989">
        <f>SUM(H65:H67)</f>
        <v>84390.33600000001</v>
      </c>
    </row>
    <row r="487" spans="1:1" ht="11.75" customHeight="1">
      <c r="A487" s="1989">
        <f>IF(D113="Heatpump",K51+D117+D114+M43+H70,IF(D113="Gas",K51+D117+M43+H70))</f>
        <v>132765.64793897627</v>
      </c>
    </row>
    <row r="488" spans="1:1" ht="11.75" customHeight="1">
      <c r="A488" s="1989" t="b">
        <f>D113="Heatpump"</f>
        <v>1</v>
      </c>
    </row>
    <row r="489" spans="1:1" ht="11.75" customHeight="1">
      <c r="A489" s="1990">
        <f>K51+D117+D114+M43+H70</f>
        <v>132765.64793897627</v>
      </c>
    </row>
    <row r="490" spans="1:1" ht="11.75" customHeight="1">
      <c r="A490" s="1989" t="b">
        <f>IF(D113="Gas",K51+D117+M43+H70)</f>
        <v>0</v>
      </c>
    </row>
    <row r="491" spans="1:1" ht="11.75" customHeight="1">
      <c r="A491" s="1989">
        <f>SUM(D44:D46)</f>
        <v>0</v>
      </c>
    </row>
    <row r="492" spans="1:1" ht="11.75" customHeight="1">
      <c r="A492" s="1990">
        <f>I44+I45</f>
        <v>0</v>
      </c>
    </row>
    <row r="493" spans="1:1" ht="11.75" customHeight="1">
      <c r="A493" s="1989">
        <f>H28*0.0373</f>
        <v>0</v>
      </c>
    </row>
    <row r="494" spans="1:1" ht="11.75" customHeight="1">
      <c r="A494" s="1989">
        <f>H30*36.72</f>
        <v>0</v>
      </c>
    </row>
    <row r="495" spans="1:1" ht="11.75" customHeight="1">
      <c r="A495" s="1990">
        <f>H27-D43</f>
        <v>132765.64793897627</v>
      </c>
    </row>
    <row r="496" spans="1:1" ht="11.75" customHeight="1">
      <c r="A496" s="1989" t="b">
        <f>D113="Electricity"</f>
        <v>0</v>
      </c>
    </row>
    <row r="497" spans="1:1" ht="11.75" customHeight="1">
      <c r="A497" s="1990">
        <f>I103+K51+D117+M121+I101+I102+M43+SUM(H65:H67)</f>
        <v>265287.6445956853</v>
      </c>
    </row>
    <row r="498" spans="1:1" ht="11.75" customHeight="1">
      <c r="A498" s="1990">
        <f>I103+K51+D117+M121+I101+I102+M43</f>
        <v>180897.30859568529</v>
      </c>
    </row>
    <row r="499" spans="1:1" ht="11.75" customHeight="1">
      <c r="A499" s="1990">
        <f>I103+K51+D117+M121+I101+I102</f>
        <v>180897.30859568529</v>
      </c>
    </row>
    <row r="500" spans="1:1" ht="11.75" customHeight="1">
      <c r="A500" s="1989">
        <f>SUM(H65:H67)</f>
        <v>84390.33600000001</v>
      </c>
    </row>
    <row r="501" spans="1:1" ht="11.75" customHeight="1">
      <c r="A501" s="1989">
        <f>IF(D113="Heatpump",K51+D117+D114+M43+H70,IF(D113="Gas",K51+D117+M43+H70))</f>
        <v>132765.64793897627</v>
      </c>
    </row>
    <row r="502" spans="1:1" ht="11.75" customHeight="1">
      <c r="A502" s="1989" t="b">
        <f>D113="Heatpump"</f>
        <v>1</v>
      </c>
    </row>
    <row r="503" spans="1:1" ht="11.75" customHeight="1">
      <c r="A503" s="1990">
        <f>K51+D117+D114+M43+H70</f>
        <v>132765.64793897627</v>
      </c>
    </row>
    <row r="504" spans="1:1" ht="11.75" customHeight="1">
      <c r="A504" s="1989" t="b">
        <f>IF(D113="Gas",K51+D117+M43+H70)</f>
        <v>0</v>
      </c>
    </row>
    <row r="505" spans="1:1" ht="11.75" customHeight="1">
      <c r="A505" s="1989">
        <f>SUM(D44:D46)</f>
        <v>0</v>
      </c>
    </row>
    <row r="506" spans="1:1" ht="11.75" customHeight="1">
      <c r="A506" s="1990">
        <f>I44+I45</f>
        <v>0</v>
      </c>
    </row>
    <row r="507" spans="1:1" ht="11.75" customHeight="1">
      <c r="A507" s="1989">
        <f>H28*0.0373</f>
        <v>0</v>
      </c>
    </row>
    <row r="508" spans="1:1" ht="11.75" customHeight="1">
      <c r="A508" s="1989">
        <f>H30*36.72</f>
        <v>0</v>
      </c>
    </row>
    <row r="509" spans="1:1" ht="11.75" customHeight="1">
      <c r="A509" s="1990">
        <f>H27-D43</f>
        <v>132765.64793897627</v>
      </c>
    </row>
    <row r="510" spans="1:1" ht="11.75" customHeight="1">
      <c r="A510" s="1989" t="b">
        <f>D113="Electricity"</f>
        <v>0</v>
      </c>
    </row>
    <row r="511" spans="1:1" ht="11.75" customHeight="1">
      <c r="A511" s="1990">
        <f>I103+K51+D117+M121+I101+I102+M43+SUM(H65:H67)</f>
        <v>265287.6445956853</v>
      </c>
    </row>
    <row r="512" spans="1:1" ht="11.75" customHeight="1">
      <c r="A512" s="1990">
        <f>I103+K51+D117+M121+I101+I102+M43</f>
        <v>180897.30859568529</v>
      </c>
    </row>
    <row r="513" spans="1:1" ht="11.75" customHeight="1">
      <c r="A513" s="1990">
        <f>I103+K51+D117+M121+I101+I102</f>
        <v>180897.30859568529</v>
      </c>
    </row>
    <row r="514" spans="1:1" ht="11.75" customHeight="1">
      <c r="A514" s="1989">
        <f>SUM(H65:H67)</f>
        <v>84390.33600000001</v>
      </c>
    </row>
    <row r="515" spans="1:1" ht="11.75" customHeight="1">
      <c r="A515" s="1989">
        <f>IF(D113="Heatpump",K51+D117+D114+M43+H70,IF(D113="Gas",K51+D117+M43+H70))</f>
        <v>132765.64793897627</v>
      </c>
    </row>
    <row r="516" spans="1:1" ht="11.75" customHeight="1">
      <c r="A516" s="1989" t="b">
        <f>D113="Heatpump"</f>
        <v>1</v>
      </c>
    </row>
    <row r="517" spans="1:1" ht="11.75" customHeight="1">
      <c r="A517" s="1990">
        <f>K51+D117+D114+M43+H70</f>
        <v>132765.64793897627</v>
      </c>
    </row>
    <row r="518" spans="1:1" ht="11.75" customHeight="1">
      <c r="A518" s="1989" t="b">
        <f>IF(D113="Gas",K51+D117+M43+H70)</f>
        <v>0</v>
      </c>
    </row>
    <row r="519" spans="1:1" ht="11.75" customHeight="1">
      <c r="A519" s="1989">
        <f>SUM(D44:D46)</f>
        <v>0</v>
      </c>
    </row>
    <row r="520" spans="1:1" ht="11.75" customHeight="1">
      <c r="A520" s="1990">
        <f>I44+I45</f>
        <v>0</v>
      </c>
    </row>
    <row r="521" spans="1:1" ht="11.75" customHeight="1">
      <c r="A521" s="1989">
        <f>H28*0.0373</f>
        <v>0</v>
      </c>
    </row>
    <row r="522" spans="1:1" ht="11.75" customHeight="1">
      <c r="A522" s="1989">
        <f>H30*36.72</f>
        <v>0</v>
      </c>
    </row>
    <row r="523" spans="1:1" ht="11.75" customHeight="1">
      <c r="A523" s="1990">
        <f>H27-D43</f>
        <v>132765.64793897627</v>
      </c>
    </row>
    <row r="524" spans="1:1" ht="11.75" customHeight="1">
      <c r="A524" s="1989" t="b">
        <f>D113="Electricity"</f>
        <v>0</v>
      </c>
    </row>
    <row r="525" spans="1:1" ht="11.75" customHeight="1">
      <c r="A525" s="1990">
        <f>I103+K51+D117+M121+I101+I102+M43+SUM(H65:H67)</f>
        <v>265287.6445956853</v>
      </c>
    </row>
    <row r="526" spans="1:1" ht="11.75" customHeight="1">
      <c r="A526" s="1990">
        <f>I103+K51+D117+M121+I101+I102+M43</f>
        <v>180897.30859568529</v>
      </c>
    </row>
    <row r="527" spans="1:1" ht="11.75" customHeight="1">
      <c r="A527" s="1990">
        <f>I103+K51+D117+M121+I101+I102</f>
        <v>180897.30859568529</v>
      </c>
    </row>
    <row r="528" spans="1:1" ht="11.75" customHeight="1">
      <c r="A528" s="1990">
        <f>I103+K51+D117+M121+I101</f>
        <v>164109.06314703665</v>
      </c>
    </row>
    <row r="529" spans="1:1" ht="11.75" customHeight="1">
      <c r="A529" s="1989">
        <f>SUM(H65:H67)</f>
        <v>84390.33600000001</v>
      </c>
    </row>
    <row r="530" spans="1:1" ht="11.75" customHeight="1">
      <c r="A530" s="1989">
        <f>IF(D113="Heatpump",K51+D117+D114+M43+H70,IF(D113="Gas",K51+D117+M43+H70))</f>
        <v>132765.64793897627</v>
      </c>
    </row>
    <row r="531" spans="1:1" ht="11.75" customHeight="1">
      <c r="A531" s="1989" t="b">
        <f>D113="Heatpump"</f>
        <v>1</v>
      </c>
    </row>
    <row r="532" spans="1:1" ht="11.75" customHeight="1">
      <c r="A532" s="1990">
        <f>K51+D117+D114+M43+H70</f>
        <v>132765.64793897627</v>
      </c>
    </row>
    <row r="533" spans="1:1" ht="11.75" customHeight="1">
      <c r="A533" s="1989" t="b">
        <f>IF(D113="Gas",K51+D117+M43+H70)</f>
        <v>0</v>
      </c>
    </row>
    <row r="534" spans="1:1" ht="11.75" customHeight="1">
      <c r="A534" s="1989">
        <f>SUM(D44:D46)</f>
        <v>0</v>
      </c>
    </row>
    <row r="535" spans="1:1" ht="11.75" customHeight="1">
      <c r="A535" s="1990">
        <f>I44+I45</f>
        <v>0</v>
      </c>
    </row>
    <row r="536" spans="1:1" ht="11.75" customHeight="1">
      <c r="A536" s="1989">
        <f>H28*0.0373</f>
        <v>0</v>
      </c>
    </row>
    <row r="537" spans="1:1" ht="11.75" customHeight="1">
      <c r="A537" s="1989">
        <f>H30*36.72</f>
        <v>0</v>
      </c>
    </row>
    <row r="538" spans="1:1" ht="11.75" customHeight="1">
      <c r="A538" s="1990">
        <f>H27-D43</f>
        <v>132765.64793897627</v>
      </c>
    </row>
    <row r="539" spans="1:1" ht="11.75" customHeight="1">
      <c r="A539" s="1989" t="b">
        <f>D113="Electricity"</f>
        <v>0</v>
      </c>
    </row>
    <row r="540" spans="1:1" ht="11.75" customHeight="1">
      <c r="A540" s="1990">
        <f>I103+K51+D117+M121+I101+I102+M43+SUM(H65:H67)</f>
        <v>265287.6445956853</v>
      </c>
    </row>
    <row r="541" spans="1:1" ht="11.75" customHeight="1">
      <c r="A541" s="1990">
        <f>I103+K51+D117+M121+I101+I102+M43</f>
        <v>180897.30859568529</v>
      </c>
    </row>
    <row r="542" spans="1:1" ht="11.75" customHeight="1">
      <c r="A542" s="1990">
        <f>I103+K51+D117+M121+I101+I102</f>
        <v>180897.30859568529</v>
      </c>
    </row>
    <row r="543" spans="1:1" ht="11.75" customHeight="1">
      <c r="A543" s="1990">
        <f>I103+K51+D117+M121+I101</f>
        <v>164109.06314703665</v>
      </c>
    </row>
    <row r="544" spans="1:1" ht="11.75" customHeight="1">
      <c r="A544" s="1989">
        <f>SUM(H65:H67)</f>
        <v>84390.33600000001</v>
      </c>
    </row>
    <row r="545" spans="1:1" ht="11.75" customHeight="1">
      <c r="A545" s="1989">
        <f>IF(D113="Heatpump",K51+D117+D114+M43+H70,IF(D113="Gas",K51+D117+M43+H70))</f>
        <v>132765.64793897627</v>
      </c>
    </row>
    <row r="546" spans="1:1" ht="11.75" customHeight="1">
      <c r="A546" s="1989" t="b">
        <f>D113="Heatpump"</f>
        <v>1</v>
      </c>
    </row>
    <row r="547" spans="1:1" ht="11.75" customHeight="1">
      <c r="A547" s="1990">
        <f>K51+D117+D114+M43+H70</f>
        <v>132765.64793897627</v>
      </c>
    </row>
    <row r="548" spans="1:1" ht="11.75" customHeight="1">
      <c r="A548" s="1989" t="b">
        <f>IF(D113="Gas",K51+D117+M43+H70)</f>
        <v>0</v>
      </c>
    </row>
    <row r="549" spans="1:1" ht="11.75" customHeight="1">
      <c r="A549" s="1989">
        <f>SUM(D44:D46)</f>
        <v>0</v>
      </c>
    </row>
    <row r="550" spans="1:1" ht="11.75" customHeight="1">
      <c r="A550" s="1990">
        <f>I44+I45</f>
        <v>0</v>
      </c>
    </row>
    <row r="551" spans="1:1" ht="11.75" customHeight="1">
      <c r="A551" s="1989">
        <f>H28*0.0373</f>
        <v>0</v>
      </c>
    </row>
    <row r="552" spans="1:1" ht="11.75" customHeight="1">
      <c r="A552" s="1989">
        <f>H30*36.72</f>
        <v>0</v>
      </c>
    </row>
    <row r="553" spans="1:1" ht="11.75" customHeight="1">
      <c r="A553" s="1990">
        <f>H27-D43</f>
        <v>132765.64793897627</v>
      </c>
    </row>
    <row r="554" spans="1:1" ht="11.75" customHeight="1">
      <c r="A554" s="1989" t="b">
        <f>D113="Electricity"</f>
        <v>0</v>
      </c>
    </row>
    <row r="555" spans="1:1" ht="11.75" customHeight="1">
      <c r="A555" s="1990">
        <f>I103+K51+D117+M121+I101+I102+M43+SUM(H65:H67)</f>
        <v>265287.6445956853</v>
      </c>
    </row>
    <row r="556" spans="1:1" ht="11.75" customHeight="1">
      <c r="A556" s="1990">
        <f>I103+K51+D117+M121+I101+I102+M43</f>
        <v>180897.30859568529</v>
      </c>
    </row>
    <row r="557" spans="1:1" ht="11.75" customHeight="1">
      <c r="A557" s="1990">
        <f>I103+K51+D117+M121+I101+I102</f>
        <v>180897.30859568529</v>
      </c>
    </row>
    <row r="558" spans="1:1" ht="11.75" customHeight="1">
      <c r="A558" s="1990">
        <f>I103+K51+D117+M121+I101</f>
        <v>164109.06314703665</v>
      </c>
    </row>
    <row r="559" spans="1:1" ht="11.75" customHeight="1">
      <c r="A559" s="1990">
        <f>I103+K51+D117+M121</f>
        <v>88005.3704468098</v>
      </c>
    </row>
    <row r="560" spans="1:1" ht="11.75" customHeight="1">
      <c r="A560" s="1989">
        <f>SUM(H65:H67)</f>
        <v>84390.33600000001</v>
      </c>
    </row>
    <row r="561" spans="1:1" ht="11.75" customHeight="1">
      <c r="A561" s="1989">
        <f>IF(D113="Heatpump",K51+D117+D114+M43+H70,IF(D113="Gas",K51+D117+M43+H70))</f>
        <v>132765.64793897627</v>
      </c>
    </row>
    <row r="562" spans="1:1" ht="11.75" customHeight="1">
      <c r="A562" s="1989" t="b">
        <f>D113="Heatpump"</f>
        <v>1</v>
      </c>
    </row>
    <row r="563" spans="1:1" ht="11.75" customHeight="1">
      <c r="A563" s="1990">
        <f>K51+D117+D114+M43+H70</f>
        <v>132765.64793897627</v>
      </c>
    </row>
    <row r="564" spans="1:1" ht="11.75" customHeight="1">
      <c r="A564" s="1989" t="b">
        <f>IF(D113="Gas",K51+D117+M43+H70)</f>
        <v>0</v>
      </c>
    </row>
    <row r="565" spans="1:1" ht="11.75" customHeight="1">
      <c r="A565" s="1989">
        <f>SUM(D44:D46)</f>
        <v>0</v>
      </c>
    </row>
    <row r="566" spans="1:1" ht="11.75" customHeight="1">
      <c r="A566" s="1990">
        <f>I44+I45</f>
        <v>0</v>
      </c>
    </row>
    <row r="567" spans="1:1" ht="11.75" customHeight="1">
      <c r="A567" s="1989">
        <f>H28*0.0373</f>
        <v>0</v>
      </c>
    </row>
    <row r="568" spans="1:1" ht="11.75" customHeight="1">
      <c r="A568" s="1989">
        <f>H30*36.72</f>
        <v>0</v>
      </c>
    </row>
    <row r="569" spans="1:1" ht="11.75" customHeight="1">
      <c r="A569" s="1990">
        <f>H27-D43</f>
        <v>132765.64793897627</v>
      </c>
    </row>
    <row r="570" spans="1:1" ht="11.75" customHeight="1">
      <c r="A570" s="1989" t="b">
        <f>D113="Electricity"</f>
        <v>0</v>
      </c>
    </row>
    <row r="571" spans="1:1" ht="11.75" customHeight="1">
      <c r="A571" s="1990">
        <f>I103+K51+D117+M121+I101+I102+M43+SUM(H65:H67)</f>
        <v>265287.6445956853</v>
      </c>
    </row>
    <row r="572" spans="1:1" ht="11.75" customHeight="1">
      <c r="A572" s="1990">
        <f>I103+K51+D117+M121+I101+I102+M43</f>
        <v>180897.30859568529</v>
      </c>
    </row>
    <row r="573" spans="1:1" ht="11.75" customHeight="1">
      <c r="A573" s="1990">
        <f>I103+K51+D117+M121+I101+I102</f>
        <v>180897.30859568529</v>
      </c>
    </row>
    <row r="574" spans="1:1" ht="11.75" customHeight="1">
      <c r="A574" s="1990">
        <f>I103+K51+D117+M121+I101</f>
        <v>164109.06314703665</v>
      </c>
    </row>
    <row r="575" spans="1:1" ht="11.75" customHeight="1">
      <c r="A575" s="1990">
        <f>I103+K51+D117+M121</f>
        <v>88005.3704468098</v>
      </c>
    </row>
    <row r="576" spans="1:1" ht="11.75" customHeight="1">
      <c r="A576" s="1989">
        <f>SUM(H65:H67)</f>
        <v>84390.33600000001</v>
      </c>
    </row>
    <row r="577" spans="1:1" ht="11.75" customHeight="1">
      <c r="A577" s="1989">
        <f>IF(D113="Heatpump",K51+D117+D114+M43+H70,IF(D113="Gas",K51+D117+M43+H70))</f>
        <v>132765.64793897627</v>
      </c>
    </row>
    <row r="578" spans="1:1" ht="11.75" customHeight="1">
      <c r="A578" s="1989" t="b">
        <f>D113="Heatpump"</f>
        <v>1</v>
      </c>
    </row>
    <row r="579" spans="1:1" ht="11.75" customHeight="1">
      <c r="A579" s="1990">
        <f>K51+D117+D114+M43+H70</f>
        <v>132765.64793897627</v>
      </c>
    </row>
    <row r="580" spans="1:1" ht="11.75" customHeight="1">
      <c r="A580" s="1989" t="b">
        <f>IF(D113="Gas",K51+D117+M43+H70)</f>
        <v>0</v>
      </c>
    </row>
    <row r="581" spans="1:1" ht="11.75" customHeight="1">
      <c r="A581" s="1989">
        <f>SUM(D44:D46)</f>
        <v>0</v>
      </c>
    </row>
    <row r="582" spans="1:1" ht="11.75" customHeight="1">
      <c r="A582" s="1990">
        <f>I44+I45</f>
        <v>0</v>
      </c>
    </row>
    <row r="583" spans="1:1" ht="11.75" customHeight="1">
      <c r="A583" s="1989">
        <f>H28*0.0373</f>
        <v>0</v>
      </c>
    </row>
    <row r="584" spans="1:1" ht="11.75" customHeight="1">
      <c r="A584" s="1989">
        <f>H30*36.72</f>
        <v>0</v>
      </c>
    </row>
    <row r="585" spans="1:1" ht="11.75" customHeight="1">
      <c r="A585" s="1990">
        <f>H27-D43</f>
        <v>132765.64793897627</v>
      </c>
    </row>
    <row r="586" spans="1:1" ht="11.75" customHeight="1">
      <c r="A586" s="1989" t="b">
        <f>D113="Electricity"</f>
        <v>0</v>
      </c>
    </row>
    <row r="587" spans="1:1" ht="11.75" customHeight="1">
      <c r="A587" s="1990">
        <f>I103+K51+D117+M121+I101+I102+M43+SUM(H65:H67)</f>
        <v>265287.6445956853</v>
      </c>
    </row>
    <row r="588" spans="1:1" ht="11.75" customHeight="1">
      <c r="A588" s="1990">
        <f>I103+K51+D117+M121+I101+I102+M43</f>
        <v>180897.30859568529</v>
      </c>
    </row>
    <row r="589" spans="1:1" ht="11.75" customHeight="1">
      <c r="A589" s="1990">
        <f>I103+K51+D117+M121+I101+I102</f>
        <v>180897.30859568529</v>
      </c>
    </row>
    <row r="590" spans="1:1" ht="11.75" customHeight="1">
      <c r="A590" s="1990">
        <f>I103+K51+D117+M121+I101</f>
        <v>164109.06314703665</v>
      </c>
    </row>
    <row r="591" spans="1:1" ht="11.75" customHeight="1">
      <c r="A591" s="1990">
        <f>I103+K51+D117+M121</f>
        <v>88005.3704468098</v>
      </c>
    </row>
    <row r="592" spans="1:1" ht="11.75" customHeight="1">
      <c r="A592" s="1989">
        <f>SUM(H65:H67)</f>
        <v>84390.33600000001</v>
      </c>
    </row>
    <row r="593" spans="1:1" ht="11.75" customHeight="1">
      <c r="A593" s="1989">
        <f>IF(D113="Heatpump",K51+D117+D114+M43+H70,IF(D113="Gas",K51+D117+M43+H70))</f>
        <v>132765.64793897627</v>
      </c>
    </row>
    <row r="594" spans="1:1" ht="11.75" customHeight="1">
      <c r="A594" s="1989" t="b">
        <f>D113="Heatpump"</f>
        <v>1</v>
      </c>
    </row>
    <row r="595" spans="1:1" ht="11.75" customHeight="1">
      <c r="A595" s="1990">
        <f>K51+D117+D114+M43+H70</f>
        <v>132765.64793897627</v>
      </c>
    </row>
    <row r="596" spans="1:1" ht="11.75" customHeight="1">
      <c r="A596" s="1989" t="b">
        <f>IF(D113="Gas",K51+D117+M43+H70)</f>
        <v>0</v>
      </c>
    </row>
    <row r="597" spans="1:1" ht="11.75" customHeight="1">
      <c r="A597" s="1989">
        <f>SUM(D44:D46)</f>
        <v>0</v>
      </c>
    </row>
    <row r="598" spans="1:1" ht="11.75" customHeight="1">
      <c r="A598" s="1990">
        <f>I44+I45</f>
        <v>0</v>
      </c>
    </row>
    <row r="599" spans="1:1" ht="11.75" customHeight="1">
      <c r="A599" s="1989">
        <f>H28*0.0373</f>
        <v>0</v>
      </c>
    </row>
    <row r="600" spans="1:1" ht="11.75" customHeight="1">
      <c r="A600" s="1989">
        <f>H30*36.72</f>
        <v>0</v>
      </c>
    </row>
    <row r="601" spans="1:1" ht="11.75" customHeight="1">
      <c r="A601" s="1990">
        <f>H27-D43</f>
        <v>132765.64793897627</v>
      </c>
    </row>
    <row r="602" spans="1:1" ht="11.75" customHeight="1">
      <c r="A602" s="1989" t="b">
        <f>D113="Electricity"</f>
        <v>0</v>
      </c>
    </row>
    <row r="603" spans="1:1" ht="11.75" customHeight="1">
      <c r="A603" s="1990">
        <f>I103+K51+D117+M121+I101+I102+M43+SUM(H65:H67)</f>
        <v>265287.6445956853</v>
      </c>
    </row>
    <row r="604" spans="1:1" ht="11.75" customHeight="1">
      <c r="A604" s="1990">
        <f>I103+K51+D117+M121+I101+I102+M43</f>
        <v>180897.30859568529</v>
      </c>
    </row>
    <row r="605" spans="1:1" ht="11.75" customHeight="1">
      <c r="A605" s="1990">
        <f>I103+K51+D117+M121+I101+I102</f>
        <v>180897.30859568529</v>
      </c>
    </row>
    <row r="606" spans="1:1" ht="11.75" customHeight="1">
      <c r="A606" s="1990">
        <f>I103+K51+D117+M121+I101</f>
        <v>164109.06314703665</v>
      </c>
    </row>
    <row r="607" spans="1:1" ht="11.75" customHeight="1">
      <c r="A607" s="1990">
        <f>I103+K51+D117+M121</f>
        <v>88005.3704468098</v>
      </c>
    </row>
    <row r="608" spans="1:1" ht="11.75" customHeight="1">
      <c r="A608" s="1989">
        <f>SUM(H65:H67)</f>
        <v>84390.33600000001</v>
      </c>
    </row>
    <row r="609" spans="1:1" ht="11.75" customHeight="1">
      <c r="A609" s="1989">
        <f>IF(D113="Heatpump",K51+D117+D114+M43+H70,IF(D113="Gas",K51+D117+M43+H70))</f>
        <v>132765.64793897627</v>
      </c>
    </row>
    <row r="610" spans="1:1" ht="11.75" customHeight="1">
      <c r="A610" s="1989" t="b">
        <f>D113="Heatpump"</f>
        <v>1</v>
      </c>
    </row>
    <row r="611" spans="1:1" ht="11.75" customHeight="1">
      <c r="A611" s="1990">
        <f>K51+D117+D114+M43+H70</f>
        <v>132765.64793897627</v>
      </c>
    </row>
    <row r="612" spans="1:1" ht="11.75" customHeight="1">
      <c r="A612" s="1989" t="b">
        <f>IF(D113="Gas",K51+D117+M43+H70)</f>
        <v>0</v>
      </c>
    </row>
    <row r="613" spans="1:1" ht="11.75" customHeight="1">
      <c r="A613" s="1989">
        <f>SUM(D44:D46)</f>
        <v>0</v>
      </c>
    </row>
    <row r="614" spans="1:1" ht="11.75" customHeight="1">
      <c r="A614" s="1990">
        <f>I44+I45</f>
        <v>0</v>
      </c>
    </row>
    <row r="615" spans="1:1" ht="11.75" customHeight="1">
      <c r="A615" s="1989">
        <f>H28*0.0373</f>
        <v>0</v>
      </c>
    </row>
    <row r="616" spans="1:1" ht="11.75" customHeight="1">
      <c r="A616" s="1989">
        <f>H30*36.72</f>
        <v>0</v>
      </c>
    </row>
    <row r="617" spans="1:1" ht="11.75" customHeight="1">
      <c r="A617" s="1990">
        <f>H27-D43</f>
        <v>132765.64793897627</v>
      </c>
    </row>
    <row r="618" spans="1:1" ht="11.75" customHeight="1">
      <c r="A618" s="1989" t="b">
        <f>D113="Electricity"</f>
        <v>0</v>
      </c>
    </row>
    <row r="619" spans="1:1" ht="11.75" customHeight="1">
      <c r="A619" s="1990">
        <f>I103+K51+D117+M121+I101+I102+M43+SUM(H65:H67)</f>
        <v>265287.6445956853</v>
      </c>
    </row>
    <row r="620" spans="1:1" ht="11.75" customHeight="1">
      <c r="A620" s="1990">
        <f>I103+K51+D117+M121+I101+I102+M43</f>
        <v>180897.30859568529</v>
      </c>
    </row>
    <row r="621" spans="1:1" ht="11.75" customHeight="1">
      <c r="A621" s="1990">
        <f>I103+K51+D117+M121+I101+I102</f>
        <v>180897.30859568529</v>
      </c>
    </row>
    <row r="622" spans="1:1" ht="11.75" customHeight="1">
      <c r="A622" s="1990">
        <f>I103+K51+D117+M121+I101</f>
        <v>164109.06314703665</v>
      </c>
    </row>
    <row r="623" spans="1:1" ht="11.75" customHeight="1">
      <c r="A623" s="1990">
        <f>I103+K51+D117+M121</f>
        <v>88005.3704468098</v>
      </c>
    </row>
    <row r="624" spans="1:1" ht="11.75" customHeight="1">
      <c r="A624" s="1989">
        <f>SUM(H65:H67)</f>
        <v>84390.33600000001</v>
      </c>
    </row>
    <row r="625" spans="1:1" ht="11.75" customHeight="1">
      <c r="A625" s="1989">
        <f>IF(D113="Heatpump",K51+D117+D114+M43+H70,IF(D113="Gas",K51+D117+M43+H70))</f>
        <v>132765.64793897627</v>
      </c>
    </row>
    <row r="626" spans="1:1" ht="11.75" customHeight="1">
      <c r="A626" s="1989" t="b">
        <f>D113="Heatpump"</f>
        <v>1</v>
      </c>
    </row>
    <row r="627" spans="1:1" ht="11.75" customHeight="1">
      <c r="A627" s="1990">
        <f>K51+D117+D114+M43+H70</f>
        <v>132765.64793897627</v>
      </c>
    </row>
    <row r="628" spans="1:1" ht="11.75" customHeight="1">
      <c r="A628" s="1989" t="b">
        <f>IF(D113="Gas",K51+D117+M43+H70)</f>
        <v>0</v>
      </c>
    </row>
    <row r="629" spans="1:1" ht="11.75" customHeight="1">
      <c r="A629" s="1989">
        <f>SUM(D44:D46)</f>
        <v>0</v>
      </c>
    </row>
    <row r="630" spans="1:1" ht="11.75" customHeight="1">
      <c r="A630" s="1990">
        <f>I44+I45</f>
        <v>0</v>
      </c>
    </row>
    <row r="631" spans="1:1" ht="11.75" customHeight="1">
      <c r="A631" s="1989">
        <f>H28*0.0373</f>
        <v>0</v>
      </c>
    </row>
    <row r="632" spans="1:1" ht="11.75" customHeight="1">
      <c r="A632" s="1989">
        <f>H30*36.72</f>
        <v>0</v>
      </c>
    </row>
    <row r="633" spans="1:1" ht="11.75" customHeight="1">
      <c r="A633" s="1990">
        <f>H27-D43</f>
        <v>132765.64793897627</v>
      </c>
    </row>
    <row r="634" spans="1:1" ht="11.75" customHeight="1">
      <c r="A634" s="1989" t="b">
        <f>D113="Electricity"</f>
        <v>0</v>
      </c>
    </row>
    <row r="635" spans="1:1" ht="11.75" customHeight="1">
      <c r="A635" s="1990">
        <f>I103+K51+D117+M121+I101+I102+M43+SUM(H65:H67)</f>
        <v>265287.6445956853</v>
      </c>
    </row>
    <row r="636" spans="1:1" ht="11.75" customHeight="1">
      <c r="A636" s="1990">
        <f>I103+K51+D117+M121+I101+I102+M43</f>
        <v>180897.30859568529</v>
      </c>
    </row>
    <row r="637" spans="1:1" ht="11.75" customHeight="1">
      <c r="A637" s="1990">
        <f>I103+K51+D117+M121+I101+I102</f>
        <v>180897.30859568529</v>
      </c>
    </row>
    <row r="638" spans="1:1" ht="11.75" customHeight="1">
      <c r="A638" s="1990">
        <f>I103+K51+D117+M121+I101</f>
        <v>164109.06314703665</v>
      </c>
    </row>
    <row r="639" spans="1:1" ht="11.75" customHeight="1">
      <c r="A639" s="1990">
        <f>I103+K51+D117+M121</f>
        <v>88005.3704468098</v>
      </c>
    </row>
    <row r="640" spans="1:1" ht="11.75" customHeight="1">
      <c r="A640" s="1989">
        <f>SUM(H65:H67)</f>
        <v>84390.33600000001</v>
      </c>
    </row>
    <row r="641" spans="1:1" ht="11.75" customHeight="1">
      <c r="A641" s="1989">
        <f>IF(D113="Heatpump",K51+D117+D114+M43+H70,IF(D113="Gas",K51+D117+M43+H70))</f>
        <v>132765.64793897627</v>
      </c>
    </row>
    <row r="642" spans="1:1" ht="11.75" customHeight="1">
      <c r="A642" s="1989" t="b">
        <f>D113="Heatpump"</f>
        <v>1</v>
      </c>
    </row>
    <row r="643" spans="1:1" ht="11.75" customHeight="1">
      <c r="A643" s="1990">
        <f>K51+D117+D114+M43+H70</f>
        <v>132765.64793897627</v>
      </c>
    </row>
    <row r="644" spans="1:1" ht="11.75" customHeight="1">
      <c r="A644" s="1989" t="b">
        <f>IF(D113="Gas",K51+D117+M43+H70)</f>
        <v>0</v>
      </c>
    </row>
    <row r="645" spans="1:1" ht="11.75" customHeight="1">
      <c r="A645" s="1989">
        <f>SUM(D44:D46)</f>
        <v>0</v>
      </c>
    </row>
    <row r="646" spans="1:1" ht="11.75" customHeight="1">
      <c r="A646" s="1990">
        <f>I44+I45</f>
        <v>0</v>
      </c>
    </row>
    <row r="647" spans="1:1" ht="11.75" customHeight="1">
      <c r="A647" s="1989">
        <f>H28*0.0373</f>
        <v>0</v>
      </c>
    </row>
    <row r="648" spans="1:1" ht="11.75" customHeight="1">
      <c r="A648" s="1989">
        <f>H30*36.72</f>
        <v>0</v>
      </c>
    </row>
    <row r="649" spans="1:1" ht="11.75" customHeight="1">
      <c r="A649" s="1990">
        <f>H27-D43</f>
        <v>132765.64793897627</v>
      </c>
    </row>
    <row r="650" spans="1:1" ht="11.75" customHeight="1">
      <c r="A650" s="1989" t="b">
        <f>D113="Electricity"</f>
        <v>0</v>
      </c>
    </row>
    <row r="651" spans="1:1" ht="11.75" customHeight="1">
      <c r="A651" s="1990">
        <f>I103+K51+D117+M121+I101+I102+M43+SUM(H65:H67)</f>
        <v>265287.6445956853</v>
      </c>
    </row>
    <row r="652" spans="1:1" ht="11.75" customHeight="1">
      <c r="A652" s="1990">
        <f>I103+K51+D117+M121+I101+I102+M43</f>
        <v>180897.30859568529</v>
      </c>
    </row>
    <row r="653" spans="1:1" ht="11.75" customHeight="1">
      <c r="A653" s="1990">
        <f>I103+K51+D117+M121+I101+I102</f>
        <v>180897.30859568529</v>
      </c>
    </row>
    <row r="654" spans="1:1" ht="11.75" customHeight="1">
      <c r="A654" s="1990">
        <f>I103+K51+D117+M121+I101</f>
        <v>164109.06314703665</v>
      </c>
    </row>
    <row r="655" spans="1:1" ht="11.75" customHeight="1">
      <c r="A655" s="1990">
        <f>I103+K51+D117+M121</f>
        <v>88005.3704468098</v>
      </c>
    </row>
    <row r="656" spans="1:1" ht="11.75" customHeight="1">
      <c r="A656" s="1990">
        <f>I103+K51+D117</f>
        <v>39024.570446809812</v>
      </c>
    </row>
    <row r="657" spans="1:1" ht="11.75" customHeight="1">
      <c r="A657" s="1989">
        <f>SUM(H65:H67)</f>
        <v>84390.33600000001</v>
      </c>
    </row>
    <row r="658" spans="1:1" ht="11.75" customHeight="1">
      <c r="A658" s="1989">
        <f>IF(D113="Heatpump",K51+D117+D114+M43+H70,IF(D113="Gas",K51+D117+M43+H70))</f>
        <v>132765.64793897627</v>
      </c>
    </row>
    <row r="659" spans="1:1" ht="11.75" customHeight="1">
      <c r="A659" s="1989" t="b">
        <f>D113="Heatpump"</f>
        <v>1</v>
      </c>
    </row>
    <row r="660" spans="1:1" ht="11.75" customHeight="1">
      <c r="A660" s="1990">
        <f>K51+D117+D114+M43+H70</f>
        <v>132765.64793897627</v>
      </c>
    </row>
    <row r="661" spans="1:1" ht="11.75" customHeight="1">
      <c r="A661" s="1989" t="b">
        <f>IF(D113="Gas",K51+D117+M43+H70)</f>
        <v>0</v>
      </c>
    </row>
    <row r="662" spans="1:1" ht="11.75" customHeight="1">
      <c r="A662" s="1989">
        <f>SUM(D44:D46)</f>
        <v>0</v>
      </c>
    </row>
    <row r="663" spans="1:1" ht="11.75" customHeight="1">
      <c r="A663" s="1990">
        <f>I44+I45</f>
        <v>0</v>
      </c>
    </row>
    <row r="664" spans="1:1" ht="11.75" customHeight="1">
      <c r="A664" s="1989">
        <f>H28*0.0373</f>
        <v>0</v>
      </c>
    </row>
    <row r="665" spans="1:1" ht="11.75" customHeight="1">
      <c r="A665" s="1989">
        <f>H30*36.72</f>
        <v>0</v>
      </c>
    </row>
    <row r="666" spans="1:1" ht="11.75" customHeight="1">
      <c r="A666" s="1990">
        <f>H27-D43</f>
        <v>132765.64793897627</v>
      </c>
    </row>
    <row r="667" spans="1:1" ht="11.75" customHeight="1">
      <c r="A667" s="1989" t="b">
        <f>D113="Electricity"</f>
        <v>0</v>
      </c>
    </row>
    <row r="668" spans="1:1" ht="11.75" customHeight="1">
      <c r="A668" s="1990">
        <f>I103+K51+D117+M121+I101+I102+M43+SUM(H65:H67)</f>
        <v>265287.6445956853</v>
      </c>
    </row>
    <row r="669" spans="1:1" ht="11.75" customHeight="1">
      <c r="A669" s="1990">
        <f>I103+K51+D117+M121+I101+I102+M43</f>
        <v>180897.30859568529</v>
      </c>
    </row>
    <row r="670" spans="1:1" ht="11.75" customHeight="1">
      <c r="A670" s="1990">
        <f>I103+K51+D117+M121+I101+I102</f>
        <v>180897.30859568529</v>
      </c>
    </row>
    <row r="671" spans="1:1" ht="11.75" customHeight="1">
      <c r="A671" s="1990">
        <f>I103+K51+D117+M121+I101</f>
        <v>164109.06314703665</v>
      </c>
    </row>
    <row r="672" spans="1:1" ht="11.75" customHeight="1">
      <c r="A672" s="1990">
        <f>I103+K51+D117+M121</f>
        <v>88005.3704468098</v>
      </c>
    </row>
    <row r="673" spans="1:1" ht="11.75" customHeight="1">
      <c r="A673" s="1990">
        <f>I103+K51+D117</f>
        <v>39024.570446809812</v>
      </c>
    </row>
    <row r="674" spans="1:1" ht="11.75" customHeight="1">
      <c r="A674" s="1989">
        <f>SUM(H65:H67)</f>
        <v>84390.33600000001</v>
      </c>
    </row>
    <row r="675" spans="1:1" ht="11.75" customHeight="1">
      <c r="A675" s="1989">
        <f>IF(D113="Heatpump",K51+D117+D114+M43+H70,IF(D113="Gas",K51+D117+M43+H70))</f>
        <v>132765.64793897627</v>
      </c>
    </row>
    <row r="676" spans="1:1" ht="11.75" customHeight="1">
      <c r="A676" s="1989" t="b">
        <f>D113="Heatpump"</f>
        <v>1</v>
      </c>
    </row>
    <row r="677" spans="1:1" ht="11.75" customHeight="1">
      <c r="A677" s="1990">
        <f>K51+D117+D114+M43+H70</f>
        <v>132765.64793897627</v>
      </c>
    </row>
    <row r="678" spans="1:1" ht="11.75" customHeight="1">
      <c r="A678" s="1989" t="b">
        <f>IF(D113="Gas",K51+D117+M43+H70)</f>
        <v>0</v>
      </c>
    </row>
    <row r="679" spans="1:1" ht="11.75" customHeight="1">
      <c r="A679" s="1989">
        <f>SUM(D44:D46)</f>
        <v>0</v>
      </c>
    </row>
    <row r="680" spans="1:1" ht="11.75" customHeight="1">
      <c r="A680" s="1990">
        <f>I44+I45</f>
        <v>0</v>
      </c>
    </row>
    <row r="681" spans="1:1" ht="11.75" customHeight="1">
      <c r="A681" s="1989">
        <f>H28*0.0373</f>
        <v>0</v>
      </c>
    </row>
    <row r="682" spans="1:1" ht="11.75" customHeight="1">
      <c r="A682" s="1989">
        <f>H30*36.72</f>
        <v>0</v>
      </c>
    </row>
    <row r="683" spans="1:1" ht="11.75" customHeight="1">
      <c r="A683" s="1990">
        <f>H27-D43</f>
        <v>132765.64793897627</v>
      </c>
    </row>
    <row r="684" spans="1:1" ht="11.75" customHeight="1">
      <c r="A684" s="1989" t="b">
        <f>D113="Electricity"</f>
        <v>0</v>
      </c>
    </row>
    <row r="685" spans="1:1" ht="11.75" customHeight="1">
      <c r="A685" s="1990">
        <f>I103+K51+D117+M121+I101+I102+M43+SUM(H65:H67)</f>
        <v>265287.6445956853</v>
      </c>
    </row>
    <row r="686" spans="1:1" ht="11.75" customHeight="1">
      <c r="A686" s="1990">
        <f>I103+K51+D117+M121+I101+I102+M43</f>
        <v>180897.30859568529</v>
      </c>
    </row>
    <row r="687" spans="1:1" ht="11.75" customHeight="1">
      <c r="A687" s="1990">
        <f>I103+K51+D117+M121+I101+I102</f>
        <v>180897.30859568529</v>
      </c>
    </row>
    <row r="688" spans="1:1" ht="11.75" customHeight="1">
      <c r="A688" s="1990">
        <f>I103+K51+D117+M121+I101</f>
        <v>164109.06314703665</v>
      </c>
    </row>
    <row r="689" spans="1:1" ht="11.75" customHeight="1">
      <c r="A689" s="1990">
        <f>I103+K51+D117+M121</f>
        <v>88005.3704468098</v>
      </c>
    </row>
    <row r="690" spans="1:1" ht="11.75" customHeight="1">
      <c r="A690" s="1990">
        <f>I103+K51+D117</f>
        <v>39024.570446809812</v>
      </c>
    </row>
    <row r="691" spans="1:1" ht="11.75" customHeight="1">
      <c r="A691" s="1990">
        <f>I103+K51</f>
        <v>36006.531012790423</v>
      </c>
    </row>
    <row r="692" spans="1:1" ht="11.75" customHeight="1">
      <c r="A692" s="1989">
        <f>SUM(H65:H67)</f>
        <v>84390.33600000001</v>
      </c>
    </row>
    <row r="693" spans="1:1" ht="11.75" customHeight="1">
      <c r="A693" s="1989">
        <f>IF(D113="Heatpump",K51+D117+D114+M43+H70,IF(D113="Gas",K51+D117+M43+H70))</f>
        <v>132765.64793897627</v>
      </c>
    </row>
    <row r="694" spans="1:1" ht="11.75" customHeight="1">
      <c r="A694" s="1989" t="b">
        <f>D113="Heatpump"</f>
        <v>1</v>
      </c>
    </row>
    <row r="695" spans="1:1" ht="11.75" customHeight="1">
      <c r="A695" s="1990">
        <f>K51+D117+D114+M43+H70</f>
        <v>132765.64793897627</v>
      </c>
    </row>
    <row r="696" spans="1:1" ht="11.75" customHeight="1">
      <c r="A696" s="1989" t="b">
        <f>IF(D113="Gas",K51+D117+M43+H70)</f>
        <v>0</v>
      </c>
    </row>
    <row r="697" spans="1:1" ht="11.75" customHeight="1">
      <c r="A697" s="1989">
        <f>SUM(D44:D46)</f>
        <v>0</v>
      </c>
    </row>
    <row r="698" spans="1:1" ht="11.75" customHeight="1">
      <c r="A698" s="1990">
        <f>I44+I45</f>
        <v>0</v>
      </c>
    </row>
    <row r="699" spans="1:1" ht="11.75" customHeight="1">
      <c r="A699" s="1989">
        <f>H28*0.0373</f>
        <v>0</v>
      </c>
    </row>
    <row r="700" spans="1:1" ht="11.75" customHeight="1">
      <c r="A700" s="1989">
        <f>H30*36.72</f>
        <v>0</v>
      </c>
    </row>
    <row r="701" spans="1:1" ht="11.75" customHeight="1">
      <c r="A701" s="1990">
        <f>H27-D43</f>
        <v>132765.64793897627</v>
      </c>
    </row>
    <row r="702" spans="1:1" ht="11.75" customHeight="1">
      <c r="A702" s="1989" t="b">
        <f>D113="Electricity"</f>
        <v>0</v>
      </c>
    </row>
    <row r="703" spans="1:1" ht="11.75" customHeight="1">
      <c r="A703" s="1990">
        <f>I103+K51+D117+M121+I101+I102+M43+SUM(H65:H67)</f>
        <v>265287.6445956853</v>
      </c>
    </row>
    <row r="704" spans="1:1" ht="11.75" customHeight="1">
      <c r="A704" s="1990">
        <f>I103+K51+D117+M121+I101+I102+M43</f>
        <v>180897.30859568529</v>
      </c>
    </row>
    <row r="705" spans="1:1" ht="11.75" customHeight="1">
      <c r="A705" s="1990">
        <f>I103+K51+D117+M121+I101+I102</f>
        <v>180897.30859568529</v>
      </c>
    </row>
    <row r="706" spans="1:1" ht="11.75" customHeight="1">
      <c r="A706" s="1990">
        <f>I103+K51+D117+M121+I101</f>
        <v>164109.06314703665</v>
      </c>
    </row>
    <row r="707" spans="1:1" ht="11.75" customHeight="1">
      <c r="A707" s="1990">
        <f>I103+K51+D117+M121</f>
        <v>88005.3704468098</v>
      </c>
    </row>
    <row r="708" spans="1:1" ht="11.75" customHeight="1">
      <c r="A708" s="1990">
        <f>I103+K51+D117</f>
        <v>39024.570446809812</v>
      </c>
    </row>
    <row r="709" spans="1:1" ht="11.75" customHeight="1">
      <c r="A709" s="1990">
        <f>I103+K51</f>
        <v>36006.531012790423</v>
      </c>
    </row>
    <row r="710" spans="1:1" ht="11.75" customHeight="1">
      <c r="A710" s="1989">
        <f>SUM(H65:H67)</f>
        <v>84390.33600000001</v>
      </c>
    </row>
    <row r="711" spans="1:1" ht="11.75" customHeight="1">
      <c r="A711" s="1989">
        <f>IF(D113="Heatpump",K51+D117+D114+M43+H70,IF(D113="Gas",K51+D117+M43+H70))</f>
        <v>132765.64793897627</v>
      </c>
    </row>
    <row r="712" spans="1:1" ht="11.75" customHeight="1">
      <c r="A712" s="1989" t="b">
        <f>D113="Heatpump"</f>
        <v>1</v>
      </c>
    </row>
    <row r="713" spans="1:1" ht="11.75" customHeight="1">
      <c r="A713" s="1990">
        <f>K51+D117+D114+M43+H70</f>
        <v>132765.64793897627</v>
      </c>
    </row>
    <row r="714" spans="1:1" ht="11.75" customHeight="1">
      <c r="A714" s="1989" t="b">
        <f>IF(D113="Gas",K51+D117+M43+H70)</f>
        <v>0</v>
      </c>
    </row>
    <row r="715" spans="1:1" ht="11.75" customHeight="1">
      <c r="A715" s="1989">
        <f>SUM(D44:D46)</f>
        <v>0</v>
      </c>
    </row>
    <row r="716" spans="1:1" ht="11.75" customHeight="1">
      <c r="A716" s="1990">
        <f>I44+I45</f>
        <v>0</v>
      </c>
    </row>
    <row r="717" spans="1:1" ht="11.75" customHeight="1">
      <c r="A717" s="1989">
        <f>H28*0.0373</f>
        <v>0</v>
      </c>
    </row>
    <row r="718" spans="1:1" ht="11.75" customHeight="1">
      <c r="A718" s="1989">
        <f>H30*36.72</f>
        <v>0</v>
      </c>
    </row>
    <row r="719" spans="1:1" ht="11.75" customHeight="1">
      <c r="A719" s="1990">
        <f>H27-D43</f>
        <v>132765.64793897627</v>
      </c>
    </row>
    <row r="720" spans="1:1" ht="11.75" customHeight="1">
      <c r="A720" s="1989" t="b">
        <f>D113="Electricity"</f>
        <v>0</v>
      </c>
    </row>
    <row r="721" spans="1:1" ht="11.75" customHeight="1">
      <c r="A721" s="1990">
        <f>I103+K51+D117+M121+I101+I102+M43+SUM(H65:H67)</f>
        <v>265287.6445956853</v>
      </c>
    </row>
    <row r="722" spans="1:1" ht="11.75" customHeight="1">
      <c r="A722" s="1990">
        <f>I103+K51+D117+M121+I101+I102+M43</f>
        <v>180897.30859568529</v>
      </c>
    </row>
    <row r="723" spans="1:1" ht="11.75" customHeight="1">
      <c r="A723" s="1990">
        <f>I103+K51+D117+M121+I101+I102</f>
        <v>180897.30859568529</v>
      </c>
    </row>
    <row r="724" spans="1:1" ht="11.75" customHeight="1">
      <c r="A724" s="1990">
        <f>I103+K51+D117+M121+I101</f>
        <v>164109.06314703665</v>
      </c>
    </row>
    <row r="725" spans="1:1" ht="11.75" customHeight="1">
      <c r="A725" s="1990">
        <f>I103+K51+D117+M121</f>
        <v>88005.3704468098</v>
      </c>
    </row>
    <row r="726" spans="1:1" ht="11.75" customHeight="1">
      <c r="A726" s="1990">
        <f>I103+K51+D117</f>
        <v>39024.570446809812</v>
      </c>
    </row>
    <row r="727" spans="1:1" ht="11.75" customHeight="1">
      <c r="A727" s="1990">
        <f>I103+K51</f>
        <v>36006.531012790423</v>
      </c>
    </row>
    <row r="728" spans="1:1" ht="11.75" customHeight="1">
      <c r="A728" s="1989">
        <f>SUM(H65:H67)</f>
        <v>84390.33600000001</v>
      </c>
    </row>
    <row r="729" spans="1:1" ht="11.75" customHeight="1">
      <c r="A729" s="1989">
        <f>IF(D113="Heatpump",K51+D117+D114+M43+H70,IF(D113="Gas",K51+D117+M43+H70))</f>
        <v>132765.64793897627</v>
      </c>
    </row>
    <row r="730" spans="1:1" ht="11.75" customHeight="1">
      <c r="A730" s="1989" t="b">
        <f>D113="Heatpump"</f>
        <v>1</v>
      </c>
    </row>
    <row r="731" spans="1:1" ht="11.75" customHeight="1">
      <c r="A731" s="1990">
        <f>K51+D117+D114+M43+H70</f>
        <v>132765.64793897627</v>
      </c>
    </row>
    <row r="732" spans="1:1" ht="11.75" customHeight="1">
      <c r="A732" s="1989" t="b">
        <f>IF(D113="Gas",K51+D117+M43+H70)</f>
        <v>0</v>
      </c>
    </row>
    <row r="733" spans="1:1" ht="11.75" customHeight="1">
      <c r="A733" s="1989">
        <f>SUM(D44:D46)</f>
        <v>0</v>
      </c>
    </row>
    <row r="734" spans="1:1" ht="11.75" customHeight="1">
      <c r="A734" s="1990">
        <f>I44+I45</f>
        <v>0</v>
      </c>
    </row>
    <row r="735" spans="1:1" ht="11.75" customHeight="1">
      <c r="A735" s="1989">
        <f>H28*0.0373</f>
        <v>0</v>
      </c>
    </row>
    <row r="736" spans="1:1" ht="11.75" customHeight="1">
      <c r="A736" s="1989">
        <f>H30*36.72</f>
        <v>0</v>
      </c>
    </row>
    <row r="737" spans="1:1" ht="11.75" customHeight="1">
      <c r="A737" s="1990">
        <f>H27-D43</f>
        <v>132765.64793897627</v>
      </c>
    </row>
    <row r="738" spans="1:1" ht="11.75" customHeight="1">
      <c r="A738" s="1989" t="b">
        <f>D113="Electricity"</f>
        <v>0</v>
      </c>
    </row>
    <row r="739" spans="1:1" ht="11.75" customHeight="1">
      <c r="A739" s="1990">
        <f>I103+K51+D117+M121+I101+I102+M43+SUM(H65:H67)</f>
        <v>265287.6445956853</v>
      </c>
    </row>
    <row r="740" spans="1:1" ht="11.75" customHeight="1">
      <c r="A740" s="1990">
        <f>I103+K51+D117+M121+I101+I102+M43</f>
        <v>180897.30859568529</v>
      </c>
    </row>
    <row r="741" spans="1:1" ht="11.75" customHeight="1">
      <c r="A741" s="1990">
        <f>I103+K51+D117+M121+I101+I102</f>
        <v>180897.30859568529</v>
      </c>
    </row>
    <row r="742" spans="1:1" ht="11.75" customHeight="1">
      <c r="A742" s="1990">
        <f>I103+K51+D117+M121+I101</f>
        <v>164109.06314703665</v>
      </c>
    </row>
    <row r="743" spans="1:1" ht="11.75" customHeight="1">
      <c r="A743" s="1990">
        <f>I103+K51+D117+M121</f>
        <v>88005.3704468098</v>
      </c>
    </row>
    <row r="744" spans="1:1" ht="11.75" customHeight="1">
      <c r="A744" s="1990">
        <f>I103+K51+D117</f>
        <v>39024.570446809812</v>
      </c>
    </row>
    <row r="745" spans="1:1" ht="11.75" customHeight="1">
      <c r="A745" s="1990">
        <f>I103+K51</f>
        <v>36006.531012790423</v>
      </c>
    </row>
    <row r="746" spans="1:1" ht="11.75" customHeight="1">
      <c r="A746" s="1989">
        <f>SUM(H65:H67)</f>
        <v>84390.33600000001</v>
      </c>
    </row>
    <row r="747" spans="1:1" ht="11.75" customHeight="1">
      <c r="A747" s="1989">
        <f>IF(D113="Heatpump",K51+D117+D114+M43+H70,IF(D113="Gas",K51+D117+M43+H70))</f>
        <v>132765.64793897627</v>
      </c>
    </row>
    <row r="748" spans="1:1" ht="11.75" customHeight="1">
      <c r="A748" s="1989" t="b">
        <f>D113="Heatpump"</f>
        <v>1</v>
      </c>
    </row>
    <row r="749" spans="1:1" ht="11.75" customHeight="1">
      <c r="A749" s="1990">
        <f>K51+D117+D114+M43+H70</f>
        <v>132765.64793897627</v>
      </c>
    </row>
    <row r="750" spans="1:1" ht="11.75" customHeight="1">
      <c r="A750" s="1989" t="b">
        <f>IF(D113="Gas",K51+D117+M43+H70)</f>
        <v>0</v>
      </c>
    </row>
    <row r="751" spans="1:1" ht="11.75" customHeight="1">
      <c r="A751" s="1989">
        <f>SUM(D44:D46)</f>
        <v>0</v>
      </c>
    </row>
    <row r="752" spans="1:1" ht="11.75" customHeight="1">
      <c r="A752" s="1990">
        <f>I44+I45</f>
        <v>0</v>
      </c>
    </row>
    <row r="753" spans="1:1" ht="11.75" customHeight="1">
      <c r="A753" s="1989">
        <f>H28*0.0373</f>
        <v>0</v>
      </c>
    </row>
    <row r="754" spans="1:1" ht="11.75" customHeight="1">
      <c r="A754" s="1989">
        <f>H30*36.72</f>
        <v>0</v>
      </c>
    </row>
    <row r="755" spans="1:1" ht="11.75" customHeight="1">
      <c r="A755" s="1990">
        <f>H27-D43</f>
        <v>132765.64793897627</v>
      </c>
    </row>
    <row r="756" spans="1:1" ht="11.75" customHeight="1">
      <c r="A756" s="1989" t="b">
        <f>D113="Electricity"</f>
        <v>0</v>
      </c>
    </row>
    <row r="757" spans="1:1" ht="11.75" customHeight="1">
      <c r="A757" s="1990">
        <f>I103+K51+D117+M121+I101+I102+M43+SUM(H65:H67)</f>
        <v>265287.6445956853</v>
      </c>
    </row>
    <row r="758" spans="1:1" ht="11.75" customHeight="1">
      <c r="A758" s="1990">
        <f>I103+K51+D117+M121+I101+I102+M43</f>
        <v>180897.30859568529</v>
      </c>
    </row>
    <row r="759" spans="1:1" ht="11.75" customHeight="1">
      <c r="A759" s="1990">
        <f>I103+K51+D117+M121+I101+I102</f>
        <v>180897.30859568529</v>
      </c>
    </row>
    <row r="760" spans="1:1" ht="11.75" customHeight="1">
      <c r="A760" s="1990">
        <f>I103+K51+D117+M121+I101</f>
        <v>164109.06314703665</v>
      </c>
    </row>
    <row r="761" spans="1:1" ht="11.75" customHeight="1">
      <c r="A761" s="1990">
        <f>I103+K51+D117+M121</f>
        <v>88005.3704468098</v>
      </c>
    </row>
    <row r="762" spans="1:1" ht="11.75" customHeight="1">
      <c r="A762" s="1990">
        <f>I103+K51+D117</f>
        <v>39024.570446809812</v>
      </c>
    </row>
    <row r="763" spans="1:1" ht="11.75" customHeight="1">
      <c r="A763" s="1990">
        <f>I103+K51</f>
        <v>36006.531012790423</v>
      </c>
    </row>
    <row r="764" spans="1:1" ht="11.75" customHeight="1">
      <c r="A764" s="1989">
        <f>SUM(H65:H67)</f>
        <v>84390.33600000001</v>
      </c>
    </row>
    <row r="765" spans="1:1" ht="11.75" customHeight="1">
      <c r="A765" s="1989">
        <f>IF(D113="Heatpump",K51+D117+D114+M43+H70,IF(D113="Gas",K51+D117+M43+H70))</f>
        <v>132765.64793897627</v>
      </c>
    </row>
    <row r="766" spans="1:1" ht="11.75" customHeight="1">
      <c r="A766" s="1989" t="b">
        <f>D113="Heatpump"</f>
        <v>1</v>
      </c>
    </row>
    <row r="767" spans="1:1" ht="11.75" customHeight="1">
      <c r="A767" s="1990">
        <f>K51+D117+D114+M43+H70</f>
        <v>132765.64793897627</v>
      </c>
    </row>
    <row r="768" spans="1:1" ht="11.75" customHeight="1">
      <c r="A768" s="1989" t="b">
        <f>IF(D113="Gas",K51+D117+M43+H70)</f>
        <v>0</v>
      </c>
    </row>
    <row r="769" spans="1:1" ht="11.75" customHeight="1">
      <c r="A769" s="1989">
        <f>SUM(D44:D46)</f>
        <v>0</v>
      </c>
    </row>
    <row r="770" spans="1:1" ht="11.75" customHeight="1">
      <c r="A770" s="1990">
        <f>I44+I45</f>
        <v>0</v>
      </c>
    </row>
    <row r="771" spans="1:1" ht="11.75" customHeight="1">
      <c r="A771" s="1989">
        <f>H28*0.0373</f>
        <v>0</v>
      </c>
    </row>
    <row r="772" spans="1:1" ht="11.75" customHeight="1">
      <c r="A772" s="1989">
        <f>H30*36.72</f>
        <v>0</v>
      </c>
    </row>
    <row r="773" spans="1:1" ht="11.75" customHeight="1">
      <c r="A773" s="1990">
        <f>H27-D43</f>
        <v>132765.64793897627</v>
      </c>
    </row>
    <row r="774" spans="1:1" ht="11.75" customHeight="1">
      <c r="A774" s="1989" t="b">
        <f>D113="Electricity"</f>
        <v>0</v>
      </c>
    </row>
    <row r="775" spans="1:1" ht="11.75" customHeight="1">
      <c r="A775" s="1990">
        <f>I103+K51+D117+M121+I101+I102+M43+SUM(H65:H67)</f>
        <v>265287.6445956853</v>
      </c>
    </row>
    <row r="776" spans="1:1" ht="11.75" customHeight="1">
      <c r="A776" s="1990">
        <f>I103+K51+D117+M121+I101+I102+M43</f>
        <v>180897.30859568529</v>
      </c>
    </row>
    <row r="777" spans="1:1" ht="11.75" customHeight="1">
      <c r="A777" s="1990">
        <f>I103+K51+D117+M121+I101+I102</f>
        <v>180897.30859568529</v>
      </c>
    </row>
    <row r="778" spans="1:1" ht="11.75" customHeight="1">
      <c r="A778" s="1990">
        <f>I103+K51+D117+M121+I101</f>
        <v>164109.06314703665</v>
      </c>
    </row>
    <row r="779" spans="1:1" ht="11.75" customHeight="1">
      <c r="A779" s="1990">
        <f>I103+K51+D117+M121</f>
        <v>88005.3704468098</v>
      </c>
    </row>
    <row r="780" spans="1:1" ht="11.75" customHeight="1">
      <c r="A780" s="1990">
        <f>I103+K51+D117</f>
        <v>39024.570446809812</v>
      </c>
    </row>
    <row r="781" spans="1:1" ht="11.75" customHeight="1">
      <c r="A781" s="1990">
        <f>I103+K51</f>
        <v>36006.531012790423</v>
      </c>
    </row>
    <row r="782" spans="1:1" ht="11.75" customHeight="1">
      <c r="A782" s="1989">
        <f>SUM(H65:H67)</f>
        <v>84390.33600000001</v>
      </c>
    </row>
    <row r="783" spans="1:1" ht="11.75" customHeight="1">
      <c r="A783" s="1989">
        <f>IF(D113="Heatpump",K51+D117+D114+M43+H70,IF(D113="Gas",K51+D117+M43+H70))</f>
        <v>132765.64793897627</v>
      </c>
    </row>
    <row r="784" spans="1:1" ht="11.75" customHeight="1">
      <c r="A784" s="1989" t="b">
        <f>D113="Heatpump"</f>
        <v>1</v>
      </c>
    </row>
    <row r="785" spans="1:1" ht="11.75" customHeight="1">
      <c r="A785" s="1990">
        <f>K51+D117+D114+M43+H70</f>
        <v>132765.64793897627</v>
      </c>
    </row>
    <row r="786" spans="1:1" ht="11.75" customHeight="1">
      <c r="A786" s="1989" t="b">
        <f>IF(D113="Gas",K51+D117+M43+H70)</f>
        <v>0</v>
      </c>
    </row>
    <row r="787" spans="1:1" ht="11.75" customHeight="1">
      <c r="A787" s="1989">
        <f>SUM(D44:D46)</f>
        <v>0</v>
      </c>
    </row>
    <row r="788" spans="1:1" ht="11.75" customHeight="1">
      <c r="A788" s="1990">
        <f>I44+I45</f>
        <v>0</v>
      </c>
    </row>
    <row r="789" spans="1:1" ht="11.75" customHeight="1">
      <c r="A789" s="1989">
        <f>H28*0.0373</f>
        <v>0</v>
      </c>
    </row>
    <row r="790" spans="1:1" ht="11.75" customHeight="1">
      <c r="A790" s="1989">
        <f>H30*36.72</f>
        <v>0</v>
      </c>
    </row>
    <row r="791" spans="1:1" ht="11.75" customHeight="1">
      <c r="A791" s="1990">
        <f>H27-D43</f>
        <v>132765.64793897627</v>
      </c>
    </row>
    <row r="792" spans="1:1" ht="11.75" customHeight="1">
      <c r="A792" s="1989" t="b">
        <f>D113="Electricity"</f>
        <v>0</v>
      </c>
    </row>
    <row r="793" spans="1:1" ht="11.75" customHeight="1">
      <c r="A793" s="1990">
        <f>I103+K51+D117+M121+I101+I102+M43+SUM(H65:H67)</f>
        <v>265287.6445956853</v>
      </c>
    </row>
    <row r="794" spans="1:1" ht="11.75" customHeight="1">
      <c r="A794" s="1990">
        <f>I103+K51+D117+M121+I101+I102+M43</f>
        <v>180897.30859568529</v>
      </c>
    </row>
    <row r="795" spans="1:1" ht="11.75" customHeight="1">
      <c r="A795" s="1990">
        <f>I103+K51+D117+M121+I101+I102</f>
        <v>180897.30859568529</v>
      </c>
    </row>
    <row r="796" spans="1:1" ht="11.75" customHeight="1">
      <c r="A796" s="1990">
        <f>I103+K51+D117+M121+I101</f>
        <v>164109.06314703665</v>
      </c>
    </row>
    <row r="797" spans="1:1" ht="11.75" customHeight="1">
      <c r="A797" s="1990">
        <f>I103+K51+D117+M121</f>
        <v>88005.3704468098</v>
      </c>
    </row>
    <row r="798" spans="1:1" ht="11.75" customHeight="1">
      <c r="A798" s="1990">
        <f>I103+K51+D117</f>
        <v>39024.570446809812</v>
      </c>
    </row>
    <row r="799" spans="1:1" ht="11.75" customHeight="1">
      <c r="A799" s="1990">
        <f>I103+K51</f>
        <v>36006.531012790423</v>
      </c>
    </row>
    <row r="800" spans="1:1" ht="11.75" customHeight="1">
      <c r="A800" s="1989">
        <f>D$20*G101*24</f>
        <v>30728.853316304834</v>
      </c>
    </row>
    <row r="801" spans="1:1" ht="11.75" customHeight="1">
      <c r="A801" s="1989">
        <f>SUM(H65:H67)</f>
        <v>84390.33600000001</v>
      </c>
    </row>
    <row r="802" spans="1:1" ht="11.75" customHeight="1">
      <c r="A802" s="1989">
        <f>IF(D113="Heatpump",K51+D117+D114+M43+H70,IF(D113="Gas",K51+D117+M43+H70))</f>
        <v>132765.64793897627</v>
      </c>
    </row>
    <row r="803" spans="1:1" ht="11.75" customHeight="1">
      <c r="A803" s="1989" t="b">
        <f>D113="Heatpump"</f>
        <v>1</v>
      </c>
    </row>
    <row r="804" spans="1:1" ht="11.75" customHeight="1">
      <c r="A804" s="1990">
        <f>K51+D117+D114+M43+H70</f>
        <v>132765.64793897627</v>
      </c>
    </row>
    <row r="805" spans="1:1" ht="11.75" customHeight="1">
      <c r="A805" s="1989" t="b">
        <f>IF(D113="Gas",K51+D117+M43+H70)</f>
        <v>0</v>
      </c>
    </row>
    <row r="806" spans="1:1" ht="11.75" customHeight="1">
      <c r="A806" s="1989">
        <f>SUM(D44:D46)</f>
        <v>0</v>
      </c>
    </row>
    <row r="807" spans="1:1" ht="11.75" customHeight="1">
      <c r="A807" s="1990">
        <f>I44+I45</f>
        <v>0</v>
      </c>
    </row>
    <row r="808" spans="1:1" ht="11.75" customHeight="1">
      <c r="A808" s="1989">
        <f>H28*0.0373</f>
        <v>0</v>
      </c>
    </row>
    <row r="809" spans="1:1" ht="11.75" customHeight="1">
      <c r="A809" s="1989">
        <f>H30*36.72</f>
        <v>0</v>
      </c>
    </row>
    <row r="810" spans="1:1" ht="11.75" customHeight="1">
      <c r="A810" s="1990">
        <f>H27-D43</f>
        <v>132765.64793897627</v>
      </c>
    </row>
    <row r="811" spans="1:1" ht="11.75" customHeight="1">
      <c r="A811" s="1989" t="b">
        <f>D113="Electricity"</f>
        <v>0</v>
      </c>
    </row>
    <row r="812" spans="1:1" ht="11.75" customHeight="1">
      <c r="A812" s="1990">
        <f>I103+K51+D117+M121+I101+I102+M43+SUM(H65:H67)</f>
        <v>265287.6445956853</v>
      </c>
    </row>
    <row r="813" spans="1:1" ht="11.75" customHeight="1">
      <c r="A813" s="1990">
        <f>I103+K51+D117+M121+I101+I102+M43</f>
        <v>180897.30859568529</v>
      </c>
    </row>
    <row r="814" spans="1:1" ht="11.75" customHeight="1">
      <c r="A814" s="1990">
        <f>I103+K51+D117+M121+I101+I102</f>
        <v>180897.30859568529</v>
      </c>
    </row>
    <row r="815" spans="1:1" ht="11.75" customHeight="1">
      <c r="A815" s="1990">
        <f>I103+K51+D117+M121+I101</f>
        <v>164109.06314703665</v>
      </c>
    </row>
    <row r="816" spans="1:1" ht="11.75" customHeight="1">
      <c r="A816" s="1990">
        <f>I103+K51+D117+M121</f>
        <v>88005.3704468098</v>
      </c>
    </row>
    <row r="817" spans="1:1" ht="11.75" customHeight="1">
      <c r="A817" s="1990">
        <f>I103+K51+D117</f>
        <v>39024.570446809812</v>
      </c>
    </row>
    <row r="818" spans="1:1" ht="11.75" customHeight="1">
      <c r="A818" s="1990">
        <f>I103+K51</f>
        <v>36006.531012790423</v>
      </c>
    </row>
    <row r="819" spans="1:1" ht="11.75" customHeight="1">
      <c r="A819" s="1989">
        <f>D$20*G101*24</f>
        <v>30728.853316304834</v>
      </c>
    </row>
    <row r="820" spans="1:1" ht="11.75" customHeight="1">
      <c r="A820" s="1989">
        <f>SUM(H65:H67)</f>
        <v>84390.33600000001</v>
      </c>
    </row>
    <row r="821" spans="1:1" ht="11.75" customHeight="1">
      <c r="A821" s="1989">
        <f>IF(D113="Heatpump",K51+D117+D114+M43+H70,IF(D113="Gas",K51+D117+M43+H70))</f>
        <v>132765.64793897627</v>
      </c>
    </row>
    <row r="822" spans="1:1" ht="11.75" customHeight="1">
      <c r="A822" s="1989" t="b">
        <f>D113="Heatpump"</f>
        <v>1</v>
      </c>
    </row>
    <row r="823" spans="1:1" ht="11.75" customHeight="1">
      <c r="A823" s="1990">
        <f>K51+D117+D114+M43+H70</f>
        <v>132765.64793897627</v>
      </c>
    </row>
    <row r="824" spans="1:1" ht="11.75" customHeight="1">
      <c r="A824" s="1989" t="b">
        <f>IF(D113="Gas",K51+D117+M43+H70)</f>
        <v>0</v>
      </c>
    </row>
    <row r="825" spans="1:1" ht="11.75" customHeight="1">
      <c r="A825" s="1989">
        <f>SUM(D44:D46)</f>
        <v>0</v>
      </c>
    </row>
    <row r="826" spans="1:1" ht="11.75" customHeight="1">
      <c r="A826" s="1990">
        <f>I44+I45</f>
        <v>0</v>
      </c>
    </row>
    <row r="827" spans="1:1" ht="11.75" customHeight="1">
      <c r="A827" s="1989">
        <f>H28*0.0373</f>
        <v>0</v>
      </c>
    </row>
    <row r="828" spans="1:1" ht="11.75" customHeight="1">
      <c r="A828" s="1989">
        <f>H30*36.72</f>
        <v>0</v>
      </c>
    </row>
    <row r="829" spans="1:1" ht="11.75" customHeight="1">
      <c r="A829" s="1990">
        <f>H27-D43</f>
        <v>132765.64793897627</v>
      </c>
    </row>
    <row r="830" spans="1:1" ht="11.75" customHeight="1">
      <c r="A830" s="1989" t="b">
        <f>D113="Electricity"</f>
        <v>0</v>
      </c>
    </row>
    <row r="831" spans="1:1" ht="11.75" customHeight="1">
      <c r="A831" s="1990">
        <f>I103+K51+D117+M121+I101+I102+M43+SUM(H65:H67)</f>
        <v>265287.6445956853</v>
      </c>
    </row>
    <row r="832" spans="1:1" ht="11.75" customHeight="1">
      <c r="A832" s="1990">
        <f>I103+K51+D117+M121+I101+I102+M43</f>
        <v>180897.30859568529</v>
      </c>
    </row>
    <row r="833" spans="1:1" ht="11.75" customHeight="1">
      <c r="A833" s="1990">
        <f>I103+K51+D117+M121+I101+I102</f>
        <v>180897.30859568529</v>
      </c>
    </row>
    <row r="834" spans="1:1" ht="11.75" customHeight="1">
      <c r="A834" s="1990">
        <f>I103+K51+D117+M121+I101</f>
        <v>164109.06314703665</v>
      </c>
    </row>
    <row r="835" spans="1:1" ht="11.75" customHeight="1">
      <c r="A835" s="1990">
        <f>I103+K51+D117+M121</f>
        <v>88005.3704468098</v>
      </c>
    </row>
    <row r="836" spans="1:1" ht="11.75" customHeight="1">
      <c r="A836" s="1990">
        <f>I103+K51+D117</f>
        <v>39024.570446809812</v>
      </c>
    </row>
    <row r="837" spans="1:1" ht="11.75" customHeight="1">
      <c r="A837" s="1990">
        <f>I103+K51</f>
        <v>36006.531012790423</v>
      </c>
    </row>
    <row r="838" spans="1:1" ht="11.75" customHeight="1">
      <c r="A838" s="1989">
        <f>D$20*G101*24</f>
        <v>30728.853316304834</v>
      </c>
    </row>
    <row r="839" spans="1:1" ht="11.75" customHeight="1">
      <c r="A839" s="1989">
        <f>SUM(H65:H67)</f>
        <v>84390.33600000001</v>
      </c>
    </row>
    <row r="840" spans="1:1" ht="11.75" customHeight="1">
      <c r="A840" s="1989">
        <f>IF(D113="Heatpump",K51+D117+D114+M43+H70,IF(D113="Gas",K51+D117+M43+H70))</f>
        <v>132765.64793897627</v>
      </c>
    </row>
    <row r="841" spans="1:1" ht="11.75" customHeight="1">
      <c r="A841" s="1989" t="b">
        <f>D113="Heatpump"</f>
        <v>1</v>
      </c>
    </row>
    <row r="842" spans="1:1" ht="11.75" customHeight="1">
      <c r="A842" s="1990">
        <f>K51+D117+D114+M43+H70</f>
        <v>132765.64793897627</v>
      </c>
    </row>
    <row r="843" spans="1:1" ht="11.75" customHeight="1">
      <c r="A843" s="1989" t="b">
        <f>IF(D113="Gas",K51+D117+M43+H70)</f>
        <v>0</v>
      </c>
    </row>
    <row r="844" spans="1:1" ht="11.75" customHeight="1">
      <c r="A844" s="1989">
        <f>SUM(D44:D46)</f>
        <v>0</v>
      </c>
    </row>
    <row r="845" spans="1:1" ht="11.75" customHeight="1">
      <c r="A845" s="1990">
        <f>I44+I45</f>
        <v>0</v>
      </c>
    </row>
    <row r="846" spans="1:1" ht="11.75" customHeight="1">
      <c r="A846" s="1989">
        <f>H28*0.0373</f>
        <v>0</v>
      </c>
    </row>
    <row r="847" spans="1:1" ht="11.75" customHeight="1">
      <c r="A847" s="1989">
        <f>H30*36.72</f>
        <v>0</v>
      </c>
    </row>
    <row r="848" spans="1:1" ht="11.75" customHeight="1">
      <c r="A848" s="1990">
        <f>H27-D43</f>
        <v>132765.64793897627</v>
      </c>
    </row>
    <row r="849" spans="1:1" ht="11.75" customHeight="1">
      <c r="A849" s="1989" t="b">
        <f>D113="Electricity"</f>
        <v>0</v>
      </c>
    </row>
    <row r="850" spans="1:1" ht="11.75" customHeight="1">
      <c r="A850" s="1990">
        <f>I103+K51+D117+M121+I101+I102+M43+SUM(H65:H67)</f>
        <v>265287.6445956853</v>
      </c>
    </row>
    <row r="851" spans="1:1" ht="11.75" customHeight="1">
      <c r="A851" s="1990">
        <f>I103+K51+D117+M121+I101+I102+M43</f>
        <v>180897.30859568529</v>
      </c>
    </row>
    <row r="852" spans="1:1" ht="11.75" customHeight="1">
      <c r="A852" s="1990">
        <f>I103+K51+D117+M121+I101+I102</f>
        <v>180897.30859568529</v>
      </c>
    </row>
    <row r="853" spans="1:1" ht="11.75" customHeight="1">
      <c r="A853" s="1990">
        <f>I103+K51+D117+M121+I101</f>
        <v>164109.06314703665</v>
      </c>
    </row>
    <row r="854" spans="1:1" ht="11.75" customHeight="1">
      <c r="A854" s="1990">
        <f>I103+K51+D117+M121</f>
        <v>88005.3704468098</v>
      </c>
    </row>
    <row r="855" spans="1:1" ht="11.75" customHeight="1">
      <c r="A855" s="1990">
        <f>I103+K51+D117</f>
        <v>39024.570446809812</v>
      </c>
    </row>
    <row r="856" spans="1:1" ht="11.75" customHeight="1">
      <c r="A856" s="1990">
        <f>I103+K51</f>
        <v>36006.531012790423</v>
      </c>
    </row>
    <row r="857" spans="1:1" ht="11.75" customHeight="1">
      <c r="A857" s="1989">
        <f>D$20*G101*24</f>
        <v>30728.853316304834</v>
      </c>
    </row>
    <row r="858" spans="1:1" ht="11.75" customHeight="1">
      <c r="A858" s="1989">
        <f>SUM(H65:H67)</f>
        <v>84390.33600000001</v>
      </c>
    </row>
    <row r="859" spans="1:1" ht="11.75" customHeight="1">
      <c r="A859" s="1989">
        <f>IF(D113="Heatpump",K51+D117+D114+M43+H70,IF(D113="Gas",K51+D117+M43+H70))</f>
        <v>132765.64793897627</v>
      </c>
    </row>
    <row r="860" spans="1:1" ht="11.75" customHeight="1">
      <c r="A860" s="1989" t="b">
        <f>D113="Heatpump"</f>
        <v>1</v>
      </c>
    </row>
    <row r="861" spans="1:1" ht="11.75" customHeight="1">
      <c r="A861" s="1990">
        <f>K51+D117+D114+M43+H70</f>
        <v>132765.64793897627</v>
      </c>
    </row>
    <row r="862" spans="1:1" ht="11.75" customHeight="1">
      <c r="A862" s="1989" t="b">
        <f>IF(D113="Gas",K51+D117+M43+H70)</f>
        <v>0</v>
      </c>
    </row>
    <row r="863" spans="1:1" ht="11.75" customHeight="1">
      <c r="A863" s="1989">
        <f>SUM(D44:D46)</f>
        <v>0</v>
      </c>
    </row>
    <row r="864" spans="1:1" ht="11.75" customHeight="1">
      <c r="A864" s="1990">
        <f>I44+I45</f>
        <v>0</v>
      </c>
    </row>
    <row r="865" spans="1:1" ht="11.75" customHeight="1">
      <c r="A865" s="1989">
        <f>H28*0.0373</f>
        <v>0</v>
      </c>
    </row>
    <row r="866" spans="1:1" ht="11.75" customHeight="1">
      <c r="A866" s="1989">
        <f>H30*36.72</f>
        <v>0</v>
      </c>
    </row>
    <row r="867" spans="1:1" ht="11.75" customHeight="1">
      <c r="A867" s="1990">
        <f>H27-D43</f>
        <v>132765.64793897627</v>
      </c>
    </row>
    <row r="868" spans="1:1" ht="11.75" customHeight="1">
      <c r="A868" s="1989" t="b">
        <f>D113="Electricity"</f>
        <v>0</v>
      </c>
    </row>
    <row r="869" spans="1:1" ht="11.75" customHeight="1">
      <c r="A869" s="1990">
        <f>I103+K51+D117+M121+I101+I102+M43+SUM(H65:H67)</f>
        <v>265287.6445956853</v>
      </c>
    </row>
    <row r="870" spans="1:1" ht="11.75" customHeight="1">
      <c r="A870" s="1990">
        <f>I103+K51+D117+M121+I101+I102+M43</f>
        <v>180897.30859568529</v>
      </c>
    </row>
    <row r="871" spans="1:1" ht="11.75" customHeight="1">
      <c r="A871" s="1990">
        <f>I103+K51+D117+M121+I101+I102</f>
        <v>180897.30859568529</v>
      </c>
    </row>
    <row r="872" spans="1:1" ht="11.75" customHeight="1">
      <c r="A872" s="1990">
        <f>I103+K51+D117+M121+I101</f>
        <v>164109.06314703665</v>
      </c>
    </row>
    <row r="873" spans="1:1" ht="11.75" customHeight="1">
      <c r="A873" s="1990">
        <f>I103+K51+D117+M121</f>
        <v>88005.3704468098</v>
      </c>
    </row>
    <row r="874" spans="1:1" ht="11.75" customHeight="1">
      <c r="A874" s="1990">
        <f>I103+K51+D117</f>
        <v>39024.570446809812</v>
      </c>
    </row>
    <row r="875" spans="1:1" ht="11.75" customHeight="1">
      <c r="A875" s="1990">
        <f>I103+K51</f>
        <v>36006.531012790423</v>
      </c>
    </row>
    <row r="876" spans="1:1" ht="11.75" customHeight="1">
      <c r="A876" s="1989">
        <f>D$20*G101*24</f>
        <v>30728.853316304834</v>
      </c>
    </row>
    <row r="877" spans="1:1" ht="11.75" customHeight="1">
      <c r="A877" s="1989">
        <f>SUM(H65:H67)</f>
        <v>84390.33600000001</v>
      </c>
    </row>
    <row r="878" spans="1:1" ht="11.75" customHeight="1">
      <c r="A878" s="1989">
        <f>IF(D113="Heatpump",K51+D117+D114+M43+H70,IF(D113="Gas",K51+D117+M43+H70))</f>
        <v>132765.64793897627</v>
      </c>
    </row>
    <row r="879" spans="1:1" ht="11.75" customHeight="1">
      <c r="A879" s="1989" t="b">
        <f>D113="Heatpump"</f>
        <v>1</v>
      </c>
    </row>
    <row r="880" spans="1:1" ht="11.75" customHeight="1">
      <c r="A880" s="1990">
        <f>K51+D117+D114+M43+H70</f>
        <v>132765.64793897627</v>
      </c>
    </row>
    <row r="881" spans="1:1" ht="11.75" customHeight="1">
      <c r="A881" s="1989" t="b">
        <f>IF(D113="Gas",K51+D117+M43+H70)</f>
        <v>0</v>
      </c>
    </row>
    <row r="882" spans="1:1" ht="11.75" customHeight="1">
      <c r="A882" s="1989">
        <f>SUM(D44:D46)</f>
        <v>0</v>
      </c>
    </row>
    <row r="883" spans="1:1" ht="11.75" customHeight="1">
      <c r="A883" s="1990">
        <f>I44+I45</f>
        <v>0</v>
      </c>
    </row>
    <row r="884" spans="1:1" ht="11.75" customHeight="1">
      <c r="A884" s="1989">
        <f>H28*0.0373</f>
        <v>0</v>
      </c>
    </row>
    <row r="885" spans="1:1" ht="11.75" customHeight="1">
      <c r="A885" s="1989">
        <f>H30*36.72</f>
        <v>0</v>
      </c>
    </row>
    <row r="886" spans="1:1" ht="11.75" customHeight="1">
      <c r="A886" s="1990">
        <f>H27-D43</f>
        <v>132765.64793897627</v>
      </c>
    </row>
    <row r="887" spans="1:1" ht="11.75" customHeight="1">
      <c r="A887" s="1989" t="b">
        <f>D113="Electricity"</f>
        <v>0</v>
      </c>
    </row>
    <row r="888" spans="1:1" ht="11.75" customHeight="1">
      <c r="A888" s="1990">
        <f>I103+K51+D117+M121+I101+I102+M43+SUM(H65:H67)</f>
        <v>265287.6445956853</v>
      </c>
    </row>
    <row r="889" spans="1:1" ht="11.75" customHeight="1">
      <c r="A889" s="1990">
        <f>I103+K51+D117+M121+I101+I102+M43</f>
        <v>180897.30859568529</v>
      </c>
    </row>
    <row r="890" spans="1:1" ht="11.75" customHeight="1">
      <c r="A890" s="1990">
        <f>I103+K51+D117+M121+I101+I102</f>
        <v>180897.30859568529</v>
      </c>
    </row>
    <row r="891" spans="1:1" ht="11.75" customHeight="1">
      <c r="A891" s="1990">
        <f>I103+K51+D117+M121+I101</f>
        <v>164109.06314703665</v>
      </c>
    </row>
    <row r="892" spans="1:1" ht="11.75" customHeight="1">
      <c r="A892" s="1990">
        <f>I103+K51+D117+M121</f>
        <v>88005.3704468098</v>
      </c>
    </row>
    <row r="893" spans="1:1" ht="11.75" customHeight="1">
      <c r="A893" s="1990">
        <f>I103+K51+D117</f>
        <v>39024.570446809812</v>
      </c>
    </row>
    <row r="894" spans="1:1" ht="11.75" customHeight="1">
      <c r="A894" s="1990">
        <f>I103+K51</f>
        <v>36006.531012790423</v>
      </c>
    </row>
    <row r="895" spans="1:1" ht="11.75" customHeight="1">
      <c r="A895" s="1989">
        <f>D$20*G101*24</f>
        <v>30728.853316304834</v>
      </c>
    </row>
    <row r="896" spans="1:1" ht="11.75" customHeight="1">
      <c r="A896" s="1989">
        <f>SUM(H65:H67)</f>
        <v>84390.33600000001</v>
      </c>
    </row>
    <row r="897" spans="1:1" ht="11.75" customHeight="1">
      <c r="A897" s="1989">
        <f>IF(D113="Heatpump",K51+D117+D114+M43+H70,IF(D113="Gas",K51+D117+M43+H70))</f>
        <v>132765.64793897627</v>
      </c>
    </row>
    <row r="898" spans="1:1" ht="11.75" customHeight="1">
      <c r="A898" s="1989" t="b">
        <f>D113="Heatpump"</f>
        <v>1</v>
      </c>
    </row>
    <row r="899" spans="1:1" ht="11.75" customHeight="1">
      <c r="A899" s="1990">
        <f>K51+D117+D114+M43+H70</f>
        <v>132765.64793897627</v>
      </c>
    </row>
    <row r="900" spans="1:1" ht="11.75" customHeight="1">
      <c r="A900" s="1989" t="b">
        <f>IF(D113="Gas",K51+D117+M43+H70)</f>
        <v>0</v>
      </c>
    </row>
    <row r="901" spans="1:1" ht="11.75" customHeight="1">
      <c r="A901" s="1989">
        <f>SUM(D44:D46)</f>
        <v>0</v>
      </c>
    </row>
    <row r="902" spans="1:1" ht="11.75" customHeight="1">
      <c r="A902" s="1990">
        <f>I44+I45</f>
        <v>0</v>
      </c>
    </row>
    <row r="903" spans="1:1" ht="11.75" customHeight="1">
      <c r="A903" s="1989">
        <f>H28*0.0373</f>
        <v>0</v>
      </c>
    </row>
    <row r="904" spans="1:1" ht="11.75" customHeight="1">
      <c r="A904" s="1989">
        <f>H30*36.72</f>
        <v>0</v>
      </c>
    </row>
    <row r="905" spans="1:1" ht="11.75" customHeight="1">
      <c r="A905" s="1990">
        <f>H27-D43</f>
        <v>132765.64793897627</v>
      </c>
    </row>
    <row r="906" spans="1:1" ht="11.75" customHeight="1">
      <c r="A906" s="1989" t="b">
        <f>D113="Electricity"</f>
        <v>0</v>
      </c>
    </row>
    <row r="907" spans="1:1" ht="11.75" customHeight="1">
      <c r="A907" s="1990">
        <f>I103+K51+D117+M121+I101+I102+M43+SUM(H65:H67)</f>
        <v>265287.6445956853</v>
      </c>
    </row>
    <row r="908" spans="1:1" ht="11.75" customHeight="1">
      <c r="A908" s="1990">
        <f>I103+K51+D117+M121+I101+I102+M43</f>
        <v>180897.30859568529</v>
      </c>
    </row>
    <row r="909" spans="1:1" ht="11.75" customHeight="1">
      <c r="A909" s="1990">
        <f>I103+K51+D117+M121+I101+I102</f>
        <v>180897.30859568529</v>
      </c>
    </row>
    <row r="910" spans="1:1" ht="11.75" customHeight="1">
      <c r="A910" s="1990">
        <f>I103+K51+D117+M121+I101</f>
        <v>164109.06314703665</v>
      </c>
    </row>
    <row r="911" spans="1:1" ht="11.75" customHeight="1">
      <c r="A911" s="1990">
        <f>I103+K51+D117+M121</f>
        <v>88005.3704468098</v>
      </c>
    </row>
    <row r="912" spans="1:1" ht="11.75" customHeight="1">
      <c r="A912" s="1990">
        <f>I103+K51+D117</f>
        <v>39024.570446809812</v>
      </c>
    </row>
    <row r="913" spans="1:1" ht="11.75" customHeight="1">
      <c r="A913" s="1990">
        <f>I103+K51</f>
        <v>36006.531012790423</v>
      </c>
    </row>
    <row r="914" spans="1:1" ht="11.75" customHeight="1">
      <c r="A914" s="1989">
        <f>D$20*G101*24</f>
        <v>30728.853316304834</v>
      </c>
    </row>
    <row r="915" spans="1:1" ht="11.75" customHeight="1">
      <c r="A915" s="1989">
        <f>SUM(H65:H67)</f>
        <v>84390.33600000001</v>
      </c>
    </row>
    <row r="916" spans="1:1" ht="11.75" customHeight="1">
      <c r="A916" s="1989">
        <f>IF(D113="Heatpump",K51+D117+D114+M43+H70,IF(D113="Gas",K51+D117+M43+H70))</f>
        <v>132765.64793897627</v>
      </c>
    </row>
    <row r="917" spans="1:1" ht="11.75" customHeight="1">
      <c r="A917" s="1989" t="b">
        <f>D113="Heatpump"</f>
        <v>1</v>
      </c>
    </row>
    <row r="918" spans="1:1" ht="11.75" customHeight="1">
      <c r="A918" s="1990">
        <f>K51+D117+D114+M43+H70</f>
        <v>132765.64793897627</v>
      </c>
    </row>
    <row r="919" spans="1:1" ht="11.75" customHeight="1">
      <c r="A919" s="1989" t="b">
        <f>IF(D113="Gas",K51+D117+M43+H70)</f>
        <v>0</v>
      </c>
    </row>
    <row r="920" spans="1:1" ht="11.75" customHeight="1">
      <c r="A920" s="1989">
        <f>SUM(D44:D46)</f>
        <v>0</v>
      </c>
    </row>
    <row r="921" spans="1:1" ht="11.75" customHeight="1">
      <c r="A921" s="1990">
        <f>I44+I45</f>
        <v>0</v>
      </c>
    </row>
    <row r="922" spans="1:1" ht="11.75" customHeight="1">
      <c r="A922" s="1989">
        <f>H28*0.0373</f>
        <v>0</v>
      </c>
    </row>
    <row r="923" spans="1:1" ht="11.75" customHeight="1">
      <c r="A923" s="1989">
        <f>H30*36.72</f>
        <v>0</v>
      </c>
    </row>
    <row r="924" spans="1:1" ht="11.75" customHeight="1">
      <c r="A924" s="1990">
        <f>H27-D43</f>
        <v>132765.64793897627</v>
      </c>
    </row>
    <row r="925" spans="1:1" ht="11.75" customHeight="1">
      <c r="A925" s="1989" t="b">
        <f>D113="Electricity"</f>
        <v>0</v>
      </c>
    </row>
    <row r="926" spans="1:1" ht="11.75" customHeight="1">
      <c r="A926" s="1990">
        <f>I103+K51+D117+M121+I101+I102+M43+SUM(H65:H67)</f>
        <v>265287.6445956853</v>
      </c>
    </row>
    <row r="927" spans="1:1" ht="11.75" customHeight="1">
      <c r="A927" s="1990">
        <f>I103+K51+D117+M121+I101+I102+M43</f>
        <v>180897.30859568529</v>
      </c>
    </row>
    <row r="928" spans="1:1" ht="11.75" customHeight="1">
      <c r="A928" s="1990">
        <f>I103+K51+D117+M121+I101+I102</f>
        <v>180897.30859568529</v>
      </c>
    </row>
    <row r="929" spans="1:1" ht="11.75" customHeight="1">
      <c r="A929" s="1990">
        <f>I103+K51+D117+M121+I101</f>
        <v>164109.06314703665</v>
      </c>
    </row>
    <row r="930" spans="1:1" ht="11.75" customHeight="1">
      <c r="A930" s="1990">
        <f>I103+K51+D117+M121</f>
        <v>88005.3704468098</v>
      </c>
    </row>
    <row r="931" spans="1:1" ht="11.75" customHeight="1">
      <c r="A931" s="1990">
        <f>I103+K51+D117</f>
        <v>39024.570446809812</v>
      </c>
    </row>
    <row r="932" spans="1:1" ht="11.75" customHeight="1">
      <c r="A932" s="1990">
        <f>I103+K51</f>
        <v>36006.531012790423</v>
      </c>
    </row>
    <row r="933" spans="1:1" ht="11.75" customHeight="1">
      <c r="A933" s="1989">
        <f>D$20*G101*24</f>
        <v>30728.853316304834</v>
      </c>
    </row>
    <row r="934" spans="1:1" ht="11.75" customHeight="1">
      <c r="A934" s="1989">
        <f>SUM(H65:H67)</f>
        <v>84390.33600000001</v>
      </c>
    </row>
    <row r="935" spans="1:1" ht="11.75" customHeight="1">
      <c r="A935" s="1989">
        <f>IF(D113="Heatpump",K51+D117+D114+M43+H70,IF(D113="Gas",K51+D117+M43+H70))</f>
        <v>132765.64793897627</v>
      </c>
    </row>
    <row r="936" spans="1:1" ht="11.75" customHeight="1">
      <c r="A936" s="1989" t="b">
        <f>D113="Heatpump"</f>
        <v>1</v>
      </c>
    </row>
    <row r="937" spans="1:1" ht="11.75" customHeight="1">
      <c r="A937" s="1990">
        <f>K51+D117+D114+M43+H70</f>
        <v>132765.64793897627</v>
      </c>
    </row>
    <row r="938" spans="1:1" ht="11.75" customHeight="1">
      <c r="A938" s="1989" t="b">
        <f>IF(D113="Gas",K51+D117+M43+H70)</f>
        <v>0</v>
      </c>
    </row>
    <row r="939" spans="1:1" ht="11.75" customHeight="1">
      <c r="A939" s="1989">
        <f>SUM(D44:D46)</f>
        <v>0</v>
      </c>
    </row>
    <row r="940" spans="1:1" ht="11.75" customHeight="1">
      <c r="A940" s="1990">
        <f>I44+I45</f>
        <v>0</v>
      </c>
    </row>
    <row r="941" spans="1:1" ht="11.75" customHeight="1">
      <c r="A941" s="1989">
        <f>H28*0.0373</f>
        <v>0</v>
      </c>
    </row>
    <row r="942" spans="1:1" ht="11.75" customHeight="1">
      <c r="A942" s="1989">
        <f>H30*36.72</f>
        <v>0</v>
      </c>
    </row>
    <row r="943" spans="1:1" ht="11.75" customHeight="1">
      <c r="A943" s="1990">
        <f>H27-D43</f>
        <v>132765.64793897627</v>
      </c>
    </row>
    <row r="944" spans="1:1" ht="11.75" customHeight="1">
      <c r="A944" s="1989" t="b">
        <f>D113="Electricity"</f>
        <v>0</v>
      </c>
    </row>
    <row r="945" spans="1:1" ht="11.75" customHeight="1">
      <c r="A945" s="1990">
        <f>I103+K51+D117+M121+I101+I102+M43+SUM(H65:H67)</f>
        <v>265287.6445956853</v>
      </c>
    </row>
    <row r="946" spans="1:1" ht="11.75" customHeight="1">
      <c r="A946" s="1990">
        <f>I103+K51+D117+M121+I101+I102+M43</f>
        <v>180897.30859568529</v>
      </c>
    </row>
    <row r="947" spans="1:1" ht="11.75" customHeight="1">
      <c r="A947" s="1990">
        <f>I103+K51+D117+M121+I101+I102</f>
        <v>180897.30859568529</v>
      </c>
    </row>
    <row r="948" spans="1:1" ht="11.75" customHeight="1">
      <c r="A948" s="1990">
        <f>I103+K51+D117+M121+I101</f>
        <v>164109.06314703665</v>
      </c>
    </row>
    <row r="949" spans="1:1" ht="11.75" customHeight="1">
      <c r="A949" s="1990">
        <f>I103+K51+D117+M121</f>
        <v>88005.3704468098</v>
      </c>
    </row>
    <row r="950" spans="1:1" ht="11.75" customHeight="1">
      <c r="A950" s="1990">
        <f>I103+K51+D117</f>
        <v>39024.570446809812</v>
      </c>
    </row>
    <row r="951" spans="1:1" ht="11.75" customHeight="1">
      <c r="A951" s="1990">
        <f>I103+K51</f>
        <v>36006.531012790423</v>
      </c>
    </row>
    <row r="952" spans="1:1" ht="11.75" customHeight="1">
      <c r="A952" s="1989">
        <f>D$20*G101*24</f>
        <v>30728.853316304834</v>
      </c>
    </row>
    <row r="953" spans="1:1" ht="11.75" customHeight="1">
      <c r="A953" s="1989">
        <f>SUM(H65:H67)</f>
        <v>84390.33600000001</v>
      </c>
    </row>
    <row r="954" spans="1:1" ht="11.75" customHeight="1">
      <c r="A954" s="1989">
        <f>IF(D113="Heatpump",K51+D117+D114+M43+H70,IF(D113="Gas",K51+D117+M43+H70))</f>
        <v>132765.64793897627</v>
      </c>
    </row>
    <row r="955" spans="1:1" ht="11.75" customHeight="1">
      <c r="A955" s="1989" t="b">
        <f>D113="Heatpump"</f>
        <v>1</v>
      </c>
    </row>
    <row r="956" spans="1:1" ht="11.75" customHeight="1">
      <c r="A956" s="1990">
        <f>K51+D117+D114+M43+H70</f>
        <v>132765.64793897627</v>
      </c>
    </row>
    <row r="957" spans="1:1" ht="11.75" customHeight="1">
      <c r="A957" s="1989" t="b">
        <f>IF(D113="Gas",K51+D117+M43+H70)</f>
        <v>0</v>
      </c>
    </row>
    <row r="958" spans="1:1" ht="11.75" customHeight="1">
      <c r="A958" s="1989">
        <f>SUM(D44:D46)</f>
        <v>0</v>
      </c>
    </row>
    <row r="959" spans="1:1" ht="11.75" customHeight="1">
      <c r="A959" s="1990">
        <f>I44+I45</f>
        <v>0</v>
      </c>
    </row>
    <row r="960" spans="1:1" ht="11.75" customHeight="1">
      <c r="A960" s="1989">
        <f>H28*0.0373</f>
        <v>0</v>
      </c>
    </row>
    <row r="961" spans="1:1" ht="11.75" customHeight="1">
      <c r="A961" s="1989">
        <f>H30*36.72</f>
        <v>0</v>
      </c>
    </row>
    <row r="962" spans="1:1" ht="11.75" customHeight="1">
      <c r="A962" s="1990">
        <f>H27-D43</f>
        <v>132765.64793897627</v>
      </c>
    </row>
    <row r="963" spans="1:1" ht="11.75" customHeight="1">
      <c r="A963" s="1989" t="b">
        <f>D113="Electricity"</f>
        <v>0</v>
      </c>
    </row>
    <row r="964" spans="1:1" ht="11.75" customHeight="1">
      <c r="A964" s="1990">
        <f>I103+K51+D117+M121+I101+I102+M43+SUM(H65:H67)</f>
        <v>265287.6445956853</v>
      </c>
    </row>
    <row r="965" spans="1:1" ht="11.75" customHeight="1">
      <c r="A965" s="1990">
        <f>I103+K51+D117+M121+I101+I102+M43</f>
        <v>180897.30859568529</v>
      </c>
    </row>
    <row r="966" spans="1:1" ht="11.75" customHeight="1">
      <c r="A966" s="1990">
        <f>I103+K51+D117+M121+I101+I102</f>
        <v>180897.30859568529</v>
      </c>
    </row>
    <row r="967" spans="1:1" ht="11.75" customHeight="1">
      <c r="A967" s="1990">
        <f>I103+K51+D117+M121+I101</f>
        <v>164109.06314703665</v>
      </c>
    </row>
    <row r="968" spans="1:1" ht="11.75" customHeight="1">
      <c r="A968" s="1990">
        <f>I103+K51+D117+M121</f>
        <v>88005.3704468098</v>
      </c>
    </row>
    <row r="969" spans="1:1" ht="11.75" customHeight="1">
      <c r="A969" s="1990">
        <f>I103+K51+D117</f>
        <v>39024.570446809812</v>
      </c>
    </row>
    <row r="970" spans="1:1" ht="11.75" customHeight="1">
      <c r="A970" s="1990">
        <f>I103+K51</f>
        <v>36006.531012790423</v>
      </c>
    </row>
    <row r="971" spans="1:1" ht="11.75" customHeight="1">
      <c r="A971" s="1989" t="b">
        <f>D51="Gas"</f>
        <v>0</v>
      </c>
    </row>
    <row r="972" spans="1:1" ht="11.75" customHeight="1">
      <c r="A972" s="1989">
        <f>D$20*G101*24</f>
        <v>30728.853316304834</v>
      </c>
    </row>
    <row r="973" spans="1:1" ht="11.75" customHeight="1">
      <c r="A973" s="1989">
        <f>SUM(H65:H67)</f>
        <v>84390.33600000001</v>
      </c>
    </row>
    <row r="974" spans="1:1" ht="11.75" customHeight="1">
      <c r="A974" s="1989">
        <f>IF(D113="Heatpump",K51+D117+D114+M43+H70,IF(D113="Gas",K51+D117+M43+H70))</f>
        <v>132765.64793897627</v>
      </c>
    </row>
    <row r="975" spans="1:1" ht="11.75" customHeight="1">
      <c r="A975" s="1989" t="b">
        <f>D113="Heatpump"</f>
        <v>1</v>
      </c>
    </row>
    <row r="976" spans="1:1" ht="11.75" customHeight="1">
      <c r="A976" s="1990">
        <f>K51+D117+D114+M43+H70</f>
        <v>132765.64793897627</v>
      </c>
    </row>
    <row r="977" spans="1:1" ht="11.75" customHeight="1">
      <c r="A977" s="1989" t="b">
        <f>IF(D113="Gas",K51+D117+M43+H70)</f>
        <v>0</v>
      </c>
    </row>
    <row r="978" spans="1:1" ht="11.75" customHeight="1">
      <c r="A978" s="1989">
        <f>SUM(D44:D46)</f>
        <v>0</v>
      </c>
    </row>
    <row r="979" spans="1:1" ht="11.75" customHeight="1">
      <c r="A979" s="1990">
        <f>I44+I45</f>
        <v>0</v>
      </c>
    </row>
    <row r="980" spans="1:1" ht="11.75" customHeight="1">
      <c r="A980" s="1989">
        <f>H28*0.0373</f>
        <v>0</v>
      </c>
    </row>
    <row r="981" spans="1:1" ht="11.75" customHeight="1">
      <c r="A981" s="1989">
        <f>H30*36.72</f>
        <v>0</v>
      </c>
    </row>
    <row r="982" spans="1:1" ht="11.75" customHeight="1">
      <c r="A982" s="1990">
        <f>H27-D43</f>
        <v>132765.64793897627</v>
      </c>
    </row>
    <row r="983" spans="1:1" ht="11.75" customHeight="1">
      <c r="A983" s="1989" t="b">
        <f>D113="Electricity"</f>
        <v>0</v>
      </c>
    </row>
    <row r="984" spans="1:1" ht="11.75" customHeight="1">
      <c r="A984" s="1990">
        <f>I103+K51+D117+M121+I101+I102+M43+SUM(H65:H67)</f>
        <v>265287.6445956853</v>
      </c>
    </row>
    <row r="985" spans="1:1" ht="11.75" customHeight="1">
      <c r="A985" s="1990">
        <f>I103+K51+D117+M121+I101+I102+M43</f>
        <v>180897.30859568529</v>
      </c>
    </row>
    <row r="986" spans="1:1" ht="11.75" customHeight="1">
      <c r="A986" s="1990">
        <f>I103+K51+D117+M121+I101+I102</f>
        <v>180897.30859568529</v>
      </c>
    </row>
    <row r="987" spans="1:1" ht="11.75" customHeight="1">
      <c r="A987" s="1990">
        <f>I103+K51+D117+M121+I101</f>
        <v>164109.06314703665</v>
      </c>
    </row>
    <row r="988" spans="1:1" ht="11.75" customHeight="1">
      <c r="A988" s="1990">
        <f>I103+K51+D117+M121</f>
        <v>88005.3704468098</v>
      </c>
    </row>
    <row r="989" spans="1:1" ht="11.75" customHeight="1">
      <c r="A989" s="1990">
        <f>I103+K51+D117</f>
        <v>39024.570446809812</v>
      </c>
    </row>
    <row r="990" spans="1:1" ht="11.75" customHeight="1">
      <c r="A990" s="1990">
        <f>I103+K51</f>
        <v>36006.531012790423</v>
      </c>
    </row>
    <row r="991" spans="1:1" ht="11.75" customHeight="1">
      <c r="A991" s="1989" t="b">
        <f>D51="Gas"</f>
        <v>0</v>
      </c>
    </row>
    <row r="992" spans="1:1" ht="11.75" customHeight="1">
      <c r="A992" s="1989">
        <f>D$20*G101*24</f>
        <v>30728.853316304834</v>
      </c>
    </row>
    <row r="993" spans="1:1" ht="11.75" customHeight="1">
      <c r="A993" s="1989">
        <f>SUM(H65:H67)</f>
        <v>84390.33600000001</v>
      </c>
    </row>
    <row r="994" spans="1:1" ht="11.75" customHeight="1">
      <c r="A994" s="1989">
        <f>IF(D113="Heatpump",K51+D117+D114+M43+H70,IF(D113="Gas",K51+D117+M43+H70))</f>
        <v>132765.64793897627</v>
      </c>
    </row>
    <row r="995" spans="1:1" ht="11.75" customHeight="1">
      <c r="A995" s="1989" t="b">
        <f>D113="Heatpump"</f>
        <v>1</v>
      </c>
    </row>
    <row r="996" spans="1:1" ht="11.75" customHeight="1">
      <c r="A996" s="1990">
        <f>K51+D117+D114+M43+H70</f>
        <v>132765.64793897627</v>
      </c>
    </row>
    <row r="997" spans="1:1" ht="11.75" customHeight="1">
      <c r="A997" s="1989" t="b">
        <f>IF(D113="Gas",K51+D117+M43+H70)</f>
        <v>0</v>
      </c>
    </row>
    <row r="998" spans="1:1" ht="11.75" customHeight="1">
      <c r="A998" s="1989">
        <f>SUM(D44:D46)</f>
        <v>0</v>
      </c>
    </row>
    <row r="999" spans="1:1" ht="11.75" customHeight="1">
      <c r="A999" s="1990">
        <f>I44+I45</f>
        <v>0</v>
      </c>
    </row>
    <row r="1000" spans="1:1" ht="11.75" customHeight="1">
      <c r="A1000" s="1989">
        <f>H28*0.0373</f>
        <v>0</v>
      </c>
    </row>
    <row r="1001" spans="1:1" ht="11.75" customHeight="1">
      <c r="A1001" s="1989">
        <f>H30*36.72</f>
        <v>0</v>
      </c>
    </row>
    <row r="1002" spans="1:1" ht="11.75" customHeight="1">
      <c r="A1002" s="1990">
        <f>H27-D43</f>
        <v>132765.64793897627</v>
      </c>
    </row>
    <row r="1003" spans="1:1" ht="11.75" customHeight="1">
      <c r="A1003" s="1989" t="b">
        <f>D113="Electricity"</f>
        <v>0</v>
      </c>
    </row>
    <row r="1004" spans="1:1" ht="11.75" customHeight="1">
      <c r="A1004" s="1990">
        <f>I103+K51+D117+M121+I101+I102+M43+SUM(H65:H67)</f>
        <v>265287.6445956853</v>
      </c>
    </row>
    <row r="1005" spans="1:1" ht="11.75" customHeight="1">
      <c r="A1005" s="1990">
        <f>I103+K51+D117+M121+I101+I102+M43</f>
        <v>180897.30859568529</v>
      </c>
    </row>
    <row r="1006" spans="1:1" ht="11.75" customHeight="1">
      <c r="A1006" s="1990">
        <f>I103+K51+D117+M121+I101+I102</f>
        <v>180897.30859568529</v>
      </c>
    </row>
    <row r="1007" spans="1:1" ht="11.75" customHeight="1">
      <c r="A1007" s="1990">
        <f>I103+K51+D117+M121+I101</f>
        <v>164109.06314703665</v>
      </c>
    </row>
    <row r="1008" spans="1:1" ht="11.75" customHeight="1">
      <c r="A1008" s="1990">
        <f>I103+K51+D117+M121</f>
        <v>88005.3704468098</v>
      </c>
    </row>
    <row r="1009" spans="1:1" ht="11.75" customHeight="1">
      <c r="A1009" s="1990">
        <f>I103+K51+D117</f>
        <v>39024.570446809812</v>
      </c>
    </row>
    <row r="1010" spans="1:1" ht="11.75" customHeight="1">
      <c r="A1010" s="1990">
        <f>I103+K51</f>
        <v>36006.531012790423</v>
      </c>
    </row>
    <row r="1011" spans="1:1" ht="11.75" customHeight="1">
      <c r="A1011" s="1989">
        <f>1.21*G108*D20*24/1000*D101</f>
        <v>387079.06311359996</v>
      </c>
    </row>
    <row r="1012" spans="1:1" ht="11.75" customHeight="1">
      <c r="A1012" s="1989" t="b">
        <f>D51="Gas"</f>
        <v>0</v>
      </c>
    </row>
    <row r="1013" spans="1:1" ht="11.75" customHeight="1">
      <c r="A1013" s="1989">
        <f>D$20*G101*24</f>
        <v>30728.853316304834</v>
      </c>
    </row>
    <row r="1014" spans="1:1" ht="11.75" customHeight="1">
      <c r="A1014" s="1989">
        <f>SUM(H65:H67)</f>
        <v>84390.33600000001</v>
      </c>
    </row>
    <row r="1015" spans="1:1" ht="11.75" customHeight="1">
      <c r="A1015" s="1989">
        <f>IF(D113="Heatpump",K51+D117+D114+M43+H70,IF(D113="Gas",K51+D117+M43+H70))</f>
        <v>132765.64793897627</v>
      </c>
    </row>
    <row r="1016" spans="1:1" ht="11.75" customHeight="1">
      <c r="A1016" s="1989" t="b">
        <f>D113="Heatpump"</f>
        <v>1</v>
      </c>
    </row>
    <row r="1017" spans="1:1" ht="11.75" customHeight="1">
      <c r="A1017" s="1990">
        <f>K51+D117+D114+M43+H70</f>
        <v>132765.64793897627</v>
      </c>
    </row>
    <row r="1018" spans="1:1" ht="11.75" customHeight="1">
      <c r="A1018" s="1989" t="b">
        <f>IF(D113="Gas",K51+D117+M43+H70)</f>
        <v>0</v>
      </c>
    </row>
    <row r="1019" spans="1:1" ht="11.75" customHeight="1">
      <c r="A1019" s="1989">
        <f>SUM(D44:D46)</f>
        <v>0</v>
      </c>
    </row>
    <row r="1020" spans="1:1" ht="11.75" customHeight="1">
      <c r="A1020" s="1990">
        <f>I44+I45</f>
        <v>0</v>
      </c>
    </row>
    <row r="1021" spans="1:1" ht="11.75" customHeight="1">
      <c r="A1021" s="1989">
        <f>H28*0.0373</f>
        <v>0</v>
      </c>
    </row>
    <row r="1022" spans="1:1" ht="11.75" customHeight="1">
      <c r="A1022" s="1989">
        <f>H30*36.72</f>
        <v>0</v>
      </c>
    </row>
    <row r="1023" spans="1:1" ht="11.75" customHeight="1">
      <c r="A1023" s="1990">
        <f>H27-D43</f>
        <v>132765.64793897627</v>
      </c>
    </row>
    <row r="1024" spans="1:1" ht="11.75" customHeight="1">
      <c r="A1024" s="1989" t="b">
        <f>D113="Electricity"</f>
        <v>0</v>
      </c>
    </row>
    <row r="1025" spans="1:1" ht="11.75" customHeight="1">
      <c r="A1025" s="1990">
        <f>I103+K51+D117+M121+I101+I102+M43+SUM(H65:H67)</f>
        <v>265287.6445956853</v>
      </c>
    </row>
    <row r="1026" spans="1:1" ht="11.75" customHeight="1">
      <c r="A1026" s="1990">
        <f>I103+K51+D117+M121+I101+I102+M43</f>
        <v>180897.30859568529</v>
      </c>
    </row>
    <row r="1027" spans="1:1" ht="11.75" customHeight="1">
      <c r="A1027" s="1990">
        <f>I103+K51+D117+M121+I101+I102</f>
        <v>180897.30859568529</v>
      </c>
    </row>
    <row r="1028" spans="1:1" ht="11.75" customHeight="1">
      <c r="A1028" s="1990">
        <f>I103+K51+D117+M121+I101</f>
        <v>164109.06314703665</v>
      </c>
    </row>
    <row r="1029" spans="1:1" ht="11.75" customHeight="1">
      <c r="A1029" s="1990">
        <f>I103+K51+D117+M121</f>
        <v>88005.3704468098</v>
      </c>
    </row>
    <row r="1030" spans="1:1" ht="11.75" customHeight="1">
      <c r="A1030" s="1990">
        <f>I103+K51+D117</f>
        <v>39024.570446809812</v>
      </c>
    </row>
    <row r="1031" spans="1:1" ht="11.75" customHeight="1">
      <c r="A1031" s="1990">
        <f>I103+K51</f>
        <v>36006.531012790423</v>
      </c>
    </row>
    <row r="1032" spans="1:1" ht="11.75" customHeight="1">
      <c r="A1032" s="1989">
        <f>1.21*G108*D20*24/1000*D101</f>
        <v>387079.06311359996</v>
      </c>
    </row>
    <row r="1033" spans="1:1" ht="11.75" customHeight="1">
      <c r="A1033" s="1989" t="b">
        <f>D51="Gas"</f>
        <v>0</v>
      </c>
    </row>
    <row r="1034" spans="1:1" ht="11.75" customHeight="1">
      <c r="A1034" s="1989">
        <f>D$20*G101*24</f>
        <v>30728.853316304834</v>
      </c>
    </row>
    <row r="1035" spans="1:1" ht="11.75" customHeight="1">
      <c r="A1035" s="1989">
        <f>SUM(H65:H67)</f>
        <v>84390.33600000001</v>
      </c>
    </row>
    <row r="1036" spans="1:1" ht="11.75" customHeight="1">
      <c r="A1036" s="1989">
        <f>IF(D113="Heatpump",K51+D117+D114+M43+H70,IF(D113="Gas",K51+D117+M43+H70))</f>
        <v>132765.64793897627</v>
      </c>
    </row>
    <row r="1037" spans="1:1" ht="11.75" customHeight="1">
      <c r="A1037" s="1989" t="b">
        <f>D113="Heatpump"</f>
        <v>1</v>
      </c>
    </row>
    <row r="1038" spans="1:1" ht="11.75" customHeight="1">
      <c r="A1038" s="1990">
        <f>K51+D117+D114+M43+H70</f>
        <v>132765.64793897627</v>
      </c>
    </row>
    <row r="1039" spans="1:1" ht="11.75" customHeight="1">
      <c r="A1039" s="1989" t="b">
        <f>IF(D113="Gas",K51+D117+M43+H70)</f>
        <v>0</v>
      </c>
    </row>
    <row r="1040" spans="1:1" ht="11.75" customHeight="1">
      <c r="A1040" s="1989">
        <f>SUM(D44:D46)</f>
        <v>0</v>
      </c>
    </row>
    <row r="1041" spans="1:1" ht="11.75" customHeight="1">
      <c r="A1041" s="1990">
        <f>I44+I45</f>
        <v>0</v>
      </c>
    </row>
    <row r="1042" spans="1:1" ht="11.75" customHeight="1">
      <c r="A1042" s="1989">
        <f>H28*0.0373</f>
        <v>0</v>
      </c>
    </row>
    <row r="1043" spans="1:1" ht="11.75" customHeight="1">
      <c r="A1043" s="1989">
        <f>H30*36.72</f>
        <v>0</v>
      </c>
    </row>
    <row r="1044" spans="1:1" ht="11.75" customHeight="1">
      <c r="A1044" s="1990">
        <f>H27-D43</f>
        <v>132765.64793897627</v>
      </c>
    </row>
    <row r="1045" spans="1:1" ht="11.75" customHeight="1">
      <c r="A1045" s="1989" t="b">
        <f>D113="Electricity"</f>
        <v>0</v>
      </c>
    </row>
    <row r="1046" spans="1:1" ht="11.75" customHeight="1">
      <c r="A1046" s="1990">
        <f>I103+K51+D117+M121+I101+I102+M43+SUM(H65:H67)</f>
        <v>265287.6445956853</v>
      </c>
    </row>
    <row r="1047" spans="1:1" ht="11.75" customHeight="1">
      <c r="A1047" s="1990">
        <f>I103+K51+D117+M121+I101+I102+M43</f>
        <v>180897.30859568529</v>
      </c>
    </row>
    <row r="1048" spans="1:1" ht="11.75" customHeight="1">
      <c r="A1048" s="1990">
        <f>I103+K51+D117+M121+I101+I102</f>
        <v>180897.30859568529</v>
      </c>
    </row>
    <row r="1049" spans="1:1" ht="11.75" customHeight="1">
      <c r="A1049" s="1990">
        <f>I103+K51+D117+M121+I101</f>
        <v>164109.06314703665</v>
      </c>
    </row>
    <row r="1050" spans="1:1" ht="11.75" customHeight="1">
      <c r="A1050" s="1990">
        <f>I103+K51+D117+M121</f>
        <v>88005.3704468098</v>
      </c>
    </row>
    <row r="1051" spans="1:1" ht="11.75" customHeight="1">
      <c r="A1051" s="1990">
        <f>I103+K51+D117</f>
        <v>39024.570446809812</v>
      </c>
    </row>
    <row r="1052" spans="1:1" ht="11.75" customHeight="1">
      <c r="A1052" s="1990">
        <f>I103+K51</f>
        <v>36006.531012790423</v>
      </c>
    </row>
    <row r="1053" spans="1:1" ht="11.75" customHeight="1">
      <c r="A1053" s="1989">
        <f>1.21*G108*D20*24/1000*D101</f>
        <v>387079.06311359996</v>
      </c>
    </row>
    <row r="1054" spans="1:1" ht="11.75" customHeight="1">
      <c r="A1054" s="1989">
        <f>1.21*G108*D20*24/1000</f>
        <v>156.29328000000001</v>
      </c>
    </row>
    <row r="1055" spans="1:1" ht="11.75" customHeight="1">
      <c r="A1055" s="1989" t="b">
        <f>D51="Gas"</f>
        <v>0</v>
      </c>
    </row>
    <row r="1056" spans="1:1" ht="11.75" customHeight="1">
      <c r="A1056" s="1989">
        <f>D$20*G101*24</f>
        <v>30728.853316304834</v>
      </c>
    </row>
    <row r="1057" spans="1:1" ht="11.75" customHeight="1">
      <c r="A1057" s="1989">
        <f>SUM(H65:H67)</f>
        <v>84390.33600000001</v>
      </c>
    </row>
    <row r="1058" spans="1:1" ht="11.75" customHeight="1">
      <c r="A1058" s="1989">
        <f>IF(D113="Heatpump",K51+D117+D114+M43+H70,IF(D113="Gas",K51+D117+M43+H70))</f>
        <v>132765.64793897627</v>
      </c>
    </row>
    <row r="1059" spans="1:1" ht="11.75" customHeight="1">
      <c r="A1059" s="1989" t="b">
        <f>D113="Heatpump"</f>
        <v>1</v>
      </c>
    </row>
    <row r="1060" spans="1:1" ht="11.75" customHeight="1">
      <c r="A1060" s="1990">
        <f>K51+D117+D114+M43+H70</f>
        <v>132765.64793897627</v>
      </c>
    </row>
    <row r="1061" spans="1:1" ht="11.75" customHeight="1">
      <c r="A1061" s="1989" t="b">
        <f>IF(D113="Gas",K51+D117+M43+H70)</f>
        <v>0</v>
      </c>
    </row>
    <row r="1062" spans="1:1" ht="11.75" customHeight="1">
      <c r="A1062" s="1989">
        <f>SUM(D44:D46)</f>
        <v>0</v>
      </c>
    </row>
    <row r="1063" spans="1:1" ht="11.75" customHeight="1">
      <c r="A1063" s="1990">
        <f>I44+I45</f>
        <v>0</v>
      </c>
    </row>
    <row r="1064" spans="1:1" ht="11.75" customHeight="1">
      <c r="A1064" s="1989">
        <f>H28*0.0373</f>
        <v>0</v>
      </c>
    </row>
    <row r="1065" spans="1:1" ht="11.75" customHeight="1">
      <c r="A1065" s="1989">
        <f>H30*36.72</f>
        <v>0</v>
      </c>
    </row>
    <row r="1066" spans="1:1" ht="11.75" customHeight="1">
      <c r="A1066" s="1990">
        <f>H27-D43</f>
        <v>132765.64793897627</v>
      </c>
    </row>
    <row r="1067" spans="1:1" ht="11.75" customHeight="1">
      <c r="A1067" s="1989" t="b">
        <f>D113="Electricity"</f>
        <v>0</v>
      </c>
    </row>
    <row r="1068" spans="1:1" ht="11.75" customHeight="1">
      <c r="A1068" s="1990">
        <f>I103+K51+D117+M121+I101+I102+M43+SUM(H65:H67)</f>
        <v>265287.6445956853</v>
      </c>
    </row>
    <row r="1069" spans="1:1" ht="11.75" customHeight="1">
      <c r="A1069" s="1990">
        <f>I103+K51+D117+M121+I101+I102+M43</f>
        <v>180897.30859568529</v>
      </c>
    </row>
    <row r="1070" spans="1:1" ht="11.75" customHeight="1">
      <c r="A1070" s="1990">
        <f>I103+K51+D117+M121+I101+I102</f>
        <v>180897.30859568529</v>
      </c>
    </row>
    <row r="1071" spans="1:1" ht="11.75" customHeight="1">
      <c r="A1071" s="1990">
        <f>I103+K51+D117+M121+I101</f>
        <v>164109.06314703665</v>
      </c>
    </row>
    <row r="1072" spans="1:1" ht="11.75" customHeight="1">
      <c r="A1072" s="1990">
        <f>I103+K51+D117+M121</f>
        <v>88005.3704468098</v>
      </c>
    </row>
    <row r="1073" spans="1:1" ht="11.75" customHeight="1">
      <c r="A1073" s="1990">
        <f>I103+K51+D117</f>
        <v>39024.570446809812</v>
      </c>
    </row>
    <row r="1074" spans="1:1" ht="11.75" customHeight="1">
      <c r="A1074" s="1990">
        <f>I103+K51</f>
        <v>36006.531012790423</v>
      </c>
    </row>
    <row r="1075" spans="1:1" ht="11.75" customHeight="1">
      <c r="A1075" s="1989">
        <f>1.21*G108*D20*24/1000*D101</f>
        <v>387079.06311359996</v>
      </c>
    </row>
    <row r="1076" spans="1:1" ht="11.75" customHeight="1">
      <c r="A1076" s="1989">
        <f>1.21*G108*D20*24/1000</f>
        <v>156.29328000000001</v>
      </c>
    </row>
    <row r="1077" spans="1:1" ht="11.75" customHeight="1">
      <c r="A1077" s="1989" t="b">
        <f>D51="Gas"</f>
        <v>0</v>
      </c>
    </row>
    <row r="1078" spans="1:1" ht="11.75" customHeight="1">
      <c r="A1078" s="1989">
        <f>D$20*G101*24</f>
        <v>30728.853316304834</v>
      </c>
    </row>
    <row r="1079" spans="1:1" ht="11.75" customHeight="1">
      <c r="A1079" s="1989">
        <f>SUM(H65:H67)</f>
        <v>84390.33600000001</v>
      </c>
    </row>
    <row r="1080" spans="1:1" ht="11.75" customHeight="1">
      <c r="A1080" s="1989">
        <f>IF(D113="Heatpump",K51+D117+D114+M43+H70,IF(D113="Gas",K51+D117+M43+H70))</f>
        <v>132765.64793897627</v>
      </c>
    </row>
    <row r="1081" spans="1:1" ht="11.75" customHeight="1">
      <c r="A1081" s="1989" t="b">
        <f>D113="Heatpump"</f>
        <v>1</v>
      </c>
    </row>
    <row r="1082" spans="1:1" ht="11.75" customHeight="1">
      <c r="A1082" s="1990">
        <f>K51+D117+D114+M43+H70</f>
        <v>132765.64793897627</v>
      </c>
    </row>
    <row r="1083" spans="1:1" ht="11.75" customHeight="1">
      <c r="A1083" s="1989" t="b">
        <f>IF(D113="Gas",K51+D117+M43+H70)</f>
        <v>0</v>
      </c>
    </row>
    <row r="1084" spans="1:1" ht="11.75" customHeight="1">
      <c r="A1084" s="1989">
        <f>SUM(D44:D46)</f>
        <v>0</v>
      </c>
    </row>
    <row r="1085" spans="1:1" ht="11.75" customHeight="1">
      <c r="A1085" s="1990">
        <f>I44+I45</f>
        <v>0</v>
      </c>
    </row>
    <row r="1086" spans="1:1" ht="11.75" customHeight="1">
      <c r="A1086" s="1989">
        <f>H28*0.0373</f>
        <v>0</v>
      </c>
    </row>
    <row r="1087" spans="1:1" ht="11.75" customHeight="1">
      <c r="A1087" s="1989">
        <f>H30*36.72</f>
        <v>0</v>
      </c>
    </row>
    <row r="1088" spans="1:1" ht="11.75" customHeight="1">
      <c r="A1088" s="1990">
        <f>H27-D43</f>
        <v>132765.64793897627</v>
      </c>
    </row>
    <row r="1089" spans="1:1" ht="11.75" customHeight="1">
      <c r="A1089" s="1989" t="b">
        <f>D113="Electricity"</f>
        <v>0</v>
      </c>
    </row>
    <row r="1090" spans="1:1" ht="11.75" customHeight="1">
      <c r="A1090" s="1990">
        <f>I103+K51+D117+M121+I101+I102+M43+SUM(H65:H67)</f>
        <v>265287.6445956853</v>
      </c>
    </row>
    <row r="1091" spans="1:1" ht="11.75" customHeight="1">
      <c r="A1091" s="1990">
        <f>I103+K51+D117+M121+I101+I102+M43</f>
        <v>180897.30859568529</v>
      </c>
    </row>
    <row r="1092" spans="1:1" ht="11.75" customHeight="1">
      <c r="A1092" s="1990">
        <f>I103+K51+D117+M121+I101+I102</f>
        <v>180897.30859568529</v>
      </c>
    </row>
    <row r="1093" spans="1:1" ht="11.75" customHeight="1">
      <c r="A1093" s="1990">
        <f>I103+K51+D117+M121+I101</f>
        <v>164109.06314703665</v>
      </c>
    </row>
    <row r="1094" spans="1:1" ht="11.75" customHeight="1">
      <c r="A1094" s="1990">
        <f>I103+K51+D117+M121</f>
        <v>88005.3704468098</v>
      </c>
    </row>
    <row r="1095" spans="1:1" ht="11.75" customHeight="1">
      <c r="A1095" s="1990">
        <f>I103+K51+D117</f>
        <v>39024.570446809812</v>
      </c>
    </row>
    <row r="1096" spans="1:1" ht="11.75" customHeight="1">
      <c r="A1096" s="1990">
        <f>I103+K51</f>
        <v>36006.531012790423</v>
      </c>
    </row>
    <row r="1097" spans="1:1" ht="11.75" customHeight="1">
      <c r="A1097" s="1989">
        <f>1.21*G108*D20*24/1000*D101</f>
        <v>387079.06311359996</v>
      </c>
    </row>
    <row r="1098" spans="1:1" ht="11.75" customHeight="1">
      <c r="A1098" s="1989">
        <f>1.21*G108*D20*24/1000</f>
        <v>156.29328000000001</v>
      </c>
    </row>
    <row r="1099" spans="1:1" ht="11.75" customHeight="1">
      <c r="A1099" s="1989">
        <f>MATCH('NRL50-n-Factors'!D34,'NRL50-n-Factors'!C38:C49,0)</f>
        <v>5</v>
      </c>
    </row>
    <row r="1100" spans="1:1" ht="11.75" customHeight="1">
      <c r="A1100" s="1989">
        <f>MATCH(REPORT!D103,'NRL50-n-Factors'!D37:J37,0)</f>
        <v>2</v>
      </c>
    </row>
    <row r="1101" spans="1:1" ht="11.75" customHeight="1">
      <c r="A1101" s="1989" t="b">
        <f>D51="Gas"</f>
        <v>0</v>
      </c>
    </row>
    <row r="1102" spans="1:1" ht="11.75" customHeight="1">
      <c r="A1102" s="1989">
        <f>D$20*G101*24</f>
        <v>30728.853316304834</v>
      </c>
    </row>
    <row r="1103" spans="1:1" ht="11.75" customHeight="1">
      <c r="A1103" s="1989">
        <f>SUM(H65:H67)</f>
        <v>84390.33600000001</v>
      </c>
    </row>
    <row r="1104" spans="1:1" ht="11.75" customHeight="1">
      <c r="A1104" s="1989">
        <f>IF(D113="Heatpump",K51+D117+D114+M43+H70,IF(D113="Gas",K51+D117+M43+H70))</f>
        <v>132765.64793897627</v>
      </c>
    </row>
    <row r="1105" spans="1:1" ht="11.75" customHeight="1">
      <c r="A1105" s="1989" t="b">
        <f>D113="Heatpump"</f>
        <v>1</v>
      </c>
    </row>
    <row r="1106" spans="1:1" ht="11.75" customHeight="1">
      <c r="A1106" s="1990">
        <f>K51+D117+D114+M43+H70</f>
        <v>132765.64793897627</v>
      </c>
    </row>
    <row r="1107" spans="1:1" ht="11.75" customHeight="1">
      <c r="A1107" s="1989" t="b">
        <f>IF(D113="Gas",K51+D117+M43+H70)</f>
        <v>0</v>
      </c>
    </row>
    <row r="1108" spans="1:1" ht="11.75" customHeight="1">
      <c r="A1108" s="1989">
        <f>SUM(D44:D46)</f>
        <v>0</v>
      </c>
    </row>
    <row r="1109" spans="1:1" ht="11.75" customHeight="1">
      <c r="A1109" s="1990">
        <f>I44+I45</f>
        <v>0</v>
      </c>
    </row>
    <row r="1110" spans="1:1" ht="11.75" customHeight="1">
      <c r="A1110" s="1989">
        <f>H28*0.0373</f>
        <v>0</v>
      </c>
    </row>
    <row r="1111" spans="1:1" ht="11.75" customHeight="1">
      <c r="A1111" s="1989">
        <f>H30*36.72</f>
        <v>0</v>
      </c>
    </row>
    <row r="1112" spans="1:1" ht="11.75" customHeight="1">
      <c r="A1112" s="1990">
        <f>H27-D43</f>
        <v>132765.64793897627</v>
      </c>
    </row>
    <row r="1113" spans="1:1" ht="11.75" customHeight="1">
      <c r="A1113" s="1989" t="b">
        <f>D113="Electricity"</f>
        <v>0</v>
      </c>
    </row>
    <row r="1114" spans="1:1" ht="11.75" customHeight="1">
      <c r="A1114" s="1990">
        <f>I103+K51+D117+M121+I101+I102+M43+SUM(H65:H67)</f>
        <v>265287.6445956853</v>
      </c>
    </row>
    <row r="1115" spans="1:1" ht="11.75" customHeight="1">
      <c r="A1115" s="1990">
        <f>I103+K51+D117+M121+I101+I102+M43</f>
        <v>180897.30859568529</v>
      </c>
    </row>
    <row r="1116" spans="1:1" ht="11.75" customHeight="1">
      <c r="A1116" s="1990">
        <f>I103+K51+D117+M121+I101+I102</f>
        <v>180897.30859568529</v>
      </c>
    </row>
    <row r="1117" spans="1:1" ht="11.75" customHeight="1">
      <c r="A1117" s="1990">
        <f>I103+K51+D117+M121+I101</f>
        <v>164109.06314703665</v>
      </c>
    </row>
    <row r="1118" spans="1:1" ht="11.75" customHeight="1">
      <c r="A1118" s="1990">
        <f>I103+K51+D117+M121</f>
        <v>88005.3704468098</v>
      </c>
    </row>
    <row r="1119" spans="1:1" ht="11.75" customHeight="1">
      <c r="A1119" s="1990">
        <f>I103+K51+D117</f>
        <v>39024.570446809812</v>
      </c>
    </row>
    <row r="1120" spans="1:1" ht="11.75" customHeight="1">
      <c r="A1120" s="1990">
        <f>I103+K51</f>
        <v>36006.531012790423</v>
      </c>
    </row>
    <row r="1121" spans="1:1" ht="11.75" customHeight="1">
      <c r="A1121" s="1989">
        <f>1.21*G108*D20*24/1000*D101</f>
        <v>387079.06311359996</v>
      </c>
    </row>
    <row r="1122" spans="1:1" ht="11.75" customHeight="1">
      <c r="A1122" s="1989">
        <f>1.21*G108*D20*24/1000</f>
        <v>156.29328000000001</v>
      </c>
    </row>
    <row r="1123" spans="1:1" ht="11.75" customHeight="1">
      <c r="A1123" s="1989">
        <f>MATCH('NRL50-n-Factors'!D34,'NRL50-n-Factors'!C38:C49,0)</f>
        <v>5</v>
      </c>
    </row>
    <row r="1124" spans="1:1" ht="11.75" customHeight="1">
      <c r="A1124" s="1989">
        <f>MATCH(REPORT!D103,'NRL50-n-Factors'!D37:J37,0)</f>
        <v>2</v>
      </c>
    </row>
    <row r="1125" spans="1:1" ht="11.75" customHeight="1">
      <c r="A1125" s="1989" t="b">
        <f>D51="Gas"</f>
        <v>0</v>
      </c>
    </row>
    <row r="1126" spans="1:1" ht="11.75" customHeight="1">
      <c r="A1126" s="1989">
        <f>D$20*G101*24</f>
        <v>30728.853316304834</v>
      </c>
    </row>
    <row r="1127" spans="1:1" ht="11.75" customHeight="1">
      <c r="A1127" s="1989">
        <f>SUM(H65:H67)</f>
        <v>84390.33600000001</v>
      </c>
    </row>
    <row r="1128" spans="1:1" ht="11.75" customHeight="1">
      <c r="A1128" s="1989">
        <f>IF(D113="Heatpump",K51+D117+D114+M43+H70,IF(D113="Gas",K51+D117+M43+H70))</f>
        <v>132765.64793897627</v>
      </c>
    </row>
    <row r="1129" spans="1:1" ht="11.75" customHeight="1">
      <c r="A1129" s="1989" t="b">
        <f>D113="Heatpump"</f>
        <v>1</v>
      </c>
    </row>
    <row r="1130" spans="1:1" ht="11.75" customHeight="1">
      <c r="A1130" s="1990">
        <f>K51+D117+D114+M43+H70</f>
        <v>132765.64793897627</v>
      </c>
    </row>
    <row r="1131" spans="1:1" ht="11.75" customHeight="1">
      <c r="A1131" s="1989" t="b">
        <f>IF(D113="Gas",K51+D117+M43+H70)</f>
        <v>0</v>
      </c>
    </row>
    <row r="1132" spans="1:1" ht="11.75" customHeight="1">
      <c r="A1132" s="1989">
        <f>SUM(D44:D46)</f>
        <v>0</v>
      </c>
    </row>
    <row r="1133" spans="1:1" ht="11.75" customHeight="1">
      <c r="A1133" s="1990">
        <f>I44+I45</f>
        <v>0</v>
      </c>
    </row>
    <row r="1134" spans="1:1" ht="11.75" customHeight="1">
      <c r="A1134" s="1989">
        <f>H28*0.0373</f>
        <v>0</v>
      </c>
    </row>
    <row r="1135" spans="1:1" ht="11.75" customHeight="1">
      <c r="A1135" s="1989">
        <f>H30*36.72</f>
        <v>0</v>
      </c>
    </row>
    <row r="1136" spans="1:1" ht="11.75" customHeight="1">
      <c r="A1136" s="1990">
        <f>H27-D43</f>
        <v>132765.64793897627</v>
      </c>
    </row>
    <row r="1137" spans="1:1" ht="11.75" customHeight="1">
      <c r="A1137" s="1989" t="b">
        <f>D113="Electricity"</f>
        <v>0</v>
      </c>
    </row>
    <row r="1138" spans="1:1" ht="11.75" customHeight="1">
      <c r="A1138" s="1990">
        <f>I103+K51+D117+M121+I101+I102+M43+SUM(H65:H67)</f>
        <v>265287.6445956853</v>
      </c>
    </row>
    <row r="1139" spans="1:1" ht="11.75" customHeight="1">
      <c r="A1139" s="1990">
        <f>I103+K51+D117+M121+I101+I102+M43</f>
        <v>180897.30859568529</v>
      </c>
    </row>
    <row r="1140" spans="1:1" ht="11.75" customHeight="1">
      <c r="A1140" s="1990">
        <f>I103+K51+D117+M121+I101+I102</f>
        <v>180897.30859568529</v>
      </c>
    </row>
    <row r="1141" spans="1:1" ht="11.75" customHeight="1">
      <c r="A1141" s="1990">
        <f>I103+K51+D117+M121+I101</f>
        <v>164109.06314703665</v>
      </c>
    </row>
    <row r="1142" spans="1:1" ht="11.75" customHeight="1">
      <c r="A1142" s="1990">
        <f>I103+K51+D117+M121</f>
        <v>88005.3704468098</v>
      </c>
    </row>
    <row r="1143" spans="1:1" ht="11.75" customHeight="1">
      <c r="A1143" s="1990">
        <f>I103+K51+D117</f>
        <v>39024.570446809812</v>
      </c>
    </row>
    <row r="1144" spans="1:1" ht="11.75" customHeight="1">
      <c r="A1144" s="1990">
        <f>I103+K51</f>
        <v>36006.531012790423</v>
      </c>
    </row>
    <row r="1145" spans="1:1" ht="11.75" customHeight="1">
      <c r="A1145" s="1989">
        <f>1.21*G108*D20*24/1000*D101</f>
        <v>387079.06311359996</v>
      </c>
    </row>
    <row r="1146" spans="1:1" ht="11.75" customHeight="1">
      <c r="A1146" s="1989">
        <f>1.21*G108*D20*24/1000</f>
        <v>156.29328000000001</v>
      </c>
    </row>
    <row r="1147" spans="1:1" ht="11.75" customHeight="1">
      <c r="A1147" s="1989">
        <f>1.21*G108*D20*24</f>
        <v>156293.28</v>
      </c>
    </row>
    <row r="1148" spans="1:1" ht="11.75" customHeight="1">
      <c r="A1148" s="1989">
        <f>MATCH('NRL50-n-Factors'!D34,'NRL50-n-Factors'!C38:C49,0)</f>
        <v>5</v>
      </c>
    </row>
    <row r="1149" spans="1:1" ht="11.75" customHeight="1">
      <c r="A1149" s="1989">
        <f>MATCH(REPORT!D103,'NRL50-n-Factors'!D37:J37,0)</f>
        <v>2</v>
      </c>
    </row>
    <row r="1150" spans="1:1" ht="11.75" customHeight="1">
      <c r="A1150" s="1989" t="b">
        <f>D51="Gas"</f>
        <v>0</v>
      </c>
    </row>
    <row r="1151" spans="1:1" ht="11.75" customHeight="1">
      <c r="A1151" s="1989">
        <f>D$20*G101*24</f>
        <v>30728.853316304834</v>
      </c>
    </row>
    <row r="1152" spans="1:1" ht="11.75" customHeight="1">
      <c r="A1152" s="1989">
        <f>SUM(H65:H67)</f>
        <v>84390.33600000001</v>
      </c>
    </row>
    <row r="1153" spans="1:1" ht="11.75" customHeight="1">
      <c r="A1153" s="1989">
        <f>IF(D113="Heatpump",K51+D117+D114+M43+H70,IF(D113="Gas",K51+D117+M43+H70))</f>
        <v>132765.64793897627</v>
      </c>
    </row>
    <row r="1154" spans="1:1" ht="11.75" customHeight="1">
      <c r="A1154" s="1989" t="b">
        <f>D113="Heatpump"</f>
        <v>1</v>
      </c>
    </row>
    <row r="1155" spans="1:1" ht="11.75" customHeight="1">
      <c r="A1155" s="1990">
        <f>K51+D117+D114+M43+H70</f>
        <v>132765.64793897627</v>
      </c>
    </row>
    <row r="1156" spans="1:1" ht="11.75" customHeight="1">
      <c r="A1156" s="1989" t="b">
        <f>IF(D113="Gas",K51+D117+M43+H70)</f>
        <v>0</v>
      </c>
    </row>
    <row r="1157" spans="1:1" ht="11.75" customHeight="1">
      <c r="A1157" s="1989">
        <f>SUM(D44:D46)</f>
        <v>0</v>
      </c>
    </row>
    <row r="1158" spans="1:1" ht="11.75" customHeight="1">
      <c r="A1158" s="1990">
        <f>I44+I45</f>
        <v>0</v>
      </c>
    </row>
    <row r="1159" spans="1:1" ht="11.75" customHeight="1">
      <c r="A1159" s="1989">
        <f>H28*0.0373</f>
        <v>0</v>
      </c>
    </row>
    <row r="1160" spans="1:1" ht="11.75" customHeight="1">
      <c r="A1160" s="1989">
        <f>H30*36.72</f>
        <v>0</v>
      </c>
    </row>
    <row r="1161" spans="1:1" ht="11.75" customHeight="1">
      <c r="A1161" s="1990">
        <f>H27-D43</f>
        <v>132765.64793897627</v>
      </c>
    </row>
    <row r="1162" spans="1:1" ht="11.75" customHeight="1">
      <c r="A1162" s="1989" t="b">
        <f>D113="Electricity"</f>
        <v>0</v>
      </c>
    </row>
    <row r="1163" spans="1:1" ht="11.75" customHeight="1">
      <c r="A1163" s="1990">
        <f>I103+K51+D117+M121+I101+I102+M43+SUM(H65:H67)</f>
        <v>265287.6445956853</v>
      </c>
    </row>
    <row r="1164" spans="1:1" ht="11.75" customHeight="1">
      <c r="A1164" s="1990">
        <f>I103+K51+D117+M121+I101+I102+M43</f>
        <v>180897.30859568529</v>
      </c>
    </row>
    <row r="1165" spans="1:1" ht="11.75" customHeight="1">
      <c r="A1165" s="1990">
        <f>I103+K51+D117+M121+I101+I102</f>
        <v>180897.30859568529</v>
      </c>
    </row>
    <row r="1166" spans="1:1" ht="11.75" customHeight="1">
      <c r="A1166" s="1990">
        <f>I103+K51+D117+M121+I101</f>
        <v>164109.06314703665</v>
      </c>
    </row>
    <row r="1167" spans="1:1" ht="11.75" customHeight="1">
      <c r="A1167" s="1990">
        <f>I103+K51+D117+M121</f>
        <v>88005.3704468098</v>
      </c>
    </row>
    <row r="1168" spans="1:1" ht="11.75" customHeight="1">
      <c r="A1168" s="1990">
        <f>I103+K51+D117</f>
        <v>39024.570446809812</v>
      </c>
    </row>
    <row r="1169" spans="1:1" ht="11.75" customHeight="1">
      <c r="A1169" s="1990">
        <f>I103+K51</f>
        <v>36006.531012790423</v>
      </c>
    </row>
    <row r="1170" spans="1:1" ht="11.75" customHeight="1">
      <c r="A1170" s="1989">
        <f>1.21*G108*D20*24/1000*D101</f>
        <v>387079.06311359996</v>
      </c>
    </row>
    <row r="1171" spans="1:1" ht="11.75" customHeight="1">
      <c r="A1171" s="1989">
        <f>1.21*G108*D20*24/1000</f>
        <v>156.29328000000001</v>
      </c>
    </row>
    <row r="1172" spans="1:1" ht="11.75" customHeight="1">
      <c r="A1172" s="1989">
        <f>1.21*G108*D20*24</f>
        <v>156293.28</v>
      </c>
    </row>
    <row r="1173" spans="1:1" ht="11.75" customHeight="1">
      <c r="A1173" s="1989">
        <f>MATCH('NRL50-n-Factors'!D34,'NRL50-n-Factors'!C38:C49,0)</f>
        <v>5</v>
      </c>
    </row>
    <row r="1174" spans="1:1" ht="11.75" customHeight="1">
      <c r="A1174" s="1989">
        <f>MATCH(REPORT!D103,'NRL50-n-Factors'!D37:J37,0)</f>
        <v>2</v>
      </c>
    </row>
    <row r="1175" spans="1:1" ht="11.75" customHeight="1">
      <c r="A1175" s="1989" t="b">
        <f>D51="Gas"</f>
        <v>0</v>
      </c>
    </row>
    <row r="1176" spans="1:1" ht="11.75" customHeight="1">
      <c r="A1176" s="1989">
        <f>D$20*G101*24</f>
        <v>30728.853316304834</v>
      </c>
    </row>
    <row r="1177" spans="1:1" ht="11.75" customHeight="1">
      <c r="A1177" s="1989">
        <f>SUM(H65:H67)</f>
        <v>84390.33600000001</v>
      </c>
    </row>
    <row r="1178" spans="1:1" ht="11.75" customHeight="1">
      <c r="A1178" s="1989">
        <f>IF(D113="Heatpump",K51+D117+D114+M43+H70,IF(D113="Gas",K51+D117+M43+H70))</f>
        <v>132765.64793897627</v>
      </c>
    </row>
    <row r="1179" spans="1:1" ht="11.75" customHeight="1">
      <c r="A1179" s="1989" t="b">
        <f>D113="Heatpump"</f>
        <v>1</v>
      </c>
    </row>
    <row r="1180" spans="1:1" ht="11.75" customHeight="1">
      <c r="A1180" s="1990">
        <f>K51+D117+D114+M43+H70</f>
        <v>132765.64793897627</v>
      </c>
    </row>
    <row r="1181" spans="1:1" ht="11.75" customHeight="1">
      <c r="A1181" s="1989" t="b">
        <f>IF(D113="Gas",K51+D117+M43+H70)</f>
        <v>0</v>
      </c>
    </row>
    <row r="1182" spans="1:1" ht="11.75" customHeight="1">
      <c r="A1182" s="1989">
        <f>SUM(D44:D46)</f>
        <v>0</v>
      </c>
    </row>
    <row r="1183" spans="1:1" ht="11.75" customHeight="1">
      <c r="A1183" s="1990">
        <f>I44+I45</f>
        <v>0</v>
      </c>
    </row>
    <row r="1184" spans="1:1" ht="11.75" customHeight="1">
      <c r="A1184" s="1989">
        <f>H28*0.0373</f>
        <v>0</v>
      </c>
    </row>
    <row r="1185" spans="1:1" ht="11.75" customHeight="1">
      <c r="A1185" s="1989">
        <f>H30*36.72</f>
        <v>0</v>
      </c>
    </row>
    <row r="1186" spans="1:1" ht="11.75" customHeight="1">
      <c r="A1186" s="1990">
        <f>H27-D43</f>
        <v>132765.64793897627</v>
      </c>
    </row>
    <row r="1187" spans="1:1" ht="11.75" customHeight="1">
      <c r="A1187" s="1989" t="b">
        <f>D113="Electricity"</f>
        <v>0</v>
      </c>
    </row>
    <row r="1188" spans="1:1" ht="11.75" customHeight="1">
      <c r="A1188" s="1990">
        <f>I103+K51+D117+M121+I101+I102+M43+SUM(H65:H67)</f>
        <v>265287.6445956853</v>
      </c>
    </row>
    <row r="1189" spans="1:1" ht="11.75" customHeight="1">
      <c r="A1189" s="1990">
        <f>I103+K51+D117+M121+I101+I102+M43</f>
        <v>180897.30859568529</v>
      </c>
    </row>
    <row r="1190" spans="1:1" ht="11.75" customHeight="1">
      <c r="A1190" s="1990">
        <f>I103+K51+D117+M121+I101+I102</f>
        <v>180897.30859568529</v>
      </c>
    </row>
    <row r="1191" spans="1:1" ht="11.75" customHeight="1">
      <c r="A1191" s="1990">
        <f>I103+K51+D117+M121+I101</f>
        <v>164109.06314703665</v>
      </c>
    </row>
    <row r="1192" spans="1:1" ht="11.75" customHeight="1">
      <c r="A1192" s="1990">
        <f>I103+K51+D117+M121</f>
        <v>88005.3704468098</v>
      </c>
    </row>
    <row r="1193" spans="1:1" ht="11.75" customHeight="1">
      <c r="A1193" s="1990">
        <f>I103+K51+D117</f>
        <v>39024.570446809812</v>
      </c>
    </row>
    <row r="1194" spans="1:1" ht="11.75" customHeight="1">
      <c r="A1194" s="1990">
        <f>I103+K51</f>
        <v>36006.531012790423</v>
      </c>
    </row>
    <row r="1195" spans="1:1" ht="11.75" customHeight="1">
      <c r="A1195" s="1989">
        <f>1.21*G108*D20*24/1000*D101</f>
        <v>387079.06311359996</v>
      </c>
    </row>
    <row r="1196" spans="1:1" ht="11.75" customHeight="1">
      <c r="A1196" s="1989">
        <f>1.21*G108*D20*24/1000</f>
        <v>156.29328000000001</v>
      </c>
    </row>
    <row r="1197" spans="1:1" ht="11.75" customHeight="1">
      <c r="A1197" s="1989">
        <f>1.21*G108*D20*24</f>
        <v>156293.28</v>
      </c>
    </row>
    <row r="1198" spans="1:1" ht="11.75" customHeight="1">
      <c r="A1198" s="1989">
        <f>MATCH('NRL50-n-Factors'!D34,'NRL50-n-Factors'!C38:C49,0)</f>
        <v>5</v>
      </c>
    </row>
    <row r="1199" spans="1:1" ht="11.75" customHeight="1">
      <c r="A1199" s="1989">
        <f>MATCH(REPORT!D103,'NRL50-n-Factors'!D37:J37,0)</f>
        <v>2</v>
      </c>
    </row>
    <row r="1200" spans="1:1" ht="11.75" customHeight="1">
      <c r="A1200" s="1989" t="b">
        <f>D51="Gas"</f>
        <v>0</v>
      </c>
    </row>
    <row r="1201" spans="1:1" ht="11.75" customHeight="1">
      <c r="A1201" s="1989">
        <f>D$20*G101*24</f>
        <v>30728.853316304834</v>
      </c>
    </row>
    <row r="1202" spans="1:1" ht="11.75" customHeight="1">
      <c r="A1202" s="1989">
        <f>SUM(H65:H67)</f>
        <v>84390.33600000001</v>
      </c>
    </row>
    <row r="1203" spans="1:1" ht="11.75" customHeight="1">
      <c r="A1203" s="1989">
        <f>IF(D113="Heatpump",K51+D117+D114+M43+H70,IF(D113="Gas",K51+D117+M43+H70))</f>
        <v>132765.64793897627</v>
      </c>
    </row>
    <row r="1204" spans="1:1" ht="11.75" customHeight="1">
      <c r="A1204" s="1989" t="b">
        <f>D113="Heatpump"</f>
        <v>1</v>
      </c>
    </row>
    <row r="1205" spans="1:1" ht="11.75" customHeight="1">
      <c r="A1205" s="1990">
        <f>K51+D117+D114+M43+H70</f>
        <v>132765.64793897627</v>
      </c>
    </row>
    <row r="1206" spans="1:1" ht="11.75" customHeight="1">
      <c r="A1206" s="1989" t="b">
        <f>IF(D113="Gas",K51+D117+M43+H70)</f>
        <v>0</v>
      </c>
    </row>
    <row r="1207" spans="1:1" ht="11.75" customHeight="1">
      <c r="A1207" s="1989">
        <f>SUM(D44:D46)</f>
        <v>0</v>
      </c>
    </row>
    <row r="1208" spans="1:1" ht="11.75" customHeight="1">
      <c r="A1208" s="1990">
        <f>I44+I45</f>
        <v>0</v>
      </c>
    </row>
    <row r="1209" spans="1:1" ht="11.75" customHeight="1">
      <c r="A1209" s="1989">
        <f>H28*0.0373</f>
        <v>0</v>
      </c>
    </row>
    <row r="1210" spans="1:1" ht="11.75" customHeight="1">
      <c r="A1210" s="1989">
        <f>H30*36.72</f>
        <v>0</v>
      </c>
    </row>
    <row r="1211" spans="1:1" ht="11.75" customHeight="1">
      <c r="A1211" s="1990">
        <f>H27-D43</f>
        <v>132765.64793897627</v>
      </c>
    </row>
    <row r="1212" spans="1:1" ht="11.75" customHeight="1">
      <c r="A1212" s="1989" t="b">
        <f>D113="Electricity"</f>
        <v>0</v>
      </c>
    </row>
    <row r="1213" spans="1:1" ht="11.75" customHeight="1">
      <c r="A1213" s="1990">
        <f>I103+K51+D117+M121+I101+I102+M43+SUM(H65:H67)</f>
        <v>265287.6445956853</v>
      </c>
    </row>
    <row r="1214" spans="1:1" ht="11.75" customHeight="1">
      <c r="A1214" s="1990">
        <f>I103+K51+D117+M121+I101+I102+M43</f>
        <v>180897.30859568529</v>
      </c>
    </row>
    <row r="1215" spans="1:1" ht="11.75" customHeight="1">
      <c r="A1215" s="1990">
        <f>I103+K51+D117+M121+I101+I102</f>
        <v>180897.30859568529</v>
      </c>
    </row>
    <row r="1216" spans="1:1" ht="11.75" customHeight="1">
      <c r="A1216" s="1990">
        <f>I103+K51+D117+M121+I101</f>
        <v>164109.06314703665</v>
      </c>
    </row>
    <row r="1217" spans="1:1" ht="11.75" customHeight="1">
      <c r="A1217" s="1990">
        <f>I103+K51+D117+M121</f>
        <v>88005.3704468098</v>
      </c>
    </row>
    <row r="1218" spans="1:1" ht="11.75" customHeight="1">
      <c r="A1218" s="1990">
        <f>I103+K51+D117</f>
        <v>39024.570446809812</v>
      </c>
    </row>
    <row r="1219" spans="1:1" ht="11.75" customHeight="1">
      <c r="A1219" s="1990">
        <f>I103+K51</f>
        <v>36006.531012790423</v>
      </c>
    </row>
    <row r="1220" spans="1:1" ht="11.75" customHeight="1">
      <c r="A1220" s="1989">
        <f>1.21*G108*D20*24/1000*D101</f>
        <v>387079.06311359996</v>
      </c>
    </row>
    <row r="1221" spans="1:1" ht="11.75" customHeight="1">
      <c r="A1221" s="1989">
        <f>1.21*G108*D20*24/1000</f>
        <v>156.29328000000001</v>
      </c>
    </row>
    <row r="1222" spans="1:1" ht="11.75" customHeight="1">
      <c r="A1222" s="1989">
        <f>1.21*G108*D20*24</f>
        <v>156293.28</v>
      </c>
    </row>
    <row r="1223" spans="1:1" ht="11.75" customHeight="1">
      <c r="A1223" s="1989">
        <f>MATCH('NRL50-n-Factors'!D34,'NRL50-n-Factors'!C38:C49,0)</f>
        <v>5</v>
      </c>
    </row>
    <row r="1224" spans="1:1" ht="11.75" customHeight="1">
      <c r="A1224" s="1989">
        <f>MATCH(REPORT!D103,'NRL50-n-Factors'!D37:J37,0)</f>
        <v>2</v>
      </c>
    </row>
    <row r="1225" spans="1:1" ht="11.75" customHeight="1">
      <c r="A1225" s="1989" t="b">
        <f>D51="Gas"</f>
        <v>0</v>
      </c>
    </row>
    <row r="1226" spans="1:1" ht="11.75" customHeight="1">
      <c r="A1226" s="1989">
        <f>D$20*G101*24</f>
        <v>30728.853316304834</v>
      </c>
    </row>
    <row r="1227" spans="1:1" ht="11.75" customHeight="1">
      <c r="A1227" s="1989">
        <f>SUM(H65:H67)</f>
        <v>84390.33600000001</v>
      </c>
    </row>
    <row r="1228" spans="1:1" ht="11.75" customHeight="1">
      <c r="A1228" s="1989">
        <f>IF(D113="Heatpump",K51+D117+D114+M43+H70,IF(D113="Gas",K51+D117+M43+H70))</f>
        <v>132765.64793897627</v>
      </c>
    </row>
    <row r="1229" spans="1:1" ht="11.75" customHeight="1">
      <c r="A1229" s="1989" t="b">
        <f>D113="Heatpump"</f>
        <v>1</v>
      </c>
    </row>
    <row r="1230" spans="1:1" ht="11.75" customHeight="1">
      <c r="A1230" s="1990">
        <f>K51+D117+D114+M43+H70</f>
        <v>132765.64793897627</v>
      </c>
    </row>
    <row r="1231" spans="1:1" ht="11.75" customHeight="1">
      <c r="A1231" s="1989" t="b">
        <f>IF(D113="Gas",K51+D117+M43+H70)</f>
        <v>0</v>
      </c>
    </row>
    <row r="1232" spans="1:1" ht="11.75" customHeight="1">
      <c r="A1232" s="1989">
        <f>SUM(D44:D46)</f>
        <v>0</v>
      </c>
    </row>
    <row r="1233" spans="1:1" ht="11.75" customHeight="1">
      <c r="A1233" s="1990">
        <f>I44+I45</f>
        <v>0</v>
      </c>
    </row>
    <row r="1234" spans="1:1" ht="11.75" customHeight="1">
      <c r="A1234" s="1989">
        <f>H28*0.0373</f>
        <v>0</v>
      </c>
    </row>
    <row r="1235" spans="1:1" ht="11.75" customHeight="1">
      <c r="A1235" s="1989">
        <f>H30*36.72</f>
        <v>0</v>
      </c>
    </row>
    <row r="1236" spans="1:1" ht="11.75" customHeight="1">
      <c r="A1236" s="1990">
        <f>H27-D43</f>
        <v>132765.64793897627</v>
      </c>
    </row>
    <row r="1237" spans="1:1" ht="11.75" customHeight="1">
      <c r="A1237" s="1989" t="b">
        <f>D113="Electricity"</f>
        <v>0</v>
      </c>
    </row>
    <row r="1238" spans="1:1" ht="11.75" customHeight="1">
      <c r="A1238" s="1990">
        <f>I103+K51+D117+M121+I101+I102+M43+SUM(H65:H67)</f>
        <v>265287.6445956853</v>
      </c>
    </row>
    <row r="1239" spans="1:1" ht="11.75" customHeight="1">
      <c r="A1239" s="1990">
        <f>I103+K51+D117+M121+I101+I102+M43</f>
        <v>180897.30859568529</v>
      </c>
    </row>
    <row r="1240" spans="1:1" ht="11.75" customHeight="1">
      <c r="A1240" s="1990">
        <f>I103+K51+D117+M121+I101+I102</f>
        <v>180897.30859568529</v>
      </c>
    </row>
    <row r="1241" spans="1:1" ht="11.75" customHeight="1">
      <c r="A1241" s="1990">
        <f>I103+K51+D117+M121+I101</f>
        <v>164109.06314703665</v>
      </c>
    </row>
    <row r="1242" spans="1:1" ht="11.75" customHeight="1">
      <c r="A1242" s="1990">
        <f>I103+K51+D117+M121</f>
        <v>88005.3704468098</v>
      </c>
    </row>
    <row r="1243" spans="1:1" ht="11.75" customHeight="1">
      <c r="A1243" s="1990">
        <f>I103+K51+D117</f>
        <v>39024.570446809812</v>
      </c>
    </row>
    <row r="1244" spans="1:1" ht="11.75" customHeight="1">
      <c r="A1244" s="1990">
        <f>I103+K51</f>
        <v>36006.531012790423</v>
      </c>
    </row>
    <row r="1245" spans="1:1" ht="11.75" customHeight="1">
      <c r="A1245" s="1989">
        <f>1.21*G108*D20*24/1000*D101</f>
        <v>387079.06311359996</v>
      </c>
    </row>
    <row r="1246" spans="1:1" ht="11.75" customHeight="1">
      <c r="A1246" s="1989">
        <f>1.21*G108*D20*24/1000</f>
        <v>156.29328000000001</v>
      </c>
    </row>
    <row r="1247" spans="1:1" ht="11.75" customHeight="1">
      <c r="A1247" s="1989">
        <f>1.21*G108*D20*24</f>
        <v>156293.28</v>
      </c>
    </row>
    <row r="1248" spans="1:1" ht="11.75" customHeight="1">
      <c r="A1248" s="1989">
        <f>MATCH('NRL50-n-Factors'!D34,'NRL50-n-Factors'!C38:C49,0)</f>
        <v>5</v>
      </c>
    </row>
    <row r="1249" spans="1:1" ht="11.75" customHeight="1">
      <c r="A1249" s="1989">
        <f>MATCH(REPORT!D103,'NRL50-n-Factors'!D37:J37,0)</f>
        <v>2</v>
      </c>
    </row>
    <row r="1250" spans="1:1" ht="11.75" customHeight="1">
      <c r="A1250" s="1989" t="b">
        <f>D51="Gas"</f>
        <v>0</v>
      </c>
    </row>
    <row r="1251" spans="1:1" ht="11.75" customHeight="1">
      <c r="A1251" s="1989">
        <f>D$20*G101*24</f>
        <v>30728.853316304834</v>
      </c>
    </row>
    <row r="1252" spans="1:1" ht="11.75" customHeight="1">
      <c r="A1252" s="1989">
        <f>SUM(H65:H67)</f>
        <v>84390.33600000001</v>
      </c>
    </row>
    <row r="1253" spans="1:1" ht="11.75" customHeight="1">
      <c r="A1253" s="1989">
        <f>IF(D113="Heatpump",K51+D117+D114+M43+H70,IF(D113="Gas",K51+D117+M43+H70))</f>
        <v>132765.64793897627</v>
      </c>
    </row>
    <row r="1254" spans="1:1" ht="11.75" customHeight="1">
      <c r="A1254" s="1989" t="b">
        <f>D113="Heatpump"</f>
        <v>1</v>
      </c>
    </row>
    <row r="1255" spans="1:1" ht="11.75" customHeight="1">
      <c r="A1255" s="1990">
        <f>K51+D117+D114+M43+H70</f>
        <v>132765.64793897627</v>
      </c>
    </row>
    <row r="1256" spans="1:1" ht="11.75" customHeight="1">
      <c r="A1256" s="1989" t="b">
        <f>IF(D113="Gas",K51+D117+M43+H70)</f>
        <v>0</v>
      </c>
    </row>
    <row r="1257" spans="1:1" ht="11.75" customHeight="1">
      <c r="A1257" s="1989">
        <f>SUM(D44:D46)</f>
        <v>0</v>
      </c>
    </row>
    <row r="1258" spans="1:1" ht="11.75" customHeight="1">
      <c r="A1258" s="1990">
        <f>I44+I45</f>
        <v>0</v>
      </c>
    </row>
    <row r="1259" spans="1:1" ht="11.75" customHeight="1">
      <c r="A1259" s="1989">
        <f>H28*0.0373</f>
        <v>0</v>
      </c>
    </row>
    <row r="1260" spans="1:1" ht="11.75" customHeight="1">
      <c r="A1260" s="1989">
        <f>H30*36.72</f>
        <v>0</v>
      </c>
    </row>
    <row r="1261" spans="1:1" ht="11.75" customHeight="1">
      <c r="A1261" s="1990">
        <f>H27-D43</f>
        <v>132765.64793897627</v>
      </c>
    </row>
    <row r="1262" spans="1:1" ht="11.75" customHeight="1">
      <c r="A1262" s="1989" t="b">
        <f>D113="Electricity"</f>
        <v>0</v>
      </c>
    </row>
    <row r="1263" spans="1:1" ht="11.75" customHeight="1">
      <c r="A1263" s="1990">
        <f>I103+K51+D117+M121+I101+I102+M43+SUM(H65:H67)</f>
        <v>265287.6445956853</v>
      </c>
    </row>
    <row r="1264" spans="1:1" ht="11.75" customHeight="1">
      <c r="A1264" s="1990">
        <f>I103+K51+D117+M121+I101+I102+M43</f>
        <v>180897.30859568529</v>
      </c>
    </row>
    <row r="1265" spans="1:1" ht="11.75" customHeight="1">
      <c r="A1265" s="1990">
        <f>I103+K51+D117+M121+I101+I102</f>
        <v>180897.30859568529</v>
      </c>
    </row>
    <row r="1266" spans="1:1" ht="11.75" customHeight="1">
      <c r="A1266" s="1990">
        <f>I103+K51+D117+M121+I101</f>
        <v>164109.06314703665</v>
      </c>
    </row>
    <row r="1267" spans="1:1" ht="11.75" customHeight="1">
      <c r="A1267" s="1990">
        <f>I103+K51+D117+M121</f>
        <v>88005.3704468098</v>
      </c>
    </row>
    <row r="1268" spans="1:1" ht="11.75" customHeight="1">
      <c r="A1268" s="1990">
        <f>I103+K51+D117</f>
        <v>39024.570446809812</v>
      </c>
    </row>
    <row r="1269" spans="1:1" ht="11.75" customHeight="1">
      <c r="A1269" s="1990">
        <f>I103+K51</f>
        <v>36006.531012790423</v>
      </c>
    </row>
    <row r="1270" spans="1:1" ht="11.75" customHeight="1">
      <c r="A1270" s="1989">
        <f>1.21*G108*D20*24/1000*D101</f>
        <v>387079.06311359996</v>
      </c>
    </row>
    <row r="1271" spans="1:1" ht="11.75" customHeight="1">
      <c r="A1271" s="1989">
        <f>1.21*G108*D20*24/1000</f>
        <v>156.29328000000001</v>
      </c>
    </row>
    <row r="1272" spans="1:1" ht="11.75" customHeight="1">
      <c r="A1272" s="1989">
        <f>1.21*G108*D20*24</f>
        <v>156293.28</v>
      </c>
    </row>
    <row r="1273" spans="1:1" ht="11.75" customHeight="1">
      <c r="A1273" s="1989">
        <f>MATCH('NRL50-n-Factors'!D34,'NRL50-n-Factors'!C38:C49,0)</f>
        <v>5</v>
      </c>
    </row>
    <row r="1274" spans="1:1" ht="11.75" customHeight="1">
      <c r="A1274" s="1989">
        <f>MATCH(REPORT!D103,'NRL50-n-Factors'!D37:J37,0)</f>
        <v>2</v>
      </c>
    </row>
    <row r="1275" spans="1:1" ht="11.75" customHeight="1">
      <c r="A1275" s="1989" t="b">
        <f>D51="Gas"</f>
        <v>0</v>
      </c>
    </row>
    <row r="1276" spans="1:1" ht="11.75" customHeight="1">
      <c r="A1276" s="1989">
        <f>D$20*G101*24</f>
        <v>30728.853316304834</v>
      </c>
    </row>
    <row r="1277" spans="1:1" ht="11.75" customHeight="1">
      <c r="A1277" s="1989">
        <f>SUM(H65:H67)</f>
        <v>84390.33600000001</v>
      </c>
    </row>
    <row r="1278" spans="1:1" ht="11.75" customHeight="1">
      <c r="A1278" s="1989">
        <f>IF(D113="Heatpump",K51+D117+D114+M43+H70,IF(D113="Gas",K51+D117+M43+H70))</f>
        <v>132765.64793897627</v>
      </c>
    </row>
    <row r="1279" spans="1:1" ht="11.75" customHeight="1">
      <c r="A1279" s="1989" t="b">
        <f>D113="Heatpump"</f>
        <v>1</v>
      </c>
    </row>
    <row r="1280" spans="1:1" ht="11.75" customHeight="1">
      <c r="A1280" s="1990">
        <f>K51+D117+D114+M43+H70</f>
        <v>132765.64793897627</v>
      </c>
    </row>
    <row r="1281" spans="1:1" ht="11.75" customHeight="1">
      <c r="A1281" s="1989" t="b">
        <f>IF(D113="Gas",K51+D117+M43+H70)</f>
        <v>0</v>
      </c>
    </row>
    <row r="1282" spans="1:1" ht="11.75" customHeight="1">
      <c r="A1282" s="1989">
        <f>SUM(D44:D46)</f>
        <v>0</v>
      </c>
    </row>
    <row r="1283" spans="1:1" ht="11.75" customHeight="1">
      <c r="A1283" s="1990">
        <f>I44+I45</f>
        <v>0</v>
      </c>
    </row>
    <row r="1284" spans="1:1" ht="11.75" customHeight="1">
      <c r="A1284" s="1989">
        <f>H28*0.0373</f>
        <v>0</v>
      </c>
    </row>
    <row r="1285" spans="1:1" ht="11.75" customHeight="1">
      <c r="A1285" s="1989">
        <f>H30*36.72</f>
        <v>0</v>
      </c>
    </row>
    <row r="1286" spans="1:1" ht="11.75" customHeight="1">
      <c r="A1286" s="1990">
        <f>H27-D43</f>
        <v>132765.64793897627</v>
      </c>
    </row>
    <row r="1287" spans="1:1" ht="11.75" customHeight="1">
      <c r="A1287" s="1989" t="b">
        <f>D113="Electricity"</f>
        <v>0</v>
      </c>
    </row>
    <row r="1288" spans="1:1" ht="11.75" customHeight="1">
      <c r="A1288" s="1990">
        <f>I103+K51+D117+M121+I101+I102+M43+SUM(H65:H67)</f>
        <v>265287.6445956853</v>
      </c>
    </row>
    <row r="1289" spans="1:1" ht="11.75" customHeight="1">
      <c r="A1289" s="1990">
        <f>I103+K51+D117+M121+I101+I102+M43</f>
        <v>180897.30859568529</v>
      </c>
    </row>
    <row r="1290" spans="1:1" ht="11.75" customHeight="1">
      <c r="A1290" s="1990">
        <f>I103+K51+D117+M121+I101+I102</f>
        <v>180897.30859568529</v>
      </c>
    </row>
    <row r="1291" spans="1:1" ht="11.75" customHeight="1">
      <c r="A1291" s="1990">
        <f>I103+K51+D117+M121+I101</f>
        <v>164109.06314703665</v>
      </c>
    </row>
    <row r="1292" spans="1:1" ht="11.75" customHeight="1">
      <c r="A1292" s="1990">
        <f>I103+K51+D117+M121</f>
        <v>88005.3704468098</v>
      </c>
    </row>
    <row r="1293" spans="1:1" ht="11.75" customHeight="1">
      <c r="A1293" s="1990">
        <f>I103+K51+D117</f>
        <v>39024.570446809812</v>
      </c>
    </row>
    <row r="1294" spans="1:1" ht="11.75" customHeight="1">
      <c r="A1294" s="1990">
        <f>I103+K51</f>
        <v>36006.531012790423</v>
      </c>
    </row>
    <row r="1295" spans="1:1" ht="11.75" customHeight="1">
      <c r="A1295" s="1989">
        <f>1.21*G108*D20*24/1000*D101</f>
        <v>387079.06311359996</v>
      </c>
    </row>
    <row r="1296" spans="1:1" ht="11.75" customHeight="1">
      <c r="A1296" s="1989">
        <f>1.21*G108*D20*24/1000</f>
        <v>156.29328000000001</v>
      </c>
    </row>
    <row r="1297" spans="1:1" ht="11.75" customHeight="1">
      <c r="A1297" s="1989">
        <f>1.21*G108*D20*24</f>
        <v>156293.28</v>
      </c>
    </row>
    <row r="1298" spans="1:1" ht="11.75" customHeight="1">
      <c r="A1298" s="1989">
        <f>MATCH('NRL50-n-Factors'!D34,'NRL50-n-Factors'!C38:C49,0)</f>
        <v>5</v>
      </c>
    </row>
    <row r="1299" spans="1:1" ht="11.75" customHeight="1">
      <c r="A1299" s="1989">
        <f>MATCH(REPORT!D103,'NRL50-n-Factors'!D37:J37,0)</f>
        <v>2</v>
      </c>
    </row>
    <row r="1300" spans="1:1" ht="11.75" customHeight="1">
      <c r="A1300" s="1989" t="b">
        <f>D51="Gas"</f>
        <v>0</v>
      </c>
    </row>
    <row r="1301" spans="1:1" ht="11.75" customHeight="1">
      <c r="A1301" s="1989">
        <f>D$20*G101*24</f>
        <v>30728.853316304834</v>
      </c>
    </row>
    <row r="1302" spans="1:1" ht="11.75" customHeight="1">
      <c r="A1302" s="1989">
        <f>SUM(H65:H67)</f>
        <v>84390.33600000001</v>
      </c>
    </row>
    <row r="1303" spans="1:1" ht="11.75" customHeight="1">
      <c r="A1303" s="1989">
        <f>IF(D113="Heatpump",K51+D117+D114+M43+H70,IF(D113="Gas",K51+D117+M43+H70))</f>
        <v>132765.64793897627</v>
      </c>
    </row>
    <row r="1304" spans="1:1" ht="11.75" customHeight="1">
      <c r="A1304" s="1989" t="b">
        <f>D113="Heatpump"</f>
        <v>1</v>
      </c>
    </row>
    <row r="1305" spans="1:1" ht="11.75" customHeight="1">
      <c r="A1305" s="1990">
        <f>K51+D117+D114+M43+H70</f>
        <v>132765.64793897627</v>
      </c>
    </row>
    <row r="1306" spans="1:1" ht="11.75" customHeight="1">
      <c r="A1306" s="1989" t="b">
        <f>IF(D113="Gas",K51+D117+M43+H70)</f>
        <v>0</v>
      </c>
    </row>
    <row r="1307" spans="1:1" ht="11.75" customHeight="1">
      <c r="A1307" s="1989">
        <f>SUM(D44:D46)</f>
        <v>0</v>
      </c>
    </row>
    <row r="1308" spans="1:1" ht="11.75" customHeight="1">
      <c r="A1308" s="1990">
        <f>I44+I45</f>
        <v>0</v>
      </c>
    </row>
    <row r="1309" spans="1:1" ht="11.75" customHeight="1">
      <c r="A1309" s="1989">
        <f>H28*0.0373</f>
        <v>0</v>
      </c>
    </row>
    <row r="1310" spans="1:1" ht="11.75" customHeight="1">
      <c r="A1310" s="1989">
        <f>H30*36.72</f>
        <v>0</v>
      </c>
    </row>
    <row r="1311" spans="1:1" ht="11.75" customHeight="1">
      <c r="A1311" s="1990">
        <f>H27-D43</f>
        <v>132765.64793897627</v>
      </c>
    </row>
    <row r="1312" spans="1:1" ht="11.75" customHeight="1">
      <c r="A1312" s="1989" t="b">
        <f>D113="Electricity"</f>
        <v>0</v>
      </c>
    </row>
    <row r="1313" spans="1:1" ht="11.75" customHeight="1">
      <c r="A1313" s="1990">
        <f>I103+K51+D117+M121+I101+I102+M43+SUM(H65:H67)</f>
        <v>265287.6445956853</v>
      </c>
    </row>
    <row r="1314" spans="1:1" ht="11.75" customHeight="1">
      <c r="A1314" s="1990">
        <f>I103+K51+D117+M121+I101+I102+M43</f>
        <v>180897.30859568529</v>
      </c>
    </row>
    <row r="1315" spans="1:1" ht="11.75" customHeight="1">
      <c r="A1315" s="1990">
        <f>I103+K51+D117+M121+I101+I102</f>
        <v>180897.30859568529</v>
      </c>
    </row>
    <row r="1316" spans="1:1" ht="11.75" customHeight="1">
      <c r="A1316" s="1990">
        <f>I103+K51+D117+M121+I101</f>
        <v>164109.06314703665</v>
      </c>
    </row>
    <row r="1317" spans="1:1" ht="11.75" customHeight="1">
      <c r="A1317" s="1990">
        <f>I103+K51+D117+M121</f>
        <v>88005.3704468098</v>
      </c>
    </row>
    <row r="1318" spans="1:1" ht="11.75" customHeight="1">
      <c r="A1318" s="1990">
        <f>I103+K51+D117</f>
        <v>39024.570446809812</v>
      </c>
    </row>
    <row r="1319" spans="1:1" ht="11.75" customHeight="1">
      <c r="A1319" s="1990">
        <f>I103+K51</f>
        <v>36006.531012790423</v>
      </c>
    </row>
    <row r="1320" spans="1:1" ht="11.75" customHeight="1">
      <c r="A1320" s="1989">
        <f>1.21*G108*D20*24/1000*D101</f>
        <v>387079.06311359996</v>
      </c>
    </row>
    <row r="1321" spans="1:1" ht="11.75" customHeight="1">
      <c r="A1321" s="1989">
        <f>1.21*G108*D20*24/1000</f>
        <v>156.29328000000001</v>
      </c>
    </row>
    <row r="1322" spans="1:1" ht="11.75" customHeight="1">
      <c r="A1322" s="1989">
        <f>1.21*G108*D20*24</f>
        <v>156293.28</v>
      </c>
    </row>
    <row r="1323" spans="1:1" ht="11.75" customHeight="1">
      <c r="A1323" s="1989">
        <f>MATCH('NRL50-n-Factors'!D34,'NRL50-n-Factors'!C38:C49,0)</f>
        <v>5</v>
      </c>
    </row>
    <row r="1324" spans="1:1" ht="11.75" customHeight="1">
      <c r="A1324" s="1989">
        <f>MATCH(REPORT!D103,'NRL50-n-Factors'!D37:J37,0)</f>
        <v>2</v>
      </c>
    </row>
    <row r="1325" spans="1:1" ht="11.75" customHeight="1">
      <c r="A1325" s="1989" t="b">
        <f>D51="Gas"</f>
        <v>0</v>
      </c>
    </row>
    <row r="1326" spans="1:1" ht="11.75" customHeight="1">
      <c r="A1326" s="1989">
        <f>D$20*G101*24</f>
        <v>30728.853316304834</v>
      </c>
    </row>
    <row r="1327" spans="1:1" ht="11.75" customHeight="1">
      <c r="A1327" s="1989">
        <f>SUM(H65:H67)</f>
        <v>84390.33600000001</v>
      </c>
    </row>
    <row r="1328" spans="1:1" ht="11.75" customHeight="1">
      <c r="A1328" s="1989">
        <f>IF(D113="Heatpump",K51+D117+D114+M43+H70,IF(D113="Gas",K51+D117+M43+H70))</f>
        <v>132765.64793897627</v>
      </c>
    </row>
    <row r="1329" spans="1:1" ht="11.75" customHeight="1">
      <c r="A1329" s="1989" t="b">
        <f>D113="Heatpump"</f>
        <v>1</v>
      </c>
    </row>
    <row r="1330" spans="1:1" ht="11.75" customHeight="1">
      <c r="A1330" s="1990">
        <f>K51+D117+D114+M43+H70</f>
        <v>132765.64793897627</v>
      </c>
    </row>
    <row r="1331" spans="1:1" ht="11.75" customHeight="1">
      <c r="A1331" s="1989" t="b">
        <f>IF(D113="Gas",K51+D117+M43+H70)</f>
        <v>0</v>
      </c>
    </row>
    <row r="1332" spans="1:1" ht="11.75" customHeight="1">
      <c r="A1332" s="1989">
        <f>SUM(D44:D46)</f>
        <v>0</v>
      </c>
    </row>
    <row r="1333" spans="1:1" ht="11.75" customHeight="1">
      <c r="A1333" s="1990">
        <f>I44+I45</f>
        <v>0</v>
      </c>
    </row>
    <row r="1334" spans="1:1" ht="11.75" customHeight="1">
      <c r="A1334" s="1989">
        <f>H28*0.0373</f>
        <v>0</v>
      </c>
    </row>
    <row r="1335" spans="1:1" ht="11.75" customHeight="1">
      <c r="A1335" s="1989">
        <f>H30*36.72</f>
        <v>0</v>
      </c>
    </row>
    <row r="1336" spans="1:1" ht="11.75" customHeight="1">
      <c r="A1336" s="1990">
        <f>H27-D43</f>
        <v>132765.64793897627</v>
      </c>
    </row>
    <row r="1337" spans="1:1" ht="11.75" customHeight="1">
      <c r="A1337" s="1989" t="b">
        <f>D113="Electricity"</f>
        <v>0</v>
      </c>
    </row>
    <row r="1338" spans="1:1" ht="11.75" customHeight="1">
      <c r="A1338" s="1990">
        <f>I103+K51+D117+M121+I101+I102+M43+SUM(H65:H67)</f>
        <v>265287.6445956853</v>
      </c>
    </row>
    <row r="1339" spans="1:1" ht="11.75" customHeight="1">
      <c r="A1339" s="1990">
        <f>I103+K51+D117+M121+I101+I102+M43</f>
        <v>180897.30859568529</v>
      </c>
    </row>
    <row r="1340" spans="1:1" ht="11.75" customHeight="1">
      <c r="A1340" s="1990">
        <f>I103+K51+D117+M121+I101+I102</f>
        <v>180897.30859568529</v>
      </c>
    </row>
    <row r="1341" spans="1:1" ht="11.75" customHeight="1">
      <c r="A1341" s="1990">
        <f>I103+K51+D117+M121+I101</f>
        <v>164109.06314703665</v>
      </c>
    </row>
    <row r="1342" spans="1:1" ht="11.75" customHeight="1">
      <c r="A1342" s="1990">
        <f>I103+K51+D117+M121</f>
        <v>88005.3704468098</v>
      </c>
    </row>
    <row r="1343" spans="1:1" ht="11.75" customHeight="1">
      <c r="A1343" s="1990">
        <f>I103+K51+D117</f>
        <v>39024.570446809812</v>
      </c>
    </row>
    <row r="1344" spans="1:1" ht="11.75" customHeight="1">
      <c r="A1344" s="1990">
        <f>I103+K51</f>
        <v>36006.531012790423</v>
      </c>
    </row>
    <row r="1345" spans="1:1" ht="11.75" customHeight="1">
      <c r="A1345" s="1989">
        <f>1.21*G108*D20*24/1000*D101</f>
        <v>387079.06311359996</v>
      </c>
    </row>
    <row r="1346" spans="1:1" ht="11.75" customHeight="1">
      <c r="A1346" s="1989">
        <f>1.21*G108*D20*24/1000</f>
        <v>156.29328000000001</v>
      </c>
    </row>
    <row r="1347" spans="1:1" ht="11.75" customHeight="1">
      <c r="A1347" s="1989">
        <f>1.21*G108*D20*24</f>
        <v>156293.28</v>
      </c>
    </row>
    <row r="1348" spans="1:1" ht="11.75" customHeight="1">
      <c r="A1348" s="1989">
        <f>MATCH('NRL50-n-Factors'!D34,'NRL50-n-Factors'!C38:C49,0)</f>
        <v>5</v>
      </c>
    </row>
    <row r="1349" spans="1:1" ht="11.75" customHeight="1">
      <c r="A1349" s="1989">
        <f>MATCH(REPORT!D103,'NRL50-n-Factors'!D37:J37,0)</f>
        <v>2</v>
      </c>
    </row>
    <row r="1350" spans="1:1" ht="11.75" customHeight="1">
      <c r="A1350" s="1989" t="b">
        <f>D51="Gas"</f>
        <v>0</v>
      </c>
    </row>
    <row r="1351" spans="1:1" ht="11.75" customHeight="1">
      <c r="A1351" s="1989">
        <f>D$20*G101*24</f>
        <v>30728.853316304834</v>
      </c>
    </row>
    <row r="1352" spans="1:1" ht="11.75" customHeight="1">
      <c r="A1352" s="1989">
        <f>SUM(H65:H67)</f>
        <v>84390.33600000001</v>
      </c>
    </row>
    <row r="1353" spans="1:1" ht="11.75" customHeight="1">
      <c r="A1353" s="1989">
        <f>IF(D113="Heatpump",K51+D117+D114+M43+H70,IF(D113="Gas",K51+D117+M43+H70))</f>
        <v>132765.64793897627</v>
      </c>
    </row>
    <row r="1354" spans="1:1" ht="11.75" customHeight="1">
      <c r="A1354" s="1989" t="b">
        <f>D113="Heatpump"</f>
        <v>1</v>
      </c>
    </row>
    <row r="1355" spans="1:1" ht="11.75" customHeight="1">
      <c r="A1355" s="1990">
        <f>K51+D117+D114+M43+H70</f>
        <v>132765.64793897627</v>
      </c>
    </row>
    <row r="1356" spans="1:1" ht="11.75" customHeight="1">
      <c r="A1356" s="1989" t="b">
        <f>IF(D113="Gas",K51+D117+M43+H70)</f>
        <v>0</v>
      </c>
    </row>
    <row r="1357" spans="1:1" ht="11.75" customHeight="1">
      <c r="A1357" s="1989">
        <f>SUM(D44:D46)</f>
        <v>0</v>
      </c>
    </row>
    <row r="1358" spans="1:1" ht="11.75" customHeight="1">
      <c r="A1358" s="1990">
        <f>I44+I45</f>
        <v>0</v>
      </c>
    </row>
    <row r="1359" spans="1:1" ht="11.75" customHeight="1">
      <c r="A1359" s="1989">
        <f>H28*0.0373</f>
        <v>0</v>
      </c>
    </row>
    <row r="1360" spans="1:1" ht="11.75" customHeight="1">
      <c r="A1360" s="1989">
        <f>H30*36.72</f>
        <v>0</v>
      </c>
    </row>
    <row r="1361" spans="1:1" ht="11.75" customHeight="1">
      <c r="A1361" s="1990">
        <f>H27-D43</f>
        <v>132765.64793897627</v>
      </c>
    </row>
    <row r="1362" spans="1:1" ht="11.75" customHeight="1">
      <c r="A1362" s="1989" t="b">
        <f>D113="Electricity"</f>
        <v>0</v>
      </c>
    </row>
    <row r="1363" spans="1:1" ht="11.75" customHeight="1">
      <c r="A1363" s="1990">
        <f>I103+K51+D117+M121+I101+I102+M43+SUM(H65:H67)</f>
        <v>265287.6445956853</v>
      </c>
    </row>
    <row r="1364" spans="1:1" ht="11.75" customHeight="1">
      <c r="A1364" s="1990">
        <f>I103+K51+D117+M121+I101+I102+M43</f>
        <v>180897.30859568529</v>
      </c>
    </row>
    <row r="1365" spans="1:1" ht="11.75" customHeight="1">
      <c r="A1365" s="1990">
        <f>I103+K51+D117+M121+I101+I102</f>
        <v>180897.30859568529</v>
      </c>
    </row>
    <row r="1366" spans="1:1" ht="11.75" customHeight="1">
      <c r="A1366" s="1990">
        <f>I103+K51+D117+M121+I101</f>
        <v>164109.06314703665</v>
      </c>
    </row>
    <row r="1367" spans="1:1" ht="11.75" customHeight="1">
      <c r="A1367" s="1990">
        <f>I103+K51+D117+M121</f>
        <v>88005.3704468098</v>
      </c>
    </row>
    <row r="1368" spans="1:1" ht="11.75" customHeight="1">
      <c r="A1368" s="1990">
        <f>I103+K51+D117</f>
        <v>39024.570446809812</v>
      </c>
    </row>
    <row r="1369" spans="1:1" ht="11.75" customHeight="1">
      <c r="A1369" s="1990">
        <f>I103+K51</f>
        <v>36006.531012790423</v>
      </c>
    </row>
    <row r="1370" spans="1:1" ht="11.75" customHeight="1">
      <c r="A1370" s="1989">
        <f>1.21*G108*D20*24/1000*D101</f>
        <v>387079.06311359996</v>
      </c>
    </row>
    <row r="1371" spans="1:1" ht="11.75" customHeight="1">
      <c r="A1371" s="1989">
        <f>1.21*G108*D20*24/1000</f>
        <v>156.29328000000001</v>
      </c>
    </row>
    <row r="1372" spans="1:1" ht="11.75" customHeight="1">
      <c r="A1372" s="1989">
        <f>1.21*G108*D20*24</f>
        <v>156293.28</v>
      </c>
    </row>
    <row r="1373" spans="1:1" ht="11.75" customHeight="1">
      <c r="A1373" s="1989">
        <f>1.21*G108*D20</f>
        <v>6512.22</v>
      </c>
    </row>
    <row r="1374" spans="1:1" ht="11.75" customHeight="1">
      <c r="A1374" s="1989">
        <f>MATCH('NRL50-n-Factors'!D34,'NRL50-n-Factors'!C38:C49,0)</f>
        <v>5</v>
      </c>
    </row>
    <row r="1375" spans="1:1" ht="11.75" customHeight="1">
      <c r="A1375" s="1989">
        <f>MATCH(REPORT!D103,'NRL50-n-Factors'!D37:J37,0)</f>
        <v>2</v>
      </c>
    </row>
    <row r="1376" spans="1:1" ht="11.75" customHeight="1">
      <c r="A1376" s="1989" t="b">
        <f>D51="Gas"</f>
        <v>0</v>
      </c>
    </row>
    <row r="1377" spans="1:1" ht="11.75" customHeight="1">
      <c r="A1377" s="1989">
        <f>D$20*G101*24</f>
        <v>30728.853316304834</v>
      </c>
    </row>
    <row r="1378" spans="1:1" ht="11.75" customHeight="1">
      <c r="A1378" s="1989">
        <f>SUM(H65:H67)</f>
        <v>84390.33600000001</v>
      </c>
    </row>
    <row r="1379" spans="1:1" ht="11.75" customHeight="1">
      <c r="A1379" s="1989">
        <f>IF(D113="Heatpump",K51+D117+D114+M43+H70,IF(D113="Gas",K51+D117+M43+H70))</f>
        <v>132765.64793897627</v>
      </c>
    </row>
    <row r="1380" spans="1:1" ht="11.75" customHeight="1">
      <c r="A1380" s="1989" t="b">
        <f>D113="Heatpump"</f>
        <v>1</v>
      </c>
    </row>
    <row r="1381" spans="1:1" ht="11.75" customHeight="1">
      <c r="A1381" s="1990">
        <f>K51+D117+D114+M43+H70</f>
        <v>132765.64793897627</v>
      </c>
    </row>
    <row r="1382" spans="1:1" ht="11.75" customHeight="1">
      <c r="A1382" s="1989" t="b">
        <f>IF(D113="Gas",K51+D117+M43+H70)</f>
        <v>0</v>
      </c>
    </row>
    <row r="1383" spans="1:1" ht="11.75" customHeight="1">
      <c r="A1383" s="1989">
        <f>SUM(D44:D46)</f>
        <v>0</v>
      </c>
    </row>
    <row r="1384" spans="1:1" ht="11.75" customHeight="1">
      <c r="A1384" s="1990">
        <f>I44+I45</f>
        <v>0</v>
      </c>
    </row>
    <row r="1385" spans="1:1" ht="11.75" customHeight="1">
      <c r="A1385" s="1989">
        <f>H28*0.0373</f>
        <v>0</v>
      </c>
    </row>
    <row r="1386" spans="1:1" ht="11.75" customHeight="1">
      <c r="A1386" s="1989">
        <f>H30*36.72</f>
        <v>0</v>
      </c>
    </row>
    <row r="1387" spans="1:1" ht="11.75" customHeight="1">
      <c r="A1387" s="1990">
        <f>H27-D43</f>
        <v>132765.64793897627</v>
      </c>
    </row>
    <row r="1388" spans="1:1" ht="11.75" customHeight="1">
      <c r="A1388" s="1989" t="b">
        <f>D113="Electricity"</f>
        <v>0</v>
      </c>
    </row>
    <row r="1389" spans="1:1" ht="11.75" customHeight="1">
      <c r="A1389" s="1990">
        <f>I103+K51+D117+M121+I101+I102+M43+SUM(H65:H67)</f>
        <v>265287.6445956853</v>
      </c>
    </row>
    <row r="1390" spans="1:1" ht="11.75" customHeight="1">
      <c r="A1390" s="1990">
        <f>I103+K51+D117+M121+I101+I102+M43</f>
        <v>180897.30859568529</v>
      </c>
    </row>
    <row r="1391" spans="1:1" ht="11.75" customHeight="1">
      <c r="A1391" s="1990">
        <f>I103+K51+D117+M121+I101+I102</f>
        <v>180897.30859568529</v>
      </c>
    </row>
    <row r="1392" spans="1:1" ht="11.75" customHeight="1">
      <c r="A1392" s="1990">
        <f>I103+K51+D117+M121+I101</f>
        <v>164109.06314703665</v>
      </c>
    </row>
    <row r="1393" spans="1:1" ht="11.75" customHeight="1">
      <c r="A1393" s="1990">
        <f>I103+K51+D117+M121</f>
        <v>88005.3704468098</v>
      </c>
    </row>
    <row r="1394" spans="1:1" ht="11.75" customHeight="1">
      <c r="A1394" s="1990">
        <f>I103+K51+D117</f>
        <v>39024.570446809812</v>
      </c>
    </row>
    <row r="1395" spans="1:1" ht="11.75" customHeight="1">
      <c r="A1395" s="1990">
        <f>I103+K51</f>
        <v>36006.531012790423</v>
      </c>
    </row>
    <row r="1396" spans="1:1" ht="11.75" customHeight="1">
      <c r="A1396" s="1989">
        <f>1.21*G108*D20*24/1000*D101</f>
        <v>387079.06311359996</v>
      </c>
    </row>
    <row r="1397" spans="1:1" ht="11.75" customHeight="1">
      <c r="A1397" s="1989">
        <f>1.21*G108*D20*24/1000</f>
        <v>156.29328000000001</v>
      </c>
    </row>
    <row r="1398" spans="1:1" ht="11.75" customHeight="1">
      <c r="A1398" s="1989">
        <f>1.21*G108*D20*24</f>
        <v>156293.28</v>
      </c>
    </row>
    <row r="1399" spans="1:1" ht="11.75" customHeight="1">
      <c r="A1399" s="1989">
        <f>1.21*G108*D20</f>
        <v>6512.22</v>
      </c>
    </row>
    <row r="1400" spans="1:1" ht="11.75" customHeight="1">
      <c r="A1400" s="1989">
        <f>1.21*G108</f>
        <v>1.4157</v>
      </c>
    </row>
    <row r="1401" spans="1:1" ht="11.75" customHeight="1">
      <c r="A1401" s="1989">
        <f>MATCH('NRL50-n-Factors'!D34,'NRL50-n-Factors'!C38:C49,0)</f>
        <v>5</v>
      </c>
    </row>
    <row r="1402" spans="1:1" ht="11.75" customHeight="1">
      <c r="A1402" s="1989">
        <f>MATCH(REPORT!D103,'NRL50-n-Factors'!D37:J37,0)</f>
        <v>2</v>
      </c>
    </row>
    <row r="1403" spans="1:1" ht="11.75" customHeight="1">
      <c r="A1403" s="1989" t="b">
        <f>D51="Gas"</f>
        <v>0</v>
      </c>
    </row>
    <row r="1404" spans="1:1" ht="11.75" customHeight="1">
      <c r="A1404" s="1989">
        <f>D$20*G101*24</f>
        <v>30728.853316304834</v>
      </c>
    </row>
    <row r="1405" spans="1:1" ht="11.75" customHeight="1">
      <c r="A1405" s="1989">
        <f>SUM(H65:H67)</f>
        <v>84390.33600000001</v>
      </c>
    </row>
    <row r="1406" spans="1:1" ht="11.75" customHeight="1">
      <c r="A1406" s="1989">
        <f>IF(D113="Heatpump",K51+D117+D114+M43+H70,IF(D113="Gas",K51+D117+M43+H70))</f>
        <v>132765.64793897627</v>
      </c>
    </row>
    <row r="1407" spans="1:1" ht="11.75" customHeight="1">
      <c r="A1407" s="1989" t="b">
        <f>D113="Heatpump"</f>
        <v>1</v>
      </c>
    </row>
    <row r="1408" spans="1:1" ht="11.75" customHeight="1">
      <c r="A1408" s="1990">
        <f>K51+D117+D114+M43+H70</f>
        <v>132765.64793897627</v>
      </c>
    </row>
    <row r="1409" spans="1:1" ht="11.75" customHeight="1">
      <c r="A1409" s="1989" t="b">
        <f>IF(D113="Gas",K51+D117+M43+H70)</f>
        <v>0</v>
      </c>
    </row>
    <row r="1410" spans="1:1" ht="11.75" customHeight="1">
      <c r="A1410" s="1989">
        <f>SUM(D44:D46)</f>
        <v>0</v>
      </c>
    </row>
    <row r="1411" spans="1:1" ht="11.75" customHeight="1">
      <c r="A1411" s="1990">
        <f>I44+I45</f>
        <v>0</v>
      </c>
    </row>
    <row r="1412" spans="1:1" ht="11.75" customHeight="1">
      <c r="A1412" s="1989">
        <f>H28*0.0373</f>
        <v>0</v>
      </c>
    </row>
    <row r="1413" spans="1:1" ht="11.75" customHeight="1">
      <c r="A1413" s="1989">
        <f>H30*36.72</f>
        <v>0</v>
      </c>
    </row>
    <row r="1414" spans="1:1" ht="11.75" customHeight="1">
      <c r="A1414" s="1990">
        <f>H27-D43</f>
        <v>132765.64793897627</v>
      </c>
    </row>
    <row r="1415" spans="1:1" ht="11.75" customHeight="1">
      <c r="A1415" s="1989" t="b">
        <f>D113="Electricity"</f>
        <v>0</v>
      </c>
    </row>
    <row r="1416" spans="1:1" ht="11.75" customHeight="1">
      <c r="A1416" s="1990">
        <f>I103+K51+D117+M121+I101+I102+M43+SUM(H65:H67)</f>
        <v>265287.6445956853</v>
      </c>
    </row>
    <row r="1417" spans="1:1" ht="11.75" customHeight="1">
      <c r="A1417" s="1990">
        <f>I103+K51+D117+M121+I101+I102+M43</f>
        <v>180897.30859568529</v>
      </c>
    </row>
    <row r="1418" spans="1:1" ht="11.75" customHeight="1">
      <c r="A1418" s="1990">
        <f>I103+K51+D117+M121+I101+I102</f>
        <v>180897.30859568529</v>
      </c>
    </row>
    <row r="1419" spans="1:1" ht="11.75" customHeight="1">
      <c r="A1419" s="1990">
        <f>I103+K51+D117+M121+I101</f>
        <v>164109.06314703665</v>
      </c>
    </row>
    <row r="1420" spans="1:1" ht="11.75" customHeight="1">
      <c r="A1420" s="1990">
        <f>I103+K51+D117+M121</f>
        <v>88005.3704468098</v>
      </c>
    </row>
    <row r="1421" spans="1:1" ht="11.75" customHeight="1">
      <c r="A1421" s="1990">
        <f>I103+K51+D117</f>
        <v>39024.570446809812</v>
      </c>
    </row>
    <row r="1422" spans="1:1" ht="11.75" customHeight="1">
      <c r="A1422" s="1990">
        <f>I103+K51</f>
        <v>36006.531012790423</v>
      </c>
    </row>
    <row r="1423" spans="1:1" ht="11.75" customHeight="1">
      <c r="A1423" s="1989">
        <f>1.21*G108*D20*24/1000*D101</f>
        <v>387079.06311359996</v>
      </c>
    </row>
    <row r="1424" spans="1:1" ht="11.75" customHeight="1">
      <c r="A1424" s="1989">
        <f>1.21*G108*D20*24/1000</f>
        <v>156.29328000000001</v>
      </c>
    </row>
    <row r="1425" spans="1:1" ht="11.75" customHeight="1">
      <c r="A1425" s="1989">
        <f>1.21*G108*D20*24</f>
        <v>156293.28</v>
      </c>
    </row>
    <row r="1426" spans="1:1" ht="11.75" customHeight="1">
      <c r="A1426" s="1989">
        <f>1.21*G108*D20</f>
        <v>6512.22</v>
      </c>
    </row>
    <row r="1427" spans="1:1" ht="11.75" customHeight="1">
      <c r="A1427" s="1989">
        <f>1.21*G108</f>
        <v>1.4157</v>
      </c>
    </row>
    <row r="1428" spans="1:1" ht="11.75" customHeight="1">
      <c r="A1428" s="1989">
        <f>MATCH('NRL50-n-Factors'!D34,'NRL50-n-Factors'!C38:C49,0)</f>
        <v>5</v>
      </c>
    </row>
    <row r="1429" spans="1:1" ht="11.75" customHeight="1">
      <c r="A1429" s="1989">
        <f>MATCH(REPORT!D103,'NRL50-n-Factors'!D37:J37,0)</f>
        <v>2</v>
      </c>
    </row>
    <row r="1430" spans="1:1" ht="11.75" customHeight="1">
      <c r="A1430" s="1989" t="b">
        <f>D51="Gas"</f>
        <v>0</v>
      </c>
    </row>
    <row r="1431" spans="1:1" ht="11.75" customHeight="1">
      <c r="A1431" s="1989">
        <f>D$20*G101*24</f>
        <v>30728.853316304834</v>
      </c>
    </row>
    <row r="1432" spans="1:1" ht="11.75" customHeight="1">
      <c r="A1432" s="1989">
        <f>SUM(H65:H67)</f>
        <v>84390.33600000001</v>
      </c>
    </row>
    <row r="1433" spans="1:1" ht="11.75" customHeight="1">
      <c r="A1433" s="1989">
        <f>IF(D113="Heatpump",K51+D117+D114+M43+H70,IF(D113="Gas",K51+D117+M43+H70))</f>
        <v>132765.64793897627</v>
      </c>
    </row>
    <row r="1434" spans="1:1" ht="11.75" customHeight="1">
      <c r="A1434" s="1989" t="b">
        <f>D113="Heatpump"</f>
        <v>1</v>
      </c>
    </row>
    <row r="1435" spans="1:1" ht="11.75" customHeight="1">
      <c r="A1435" s="1990">
        <f>K51+D117+D114+M43+H70</f>
        <v>132765.64793897627</v>
      </c>
    </row>
    <row r="1436" spans="1:1" ht="11.75" customHeight="1">
      <c r="A1436" s="1989" t="b">
        <f>IF(D113="Gas",K51+D117+M43+H70)</f>
        <v>0</v>
      </c>
    </row>
    <row r="1437" spans="1:1" ht="11.75" customHeight="1">
      <c r="A1437" s="1989">
        <f>SUM(D44:D46)</f>
        <v>0</v>
      </c>
    </row>
    <row r="1438" spans="1:1" ht="11.75" customHeight="1">
      <c r="A1438" s="1990">
        <f>I44+I45</f>
        <v>0</v>
      </c>
    </row>
    <row r="1439" spans="1:1" ht="11.75" customHeight="1">
      <c r="A1439" s="1989">
        <f>H28*0.0373</f>
        <v>0</v>
      </c>
    </row>
    <row r="1440" spans="1:1" ht="11.75" customHeight="1">
      <c r="A1440" s="1989">
        <f>H30*36.72</f>
        <v>0</v>
      </c>
    </row>
    <row r="1441" spans="1:1" ht="11.75" customHeight="1">
      <c r="A1441" s="1990">
        <f>H27-D43</f>
        <v>132765.64793897627</v>
      </c>
    </row>
    <row r="1442" spans="1:1" ht="11.75" customHeight="1">
      <c r="A1442" s="1989" t="b">
        <f>D113="Electricity"</f>
        <v>0</v>
      </c>
    </row>
    <row r="1443" spans="1:1" ht="11.75" customHeight="1">
      <c r="A1443" s="1990">
        <f>I103+K51+D117+M121+I101+I102+M43+SUM(H65:H67)</f>
        <v>265287.6445956853</v>
      </c>
    </row>
    <row r="1444" spans="1:1" ht="11.75" customHeight="1">
      <c r="A1444" s="1990">
        <f>I103+K51+D117+M121+I101+I102+M43</f>
        <v>180897.30859568529</v>
      </c>
    </row>
    <row r="1445" spans="1:1" ht="11.75" customHeight="1">
      <c r="A1445" s="1990">
        <f>I103+K51+D117+M121+I101+I102</f>
        <v>180897.30859568529</v>
      </c>
    </row>
    <row r="1446" spans="1:1" ht="11.75" customHeight="1">
      <c r="A1446" s="1990">
        <f>I103+K51+D117+M121+I101</f>
        <v>164109.06314703665</v>
      </c>
    </row>
    <row r="1447" spans="1:1" ht="11.75" customHeight="1">
      <c r="A1447" s="1990">
        <f>I103+K51+D117+M121</f>
        <v>88005.3704468098</v>
      </c>
    </row>
    <row r="1448" spans="1:1" ht="11.75" customHeight="1">
      <c r="A1448" s="1990">
        <f>I103+K51+D117</f>
        <v>39024.570446809812</v>
      </c>
    </row>
    <row r="1449" spans="1:1" ht="11.75" customHeight="1">
      <c r="A1449" s="1990">
        <f>I103+K51</f>
        <v>36006.531012790423</v>
      </c>
    </row>
    <row r="1450" spans="1:1" ht="11.75" customHeight="1">
      <c r="A1450" s="1989">
        <f>1.21*G108*D20*24/1000*D101</f>
        <v>387079.06311359996</v>
      </c>
    </row>
    <row r="1451" spans="1:1" ht="11.75" customHeight="1">
      <c r="A1451" s="1989">
        <f>1.21*G108*D20*24/1000</f>
        <v>156.29328000000001</v>
      </c>
    </row>
    <row r="1452" spans="1:1" ht="11.75" customHeight="1">
      <c r="A1452" s="1989">
        <f>1.21*G108*D20*24</f>
        <v>156293.28</v>
      </c>
    </row>
    <row r="1453" spans="1:1" ht="11.75" customHeight="1">
      <c r="A1453" s="1989">
        <f>1.21*G108*D20</f>
        <v>6512.22</v>
      </c>
    </row>
    <row r="1454" spans="1:1" ht="11.75" customHeight="1">
      <c r="A1454" s="1989">
        <f>1.21*G108</f>
        <v>1.4157</v>
      </c>
    </row>
    <row r="1455" spans="1:1" ht="11.75" customHeight="1">
      <c r="A1455" s="1989">
        <f>MATCH('NRL50-n-Factors'!D34,'NRL50-n-Factors'!C38:C49,0)</f>
        <v>5</v>
      </c>
    </row>
    <row r="1456" spans="1:1" ht="11.75" customHeight="1">
      <c r="A1456" s="1989">
        <f>MATCH(REPORT!D103,'NRL50-n-Factors'!D37:J37,0)</f>
        <v>2</v>
      </c>
    </row>
    <row r="1457" spans="1:1" ht="11.75" customHeight="1">
      <c r="A1457" s="1989" t="b">
        <f>D51="Gas"</f>
        <v>0</v>
      </c>
    </row>
    <row r="1458" spans="1:1" ht="11.75" customHeight="1">
      <c r="A1458" s="1989">
        <f>D$20*G101*24</f>
        <v>30728.853316304834</v>
      </c>
    </row>
    <row r="1459" spans="1:1" ht="11.75" customHeight="1">
      <c r="A1459" s="1989">
        <f>SUM(H65:H67)</f>
        <v>84390.33600000001</v>
      </c>
    </row>
    <row r="1460" spans="1:1" ht="11.75" customHeight="1">
      <c r="A1460" s="1989">
        <f>IF(D113="Heatpump",K51+D117+D114+M43+H70,IF(D113="Gas",K51+D117+M43+H70))</f>
        <v>132765.64793897627</v>
      </c>
    </row>
    <row r="1461" spans="1:1" ht="11.75" customHeight="1">
      <c r="A1461" s="1989" t="b">
        <f>D113="Heatpump"</f>
        <v>1</v>
      </c>
    </row>
    <row r="1462" spans="1:1" ht="11.75" customHeight="1">
      <c r="A1462" s="1990">
        <f>K51+D117+D114+M43+H70</f>
        <v>132765.64793897627</v>
      </c>
    </row>
    <row r="1463" spans="1:1" ht="11.75" customHeight="1">
      <c r="A1463" s="1989" t="b">
        <f>IF(D113="Gas",K51+D117+M43+H70)</f>
        <v>0</v>
      </c>
    </row>
    <row r="1464" spans="1:1" ht="11.75" customHeight="1">
      <c r="A1464" s="1989">
        <f>SUM(D44:D46)</f>
        <v>0</v>
      </c>
    </row>
    <row r="1465" spans="1:1" ht="11.75" customHeight="1">
      <c r="A1465" s="1990">
        <f>I44+I45</f>
        <v>0</v>
      </c>
    </row>
    <row r="1466" spans="1:1" ht="11.75" customHeight="1">
      <c r="A1466" s="1989">
        <f>H28*0.0373</f>
        <v>0</v>
      </c>
    </row>
    <row r="1467" spans="1:1" ht="11.75" customHeight="1">
      <c r="A1467" s="1989">
        <f>H30*36.72</f>
        <v>0</v>
      </c>
    </row>
    <row r="1468" spans="1:1" ht="11.75" customHeight="1">
      <c r="A1468" s="1990">
        <f>H27-D43</f>
        <v>132765.64793897627</v>
      </c>
    </row>
    <row r="1469" spans="1:1" ht="11.75" customHeight="1">
      <c r="A1469" s="1989" t="b">
        <f>D113="Electricity"</f>
        <v>0</v>
      </c>
    </row>
    <row r="1470" spans="1:1" ht="11.75" customHeight="1">
      <c r="A1470" s="1990">
        <f>I103+K51+D117+M121+I101+I102+M43+SUM(H65:H67)</f>
        <v>265287.6445956853</v>
      </c>
    </row>
    <row r="1471" spans="1:1" ht="11.75" customHeight="1">
      <c r="A1471" s="1990">
        <f>I103+K51+D117+M121+I101+I102+M43</f>
        <v>180897.30859568529</v>
      </c>
    </row>
    <row r="1472" spans="1:1" ht="11.75" customHeight="1">
      <c r="A1472" s="1990">
        <f>I103+K51+D117+M121+I101+I102</f>
        <v>180897.30859568529</v>
      </c>
    </row>
    <row r="1473" spans="1:1" ht="11.75" customHeight="1">
      <c r="A1473" s="1990">
        <f>I103+K51+D117+M121+I101</f>
        <v>164109.06314703665</v>
      </c>
    </row>
    <row r="1474" spans="1:1" ht="11.75" customHeight="1">
      <c r="A1474" s="1990">
        <f>I103+K51+D117+M121</f>
        <v>88005.3704468098</v>
      </c>
    </row>
    <row r="1475" spans="1:1" ht="11.75" customHeight="1">
      <c r="A1475" s="1990">
        <f>I103+K51+D117</f>
        <v>39024.570446809812</v>
      </c>
    </row>
    <row r="1476" spans="1:1" ht="11.75" customHeight="1">
      <c r="A1476" s="1990">
        <f>I103+K51</f>
        <v>36006.531012790423</v>
      </c>
    </row>
    <row r="1477" spans="1:1" ht="11.75" customHeight="1">
      <c r="A1477" s="1989">
        <f>1.21*G108*D20*24/1000*D101</f>
        <v>387079.06311359996</v>
      </c>
    </row>
    <row r="1478" spans="1:1" ht="11.75" customHeight="1">
      <c r="A1478" s="1989">
        <f>1.21*G108*D20*24/1000</f>
        <v>156.29328000000001</v>
      </c>
    </row>
    <row r="1479" spans="1:1" ht="11.75" customHeight="1">
      <c r="A1479" s="1989">
        <f>1.21*G108*D20*24</f>
        <v>156293.28</v>
      </c>
    </row>
    <row r="1480" spans="1:1" ht="11.75" customHeight="1">
      <c r="A1480" s="1989">
        <f>1.21*G108*D20</f>
        <v>6512.22</v>
      </c>
    </row>
    <row r="1481" spans="1:1" ht="11.75" customHeight="1">
      <c r="A1481" s="1989">
        <f>1.21*G108</f>
        <v>1.4157</v>
      </c>
    </row>
    <row r="1482" spans="1:1" ht="11.75" customHeight="1">
      <c r="A1482" s="1989">
        <f>MATCH('NRL50-n-Factors'!D34,'NRL50-n-Factors'!C38:C49,0)</f>
        <v>5</v>
      </c>
    </row>
    <row r="1483" spans="1:1" ht="11.75" customHeight="1">
      <c r="A1483" s="1989">
        <f>MATCH(REPORT!D103,'NRL50-n-Factors'!D37:J37,0)</f>
        <v>2</v>
      </c>
    </row>
    <row r="1484" spans="1:1" ht="11.75" customHeight="1">
      <c r="A1484" s="1989" t="b">
        <f>D51="Gas"</f>
        <v>0</v>
      </c>
    </row>
    <row r="1485" spans="1:1" ht="11.75" customHeight="1">
      <c r="A1485" s="1989">
        <f>D$20*G101*24</f>
        <v>30728.853316304834</v>
      </c>
    </row>
    <row r="1486" spans="1:1" ht="11.75" customHeight="1">
      <c r="A1486" s="1989">
        <f>SUM(H65:H67)</f>
        <v>84390.33600000001</v>
      </c>
    </row>
    <row r="1487" spans="1:1" ht="11.75" customHeight="1">
      <c r="A1487" s="1989">
        <f>IF(D113="Heatpump",K51+D117+D114+M43+H70,IF(D113="Gas",K51+D117+M43+H70))</f>
        <v>132765.64793897627</v>
      </c>
    </row>
    <row r="1488" spans="1:1" ht="11.75" customHeight="1">
      <c r="A1488" s="1989" t="b">
        <f>D113="Heatpump"</f>
        <v>1</v>
      </c>
    </row>
    <row r="1489" spans="1:1" ht="11.75" customHeight="1">
      <c r="A1489" s="1990">
        <f>K51+D117+D114+M43+H70</f>
        <v>132765.64793897627</v>
      </c>
    </row>
    <row r="1490" spans="1:1" ht="11.75" customHeight="1">
      <c r="A1490" s="1989" t="b">
        <f>IF(D113="Gas",K51+D117+M43+H70)</f>
        <v>0</v>
      </c>
    </row>
    <row r="1491" spans="1:1" ht="11.75" customHeight="1">
      <c r="A1491" s="1989">
        <f>SUM(D44:D46)</f>
        <v>0</v>
      </c>
    </row>
    <row r="1492" spans="1:1" ht="11.75" customHeight="1">
      <c r="A1492" s="1990">
        <f>I44+I45</f>
        <v>0</v>
      </c>
    </row>
    <row r="1493" spans="1:1" ht="11.75" customHeight="1">
      <c r="A1493" s="1989">
        <f>H28*0.0373</f>
        <v>0</v>
      </c>
    </row>
    <row r="1494" spans="1:1" ht="11.75" customHeight="1">
      <c r="A1494" s="1989">
        <f>H30*36.72</f>
        <v>0</v>
      </c>
    </row>
    <row r="1495" spans="1:1" ht="11.75" customHeight="1">
      <c r="A1495" s="1990">
        <f>H27-D43</f>
        <v>132765.64793897627</v>
      </c>
    </row>
    <row r="1496" spans="1:1" ht="11.75" customHeight="1">
      <c r="A1496" s="1989" t="b">
        <f>D113="Electricity"</f>
        <v>0</v>
      </c>
    </row>
    <row r="1497" spans="1:1" ht="11.75" customHeight="1">
      <c r="A1497" s="1990">
        <f>I103+K51+D117+M121+I101+I102+M43+SUM(H65:H67)</f>
        <v>265287.6445956853</v>
      </c>
    </row>
    <row r="1498" spans="1:1" ht="11.75" customHeight="1">
      <c r="A1498" s="1990">
        <f>I103+K51+D117+M121+I101+I102+M43</f>
        <v>180897.30859568529</v>
      </c>
    </row>
    <row r="1499" spans="1:1" ht="11.75" customHeight="1">
      <c r="A1499" s="1990">
        <f>I103+K51+D117+M121+I101+I102</f>
        <v>180897.30859568529</v>
      </c>
    </row>
    <row r="1500" spans="1:1" ht="11.75" customHeight="1">
      <c r="A1500" s="1990">
        <f>I103+K51+D117+M121+I101</f>
        <v>164109.06314703665</v>
      </c>
    </row>
    <row r="1501" spans="1:1" ht="11.75" customHeight="1">
      <c r="A1501" s="1990">
        <f>I103+K51+D117+M121</f>
        <v>88005.3704468098</v>
      </c>
    </row>
    <row r="1502" spans="1:1" ht="11.75" customHeight="1">
      <c r="A1502" s="1990">
        <f>I103+K51+D117</f>
        <v>39024.570446809812</v>
      </c>
    </row>
    <row r="1503" spans="1:1" ht="11.75" customHeight="1">
      <c r="A1503" s="1990">
        <f>I103+K51</f>
        <v>36006.531012790423</v>
      </c>
    </row>
    <row r="1504" spans="1:1" ht="11.75" customHeight="1">
      <c r="A1504" s="1989">
        <f>1.21*G108*D20*24/1000*D101</f>
        <v>387079.06311359996</v>
      </c>
    </row>
    <row r="1505" spans="1:1" ht="11.75" customHeight="1">
      <c r="A1505" s="1989">
        <f>1.21*G108*D20*24/1000</f>
        <v>156.29328000000001</v>
      </c>
    </row>
    <row r="1506" spans="1:1" ht="11.75" customHeight="1">
      <c r="A1506" s="1989">
        <f>1.21*G108*D20*24</f>
        <v>156293.28</v>
      </c>
    </row>
    <row r="1507" spans="1:1" ht="11.75" customHeight="1">
      <c r="A1507" s="1989">
        <f>1.21*G108*D20</f>
        <v>6512.22</v>
      </c>
    </row>
    <row r="1508" spans="1:1" ht="11.75" customHeight="1">
      <c r="A1508" s="1989">
        <f>1.21*G108</f>
        <v>1.4157</v>
      </c>
    </row>
    <row r="1509" spans="1:1" ht="11.75" customHeight="1">
      <c r="A1509" s="1989">
        <f>IF(H20="Present",VLOOKUP(H19,CANADA!A6:K699,9,FALSE),VLOOKUP(H19,CANADA!A6:K699,11,FALSE))</f>
        <v>4600</v>
      </c>
    </row>
    <row r="1510" spans="1:1" ht="11.75" customHeight="1">
      <c r="A1510" s="1989">
        <f>MATCH('NRL50-n-Factors'!D34,'NRL50-n-Factors'!C38:C49,0)</f>
        <v>5</v>
      </c>
    </row>
    <row r="1511" spans="1:1" ht="11.75" customHeight="1">
      <c r="A1511" s="1989">
        <f>MATCH(REPORT!D103,'NRL50-n-Factors'!D37:J37,0)</f>
        <v>2</v>
      </c>
    </row>
    <row r="1512" spans="1:1" ht="11.75" customHeight="1">
      <c r="A1512" s="1989" t="b">
        <f>D51="Gas"</f>
        <v>0</v>
      </c>
    </row>
    <row r="1513" spans="1:1" ht="11.75" customHeight="1">
      <c r="A1513" s="1989">
        <f>D$20*G101*24</f>
        <v>30728.853316304834</v>
      </c>
    </row>
    <row r="1514" spans="1:1" ht="11.75" customHeight="1">
      <c r="A1514" s="1989">
        <f>SUM(H65:H67)</f>
        <v>84390.33600000001</v>
      </c>
    </row>
    <row r="1515" spans="1:1" ht="11.75" customHeight="1">
      <c r="A1515" s="1989">
        <f>IF(D113="Heatpump",K51+D117+D114+M43+H70,IF(D113="Gas",K51+D117+M43+H70))</f>
        <v>132765.64793897627</v>
      </c>
    </row>
    <row r="1516" spans="1:1" ht="11.75" customHeight="1">
      <c r="A1516" s="1989" t="b">
        <f>D113="Heatpump"</f>
        <v>1</v>
      </c>
    </row>
    <row r="1517" spans="1:1" ht="11.75" customHeight="1">
      <c r="A1517" s="1990">
        <f>K51+D117+D114+M43+H70</f>
        <v>132765.64793897627</v>
      </c>
    </row>
    <row r="1518" spans="1:1" ht="11.75" customHeight="1">
      <c r="A1518" s="1989" t="b">
        <f>IF(D113="Gas",K51+D117+M43+H70)</f>
        <v>0</v>
      </c>
    </row>
    <row r="1519" spans="1:1" ht="11.75" customHeight="1">
      <c r="A1519" s="1989">
        <f>SUM(D44:D46)</f>
        <v>0</v>
      </c>
    </row>
    <row r="1520" spans="1:1" ht="11.75" customHeight="1">
      <c r="A1520" s="1990">
        <f>I44+I45</f>
        <v>0</v>
      </c>
    </row>
    <row r="1521" spans="1:1" ht="11.75" customHeight="1">
      <c r="A1521" s="1989">
        <f>H28*0.0373</f>
        <v>0</v>
      </c>
    </row>
    <row r="1522" spans="1:1" ht="11.75" customHeight="1">
      <c r="A1522" s="1989">
        <f>H30*36.72</f>
        <v>0</v>
      </c>
    </row>
    <row r="1523" spans="1:1" ht="11.75" customHeight="1">
      <c r="A1523" s="1990">
        <f>H27-D43</f>
        <v>132765.64793897627</v>
      </c>
    </row>
    <row r="1524" spans="1:1" ht="11.75" customHeight="1">
      <c r="A1524" s="1989" t="b">
        <f>D113="Electricity"</f>
        <v>0</v>
      </c>
    </row>
    <row r="1525" spans="1:1" ht="11.75" customHeight="1">
      <c r="A1525" s="1990">
        <f>I103+K51+D117+M121+I101+I102+M43+SUM(H65:H67)</f>
        <v>265287.6445956853</v>
      </c>
    </row>
    <row r="1526" spans="1:1" ht="11.75" customHeight="1">
      <c r="A1526" s="1990">
        <f>I103+K51+D117+M121+I101+I102+M43</f>
        <v>180897.30859568529</v>
      </c>
    </row>
    <row r="1527" spans="1:1" ht="11.75" customHeight="1">
      <c r="A1527" s="1990">
        <f>I103+K51+D117+M121+I101+I102</f>
        <v>180897.30859568529</v>
      </c>
    </row>
    <row r="1528" spans="1:1" ht="11.75" customHeight="1">
      <c r="A1528" s="1990">
        <f>I103+K51+D117+M121+I101</f>
        <v>164109.06314703665</v>
      </c>
    </row>
    <row r="1529" spans="1:1" ht="11.75" customHeight="1">
      <c r="A1529" s="1990">
        <f>I103+K51+D117+M121</f>
        <v>88005.3704468098</v>
      </c>
    </row>
    <row r="1530" spans="1:1" ht="11.75" customHeight="1">
      <c r="A1530" s="1990">
        <f>I103+K51+D117</f>
        <v>39024.570446809812</v>
      </c>
    </row>
    <row r="1531" spans="1:1" ht="11.75" customHeight="1">
      <c r="A1531" s="1990">
        <f>I103+K51</f>
        <v>36006.531012790423</v>
      </c>
    </row>
    <row r="1532" spans="1:1" ht="11.75" customHeight="1">
      <c r="A1532" s="1989">
        <f>1.21*G108*D20*24/1000*D101</f>
        <v>387079.06311359996</v>
      </c>
    </row>
    <row r="1533" spans="1:1" ht="11.75" customHeight="1">
      <c r="A1533" s="1989">
        <f>1.21*G108*D20*24/1000</f>
        <v>156.29328000000001</v>
      </c>
    </row>
    <row r="1534" spans="1:1" ht="11.75" customHeight="1">
      <c r="A1534" s="1989">
        <f>1.21*G108*D20*24</f>
        <v>156293.28</v>
      </c>
    </row>
    <row r="1535" spans="1:1" ht="11.75" customHeight="1">
      <c r="A1535" s="1989">
        <f>1.21*G108*D20</f>
        <v>6512.22</v>
      </c>
    </row>
    <row r="1536" spans="1:1" ht="11.75" customHeight="1">
      <c r="A1536" s="1989">
        <f>1.21*G108</f>
        <v>1.4157</v>
      </c>
    </row>
    <row r="1537" spans="1:1" ht="11.75" customHeight="1">
      <c r="A1537" s="1989" t="b">
        <f>D108="Measured"</f>
        <v>0</v>
      </c>
    </row>
    <row r="1538" spans="1:1" ht="11.75" customHeight="1">
      <c r="A1538" s="1989">
        <f>G109*D105/D101*3.6</f>
        <v>17.44312813431209</v>
      </c>
    </row>
    <row r="1539" spans="1:1" ht="11.75" customHeight="1">
      <c r="A1539" s="1989">
        <f>IF(D108="AL-1A",0.89,IF(D108="AL-2A",0.71,IF(D108="AL-3A",0.53,IF(D108="AL-4A",0.35,IF(D108="AL-5A",0.21,IF(D108="AL-1B",1.17,IF(D108="AL-2B",0.98,IF(D108="AL-3B",0.78,IF(D108="AL-4B",0.59,IF(D108="AL-5B",0.39,IF(D108="AL-6B",0.23,IF(D108="PH Classic",0.6*D105/D101*3.6,IF(D108="PH Low",1*D105/D101*3.6,IF(D108="PH+",0.1))))))))))))))</f>
        <v>1.17</v>
      </c>
    </row>
    <row r="1540" spans="1:1" ht="11.75" customHeight="1">
      <c r="A1540" s="1989">
        <f>IF(H20="Present",VLOOKUP(H19,CANADA!A6:K699,9,FALSE),VLOOKUP(H19,CANADA!A6:K699,11,FALSE))</f>
        <v>4600</v>
      </c>
    </row>
    <row r="1541" spans="1:1" ht="11.75" customHeight="1">
      <c r="A1541" s="1989">
        <f>MATCH('NRL50-n-Factors'!D34,'NRL50-n-Factors'!C38:C49,0)</f>
        <v>5</v>
      </c>
    </row>
    <row r="1542" spans="1:1" ht="11.75" customHeight="1">
      <c r="A1542" s="1989">
        <f>MATCH(REPORT!D103,'NRL50-n-Factors'!D37:J37,0)</f>
        <v>2</v>
      </c>
    </row>
    <row r="1543" spans="1:1" ht="11.75" customHeight="1">
      <c r="A1543" s="1989" t="b">
        <f>D51="Gas"</f>
        <v>0</v>
      </c>
    </row>
    <row r="1544" spans="1:1" ht="11.75" customHeight="1">
      <c r="A1544" s="1989">
        <f>D$20*G101*24</f>
        <v>30728.853316304834</v>
      </c>
    </row>
    <row r="1545" spans="1:1" ht="11.75" customHeight="1">
      <c r="A1545" s="1989">
        <f>SUM(H65:H67)</f>
        <v>84390.33600000001</v>
      </c>
    </row>
    <row r="1546" spans="1:1" ht="11.75" customHeight="1">
      <c r="A1546" s="1989">
        <f>IF(D113="Heatpump",K51+D117+D114+M43+H70,IF(D113="Gas",K51+D117+M43+H70))</f>
        <v>132765.64793897627</v>
      </c>
    </row>
    <row r="1547" spans="1:1" ht="11.75" customHeight="1">
      <c r="A1547" s="1989" t="b">
        <f>D113="Heatpump"</f>
        <v>1</v>
      </c>
    </row>
    <row r="1548" spans="1:1" ht="11.75" customHeight="1">
      <c r="A1548" s="1990">
        <f>K51+D117+D114+M43+H70</f>
        <v>132765.64793897627</v>
      </c>
    </row>
    <row r="1549" spans="1:1" ht="11.75" customHeight="1">
      <c r="A1549" s="1989" t="b">
        <f>IF(D113="Gas",K51+D117+M43+H70)</f>
        <v>0</v>
      </c>
    </row>
    <row r="1550" spans="1:1" ht="11.75" customHeight="1">
      <c r="A1550" s="1989">
        <f>SUM(D44:D46)</f>
        <v>0</v>
      </c>
    </row>
    <row r="1551" spans="1:1" ht="11.75" customHeight="1">
      <c r="A1551" s="1990">
        <f>I44+I45</f>
        <v>0</v>
      </c>
    </row>
    <row r="1552" spans="1:1" ht="11.75" customHeight="1">
      <c r="A1552" s="1989">
        <f>H28*0.0373</f>
        <v>0</v>
      </c>
    </row>
    <row r="1553" spans="1:1" ht="11.75" customHeight="1">
      <c r="A1553" s="1989">
        <f>H30*36.72</f>
        <v>0</v>
      </c>
    </row>
    <row r="1554" spans="1:1" ht="11.75" customHeight="1">
      <c r="A1554" s="1990">
        <f>H27-D43</f>
        <v>132765.64793897627</v>
      </c>
    </row>
    <row r="1555" spans="1:1" ht="11.75" customHeight="1">
      <c r="A1555" s="1989" t="b">
        <f>D113="Electricity"</f>
        <v>0</v>
      </c>
    </row>
    <row r="1556" spans="1:1" ht="11.75" customHeight="1">
      <c r="A1556" s="1990">
        <f>I103+K51+D117+M121+I101+I102+M43+SUM(H65:H67)</f>
        <v>265287.6445956853</v>
      </c>
    </row>
    <row r="1557" spans="1:1" ht="11.75" customHeight="1">
      <c r="A1557" s="1990">
        <f>I103+K51+D117+M121+I101+I102+M43</f>
        <v>180897.30859568529</v>
      </c>
    </row>
    <row r="1558" spans="1:1" ht="11.75" customHeight="1">
      <c r="A1558" s="1990">
        <f>I103+K51+D117+M121+I101+I102</f>
        <v>180897.30859568529</v>
      </c>
    </row>
    <row r="1559" spans="1:1" ht="11.75" customHeight="1">
      <c r="A1559" s="1990">
        <f>I103+K51+D117+M121+I101</f>
        <v>164109.06314703665</v>
      </c>
    </row>
    <row r="1560" spans="1:1" ht="11.75" customHeight="1">
      <c r="A1560" s="1990">
        <f>I103+K51+D117+M121</f>
        <v>88005.3704468098</v>
      </c>
    </row>
    <row r="1561" spans="1:1" ht="11.75" customHeight="1">
      <c r="A1561" s="1990">
        <f>I103+K51+D117</f>
        <v>39024.570446809812</v>
      </c>
    </row>
    <row r="1562" spans="1:1" ht="11.75" customHeight="1">
      <c r="A1562" s="1990">
        <f>I103+K51</f>
        <v>36006.531012790423</v>
      </c>
    </row>
    <row r="1563" spans="1:1" ht="11.75" customHeight="1">
      <c r="A1563" s="1989">
        <f>1.21*G108*D20*24/1000*D101</f>
        <v>387079.06311359996</v>
      </c>
    </row>
    <row r="1564" spans="1:1" ht="11.75" customHeight="1">
      <c r="A1564" s="1989">
        <f>1.21*G108*D20*24/1000</f>
        <v>156.29328000000001</v>
      </c>
    </row>
    <row r="1565" spans="1:1" ht="11.75" customHeight="1">
      <c r="A1565" s="1989">
        <f>1.21*G108*D20*24</f>
        <v>156293.28</v>
      </c>
    </row>
    <row r="1566" spans="1:1" ht="11.75" customHeight="1">
      <c r="A1566" s="1989">
        <f>1.21*G108*D20</f>
        <v>6512.22</v>
      </c>
    </row>
    <row r="1567" spans="1:1" ht="11.75" customHeight="1">
      <c r="A1567" s="1989">
        <f>1.21*G108</f>
        <v>1.4157</v>
      </c>
    </row>
    <row r="1568" spans="1:1" ht="11.75" customHeight="1">
      <c r="A1568" s="1989" t="b">
        <f>D108="Measured"</f>
        <v>0</v>
      </c>
    </row>
    <row r="1569" spans="1:1" ht="11.75" customHeight="1">
      <c r="A1569" s="1989">
        <f>G109*D105/D101*3.6</f>
        <v>17.44312813431209</v>
      </c>
    </row>
    <row r="1570" spans="1:1" ht="11.75" customHeight="1">
      <c r="A1570" s="1989">
        <f>IF(D108="AL-1A",0.89,IF(D108="AL-2A",0.71,IF(D108="AL-3A",0.53,IF(D108="AL-4A",0.35,IF(D108="AL-5A",0.21,IF(D108="AL-1B",1.17,IF(D108="AL-2B",0.98,IF(D108="AL-3B",0.78,IF(D108="AL-4B",0.59,IF(D108="AL-5B",0.39,IF(D108="AL-6B",0.23,IF(D108="PH Classic",0.6*D105/D101*3.6,IF(D108="PH Low",1*D105/D101*3.6,IF(D108="PH+",0.1))))))))))))))</f>
        <v>1.17</v>
      </c>
    </row>
    <row r="1571" spans="1:1" ht="11.75" customHeight="1">
      <c r="A1571" s="1989">
        <f>IF(H20="Present",VLOOKUP(H19,CANADA!A6:K699,9,FALSE),VLOOKUP(H19,CANADA!A6:K699,11,FALSE))</f>
        <v>4600</v>
      </c>
    </row>
    <row r="1572" spans="1:1" ht="11.75" customHeight="1">
      <c r="A1572" s="1989">
        <f>MATCH('NRL50-n-Factors'!D34,'NRL50-n-Factors'!C38:C49,0)</f>
        <v>5</v>
      </c>
    </row>
    <row r="1573" spans="1:1" ht="11.75" customHeight="1">
      <c r="A1573" s="1989">
        <f>MATCH(REPORT!D103,'NRL50-n-Factors'!D37:J37,0)</f>
        <v>2</v>
      </c>
    </row>
    <row r="1574" spans="1:1" ht="11.75" customHeight="1">
      <c r="A1574" s="1989" t="b">
        <f>D51="Gas"</f>
        <v>0</v>
      </c>
    </row>
    <row r="1575" spans="1:1" ht="11.75" customHeight="1">
      <c r="A1575" s="1989">
        <f>D$20*G101*24</f>
        <v>30728.853316304834</v>
      </c>
    </row>
    <row r="1576" spans="1:1" ht="11.75" customHeight="1">
      <c r="A1576" s="1989">
        <f>SUM(H65:H67)</f>
        <v>84390.33600000001</v>
      </c>
    </row>
    <row r="1577" spans="1:1" ht="11.75" customHeight="1">
      <c r="A1577" s="1989">
        <f>IF(D113="Heatpump",K51+D117+D114+M43+H70,IF(D113="Gas",K51+D117+M43+H70))</f>
        <v>132765.64793897627</v>
      </c>
    </row>
    <row r="1578" spans="1:1" ht="11.75" customHeight="1">
      <c r="A1578" s="1989" t="b">
        <f>D113="Heatpump"</f>
        <v>1</v>
      </c>
    </row>
    <row r="1579" spans="1:1" ht="11.75" customHeight="1">
      <c r="A1579" s="1990">
        <f>K51+D117+D114+M43+H70</f>
        <v>132765.64793897627</v>
      </c>
    </row>
    <row r="1580" spans="1:1" ht="11.75" customHeight="1">
      <c r="A1580" s="1989" t="b">
        <f>IF(D113="Gas",K51+D117+M43+H70)</f>
        <v>0</v>
      </c>
    </row>
    <row r="1581" spans="1:1" ht="11.75" customHeight="1">
      <c r="A1581" s="1989">
        <f>SUM(D44:D46)</f>
        <v>0</v>
      </c>
    </row>
    <row r="1582" spans="1:1" ht="11.75" customHeight="1">
      <c r="A1582" s="1990">
        <f>I44+I45</f>
        <v>0</v>
      </c>
    </row>
    <row r="1583" spans="1:1" ht="11.75" customHeight="1">
      <c r="A1583" s="1989">
        <f>H28*0.0373</f>
        <v>0</v>
      </c>
    </row>
    <row r="1584" spans="1:1" ht="11.75" customHeight="1">
      <c r="A1584" s="1989">
        <f>H30*36.72</f>
        <v>0</v>
      </c>
    </row>
    <row r="1585" spans="1:1" ht="11.75" customHeight="1">
      <c r="A1585" s="1990">
        <f>H27-D43</f>
        <v>132765.64793897627</v>
      </c>
    </row>
    <row r="1586" spans="1:1" ht="11.75" customHeight="1">
      <c r="A1586" s="1989" t="b">
        <f>D113="Electricity"</f>
        <v>0</v>
      </c>
    </row>
    <row r="1587" spans="1:1" ht="11.75" customHeight="1">
      <c r="A1587" s="1990">
        <f>I103+K51+D117+M121+I101+I102+M43+SUM(H65:H67)</f>
        <v>265287.6445956853</v>
      </c>
    </row>
    <row r="1588" spans="1:1" ht="11.75" customHeight="1">
      <c r="A1588" s="1990">
        <f>I103+K51+D117+M121+I101+I102+M43</f>
        <v>180897.30859568529</v>
      </c>
    </row>
    <row r="1589" spans="1:1" ht="11.75" customHeight="1">
      <c r="A1589" s="1990">
        <f>I103+K51+D117+M121+I101+I102</f>
        <v>180897.30859568529</v>
      </c>
    </row>
    <row r="1590" spans="1:1" ht="11.75" customHeight="1">
      <c r="A1590" s="1990">
        <f>I103+K51+D117+M121+I101</f>
        <v>164109.06314703665</v>
      </c>
    </row>
    <row r="1591" spans="1:1" ht="11.75" customHeight="1">
      <c r="A1591" s="1990">
        <f>I103+K51+D117+M121</f>
        <v>88005.3704468098</v>
      </c>
    </row>
    <row r="1592" spans="1:1" ht="11.75" customHeight="1">
      <c r="A1592" s="1990">
        <f>I103+K51+D117</f>
        <v>39024.570446809812</v>
      </c>
    </row>
    <row r="1593" spans="1:1" ht="11.75" customHeight="1">
      <c r="A1593" s="1990">
        <f>I103+K51</f>
        <v>36006.531012790423</v>
      </c>
    </row>
    <row r="1594" spans="1:1" ht="11.75" customHeight="1">
      <c r="A1594" s="1989">
        <f>1.21*G108*D20*24/1000*D101</f>
        <v>387079.06311359996</v>
      </c>
    </row>
    <row r="1595" spans="1:1" ht="11.75" customHeight="1">
      <c r="A1595" s="1989">
        <f>1.21*G108*D20*24/1000</f>
        <v>156.29328000000001</v>
      </c>
    </row>
    <row r="1596" spans="1:1" ht="11.75" customHeight="1">
      <c r="A1596" s="1989">
        <f>1.21*G108*D20*24</f>
        <v>156293.28</v>
      </c>
    </row>
    <row r="1597" spans="1:1" ht="11.75" customHeight="1">
      <c r="A1597" s="1989">
        <f>1.21*G108*D20</f>
        <v>6512.22</v>
      </c>
    </row>
    <row r="1598" spans="1:1" ht="11.75" customHeight="1">
      <c r="A1598" s="1989">
        <f>1.21*G108</f>
        <v>1.4157</v>
      </c>
    </row>
    <row r="1599" spans="1:1" ht="11.75" customHeight="1">
      <c r="A1599" s="1989" t="b">
        <f>D108="Measured"</f>
        <v>0</v>
      </c>
    </row>
    <row r="1600" spans="1:1" ht="11.75" customHeight="1">
      <c r="A1600" s="1989">
        <f>G109*D105/D101*3.6</f>
        <v>17.44312813431209</v>
      </c>
    </row>
    <row r="1601" spans="1:1" ht="11.75" customHeight="1">
      <c r="A1601" s="1989">
        <f>IF(D108="AL-1A",0.89,IF(D108="AL-2A",0.71,IF(D108="AL-3A",0.53,IF(D108="AL-4A",0.35,IF(D108="AL-5A",0.21,IF(D108="AL-1B",1.17,IF(D108="AL-2B",0.98,IF(D108="AL-3B",0.78,IF(D108="AL-4B",0.59,IF(D108="AL-5B",0.39,IF(D108="AL-6B",0.23,IF(D108="PH Classic",0.6*D105/D101*3.6,IF(D108="PH Low",1*D105/D101*3.6,IF(D108="PH+",0.1))))))))))))))</f>
        <v>1.17</v>
      </c>
    </row>
    <row r="1602" spans="1:1" ht="11.75" customHeight="1">
      <c r="A1602" s="1989">
        <f>IF(H20="Present",VLOOKUP(H19,CANADA!A6:K699,9,FALSE),VLOOKUP(H19,CANADA!A6:K699,11,FALSE))</f>
        <v>4600</v>
      </c>
    </row>
    <row r="1603" spans="1:1" ht="11.75" customHeight="1">
      <c r="A1603" s="1989">
        <f>MATCH('NRL50-n-Factors'!D34,'NRL50-n-Factors'!C38:C49,0)</f>
        <v>5</v>
      </c>
    </row>
    <row r="1604" spans="1:1" ht="11.75" customHeight="1">
      <c r="A1604" s="1989">
        <f>MATCH(REPORT!D103,'NRL50-n-Factors'!D37:J37,0)</f>
        <v>2</v>
      </c>
    </row>
    <row r="1605" spans="1:1" ht="11.75" customHeight="1">
      <c r="A1605" s="1989" t="b">
        <f>D51="Gas"</f>
        <v>0</v>
      </c>
    </row>
    <row r="1606" spans="1:1" ht="11.75" customHeight="1">
      <c r="A1606" s="1989">
        <f>D$20*G101*24</f>
        <v>30728.853316304834</v>
      </c>
    </row>
    <row r="1607" spans="1:1" ht="11.75" customHeight="1">
      <c r="A1607" s="1989">
        <f>SUM(H65:H67)</f>
        <v>84390.33600000001</v>
      </c>
    </row>
    <row r="1608" spans="1:1" ht="11.75" customHeight="1">
      <c r="A1608" s="1989">
        <f>IF(D113="Heatpump",K51+D117+D114+M43+H70,IF(D113="Gas",K51+D117+M43+H70))</f>
        <v>132765.64793897627</v>
      </c>
    </row>
    <row r="1609" spans="1:1" ht="11.75" customHeight="1">
      <c r="A1609" s="1989" t="b">
        <f>D113="Heatpump"</f>
        <v>1</v>
      </c>
    </row>
    <row r="1610" spans="1:1" ht="11.75" customHeight="1">
      <c r="A1610" s="1990">
        <f>K51+D117+D114+M43+H70</f>
        <v>132765.64793897627</v>
      </c>
    </row>
    <row r="1611" spans="1:1" ht="11.75" customHeight="1">
      <c r="A1611" s="1989" t="b">
        <f>IF(D113="Gas",K51+D117+M43+H70)</f>
        <v>0</v>
      </c>
    </row>
    <row r="1612" spans="1:1" ht="11.75" customHeight="1">
      <c r="A1612" s="1989">
        <f>SUM(D44:D46)</f>
        <v>0</v>
      </c>
    </row>
    <row r="1613" spans="1:1" ht="11.75" customHeight="1">
      <c r="A1613" s="1990">
        <f>I44+I45</f>
        <v>0</v>
      </c>
    </row>
    <row r="1614" spans="1:1" ht="11.75" customHeight="1">
      <c r="A1614" s="1989">
        <f>H28*0.0373</f>
        <v>0</v>
      </c>
    </row>
    <row r="1615" spans="1:1" ht="11.75" customHeight="1">
      <c r="A1615" s="1989">
        <f>H30*36.72</f>
        <v>0</v>
      </c>
    </row>
    <row r="1616" spans="1:1" ht="11.75" customHeight="1">
      <c r="A1616" s="1990">
        <f>H27-D43</f>
        <v>132765.64793897627</v>
      </c>
    </row>
    <row r="1617" spans="1:1" ht="11.75" customHeight="1">
      <c r="A1617" s="1989" t="b">
        <f>D113="Electricity"</f>
        <v>0</v>
      </c>
    </row>
    <row r="1618" spans="1:1" ht="11.75" customHeight="1">
      <c r="A1618" s="1990">
        <f>I103+K51+D117+M121+I101+I102+M43+SUM(H65:H67)</f>
        <v>265287.6445956853</v>
      </c>
    </row>
    <row r="1619" spans="1:1" ht="11.75" customHeight="1">
      <c r="A1619" s="1990">
        <f>I103+K51+D117+M121+I101+I102+M43</f>
        <v>180897.30859568529</v>
      </c>
    </row>
    <row r="1620" spans="1:1" ht="11.75" customHeight="1">
      <c r="A1620" s="1990">
        <f>I103+K51+D117+M121+I101+I102</f>
        <v>180897.30859568529</v>
      </c>
    </row>
    <row r="1621" spans="1:1" ht="11.75" customHeight="1">
      <c r="A1621" s="1990">
        <f>I103+K51+D117+M121+I101</f>
        <v>164109.06314703665</v>
      </c>
    </row>
    <row r="1622" spans="1:1" ht="11.75" customHeight="1">
      <c r="A1622" s="1990">
        <f>I103+K51+D117+M121</f>
        <v>88005.3704468098</v>
      </c>
    </row>
    <row r="1623" spans="1:1" ht="11.75" customHeight="1">
      <c r="A1623" s="1990">
        <f>I103+K51+D117</f>
        <v>39024.570446809812</v>
      </c>
    </row>
    <row r="1624" spans="1:1" ht="11.75" customHeight="1">
      <c r="A1624" s="1990">
        <f>I103+K51</f>
        <v>36006.531012790423</v>
      </c>
    </row>
    <row r="1625" spans="1:1" ht="11.75" customHeight="1">
      <c r="A1625" s="1989">
        <f>1.21*G108*D20*24/1000*D101</f>
        <v>387079.06311359996</v>
      </c>
    </row>
    <row r="1626" spans="1:1" ht="11.75" customHeight="1">
      <c r="A1626" s="1989">
        <f>1.21*G108*D20*24/1000</f>
        <v>156.29328000000001</v>
      </c>
    </row>
    <row r="1627" spans="1:1" ht="11.75" customHeight="1">
      <c r="A1627" s="1989">
        <f>1.21*G108*D20*24</f>
        <v>156293.28</v>
      </c>
    </row>
    <row r="1628" spans="1:1" ht="11.75" customHeight="1">
      <c r="A1628" s="1989">
        <f>1.21*G108*D20</f>
        <v>6512.22</v>
      </c>
    </row>
    <row r="1629" spans="1:1" ht="11.75" customHeight="1">
      <c r="A1629" s="1989">
        <f>1.21*G108</f>
        <v>1.4157</v>
      </c>
    </row>
    <row r="1630" spans="1:1" ht="11.75" customHeight="1">
      <c r="A1630" s="1989" t="b">
        <f>D108="Measured"</f>
        <v>0</v>
      </c>
    </row>
    <row r="1631" spans="1:1" ht="11.75" customHeight="1">
      <c r="A1631" s="1989">
        <f>G109*D105/D101*3.6</f>
        <v>17.44312813431209</v>
      </c>
    </row>
    <row r="1632" spans="1:1" ht="11.75" customHeight="1">
      <c r="A1632" s="1989">
        <f>G109*D105</f>
        <v>12000</v>
      </c>
    </row>
    <row r="1633" spans="1:1" ht="11.75" customHeight="1">
      <c r="A1633" s="1989">
        <f>D101*3.6</f>
        <v>8915.8319999999985</v>
      </c>
    </row>
    <row r="1634" spans="1:1" ht="11.75" customHeight="1">
      <c r="A1634" s="1989">
        <f>IF(D108="AL-1A",0.89,IF(D108="AL-2A",0.71,IF(D108="AL-3A",0.53,IF(D108="AL-4A",0.35,IF(D108="AL-5A",0.21,IF(D108="AL-1B",1.17,IF(D108="AL-2B",0.98,IF(D108="AL-3B",0.78,IF(D108="AL-4B",0.59,IF(D108="AL-5B",0.39,IF(D108="AL-6B",0.23,IF(D108="PH Classic",0.6*D105/D101*3.6,IF(D108="PH Low",1*D105/D101*3.6,IF(D108="PH+",0.1))))))))))))))</f>
        <v>1.17</v>
      </c>
    </row>
    <row r="1635" spans="1:1" ht="11.75" customHeight="1">
      <c r="A1635" s="1989">
        <f>IF(H20="Present",VLOOKUP(H19,CANADA!A6:K699,9,FALSE),VLOOKUP(H19,CANADA!A6:K699,11,FALSE))</f>
        <v>4600</v>
      </c>
    </row>
    <row r="1636" spans="1:1" ht="11.75" customHeight="1">
      <c r="A1636" s="1989">
        <f>MATCH('NRL50-n-Factors'!D34,'NRL50-n-Factors'!C38:C49,0)</f>
        <v>5</v>
      </c>
    </row>
    <row r="1637" spans="1:1" ht="11.75" customHeight="1">
      <c r="A1637" s="1989">
        <f>MATCH(REPORT!D103,'NRL50-n-Factors'!D37:J37,0)</f>
        <v>2</v>
      </c>
    </row>
    <row r="1638" spans="1:1" ht="11.75" customHeight="1">
      <c r="A1638" s="1989" t="b">
        <f>D51="Gas"</f>
        <v>0</v>
      </c>
    </row>
    <row r="1639" spans="1:1" ht="11.75" customHeight="1">
      <c r="A1639" s="1989">
        <f>D$20*G101*24</f>
        <v>30728.853316304834</v>
      </c>
    </row>
    <row r="1640" spans="1:1" ht="11.75" customHeight="1">
      <c r="A1640" s="1989">
        <f>SUM(H65:H67)</f>
        <v>84390.33600000001</v>
      </c>
    </row>
    <row r="1641" spans="1:1" ht="11.75" customHeight="1">
      <c r="A1641" s="1989">
        <f>IF(D113="Heatpump",K51+D117+D114+M43+H70,IF(D113="Gas",K51+D117+M43+H70))</f>
        <v>132765.64793897627</v>
      </c>
    </row>
    <row r="1642" spans="1:1" ht="11.75" customHeight="1">
      <c r="A1642" s="1989" t="b">
        <f>D113="Heatpump"</f>
        <v>1</v>
      </c>
    </row>
    <row r="1643" spans="1:1" ht="11.75" customHeight="1">
      <c r="A1643" s="1990">
        <f>K51+D117+D114+M43+H70</f>
        <v>132765.64793897627</v>
      </c>
    </row>
    <row r="1644" spans="1:1" ht="11.75" customHeight="1">
      <c r="A1644" s="1989" t="b">
        <f>IF(D113="Gas",K51+D117+M43+H70)</f>
        <v>0</v>
      </c>
    </row>
    <row r="1645" spans="1:1" ht="11.75" customHeight="1">
      <c r="A1645" s="1989">
        <f>SUM(D44:D46)</f>
        <v>0</v>
      </c>
    </row>
    <row r="1646" spans="1:1" ht="11.75" customHeight="1">
      <c r="A1646" s="1990">
        <f>I44+I45</f>
        <v>0</v>
      </c>
    </row>
    <row r="1647" spans="1:1" ht="11.75" customHeight="1">
      <c r="A1647" s="1989">
        <f>H28*0.0373</f>
        <v>0</v>
      </c>
    </row>
    <row r="1648" spans="1:1" ht="11.75" customHeight="1">
      <c r="A1648" s="1989">
        <f>H30*36.72</f>
        <v>0</v>
      </c>
    </row>
    <row r="1649" spans="1:1" ht="11.75" customHeight="1">
      <c r="A1649" s="1990">
        <f>H27-D43</f>
        <v>132765.64793897627</v>
      </c>
    </row>
    <row r="1650" spans="1:1" ht="11.75" customHeight="1">
      <c r="A1650" s="1989" t="b">
        <f>D113="Electricity"</f>
        <v>0</v>
      </c>
    </row>
    <row r="1651" spans="1:1" ht="11.75" customHeight="1">
      <c r="A1651" s="1990">
        <f>I103+K51+D117+M121+I101+I102+M43+SUM(H65:H67)</f>
        <v>265287.6445956853</v>
      </c>
    </row>
    <row r="1652" spans="1:1" ht="11.75" customHeight="1">
      <c r="A1652" s="1990">
        <f>I103+K51+D117+M121+I101+I102+M43</f>
        <v>180897.30859568529</v>
      </c>
    </row>
    <row r="1653" spans="1:1" ht="11.75" customHeight="1">
      <c r="A1653" s="1990">
        <f>I103+K51+D117+M121+I101+I102</f>
        <v>180897.30859568529</v>
      </c>
    </row>
    <row r="1654" spans="1:1" ht="11.75" customHeight="1">
      <c r="A1654" s="1990">
        <f>I103+K51+D117+M121+I101</f>
        <v>164109.06314703665</v>
      </c>
    </row>
    <row r="1655" spans="1:1" ht="11.75" customHeight="1">
      <c r="A1655" s="1990">
        <f>I103+K51+D117+M121</f>
        <v>88005.3704468098</v>
      </c>
    </row>
    <row r="1656" spans="1:1" ht="11.75" customHeight="1">
      <c r="A1656" s="1990">
        <f>I103+K51+D117</f>
        <v>39024.570446809812</v>
      </c>
    </row>
    <row r="1657" spans="1:1" ht="11.75" customHeight="1">
      <c r="A1657" s="1990">
        <f>I103+K51</f>
        <v>36006.531012790423</v>
      </c>
    </row>
    <row r="1658" spans="1:1" ht="11.75" customHeight="1">
      <c r="A1658" s="1989">
        <f>1.21*G108*D20*24/1000*D101</f>
        <v>387079.06311359996</v>
      </c>
    </row>
    <row r="1659" spans="1:1" ht="11.75" customHeight="1">
      <c r="A1659" s="1989">
        <f>1.21*G108*D20*24/1000</f>
        <v>156.29328000000001</v>
      </c>
    </row>
    <row r="1660" spans="1:1" ht="11.75" customHeight="1">
      <c r="A1660" s="1989">
        <f>1.21*G108*D20*24</f>
        <v>156293.28</v>
      </c>
    </row>
    <row r="1661" spans="1:1" ht="11.75" customHeight="1">
      <c r="A1661" s="1989">
        <f>1.21*G108*D20</f>
        <v>6512.22</v>
      </c>
    </row>
    <row r="1662" spans="1:1" ht="11.75" customHeight="1">
      <c r="A1662" s="1989">
        <f>1.21*G108</f>
        <v>1.4157</v>
      </c>
    </row>
    <row r="1663" spans="1:1" ht="11.75" customHeight="1">
      <c r="A1663" s="1989" t="b">
        <f>D108="Measured"</f>
        <v>0</v>
      </c>
    </row>
    <row r="1664" spans="1:1" ht="11.75" customHeight="1">
      <c r="A1664" s="1989">
        <f>G109*D105/D101*3.6</f>
        <v>17.44312813431209</v>
      </c>
    </row>
    <row r="1665" spans="1:1" ht="11.75" customHeight="1">
      <c r="A1665" s="1989">
        <f>G109*D105</f>
        <v>12000</v>
      </c>
    </row>
    <row r="1666" spans="1:1" ht="11.75" customHeight="1">
      <c r="A1666" s="1989">
        <f>D101*3.6</f>
        <v>8915.8319999999985</v>
      </c>
    </row>
    <row r="1667" spans="1:1" ht="11.75" customHeight="1">
      <c r="A1667" s="1989">
        <f>IF(D108="AL-1A",0.89,IF(D108="AL-2A",0.71,IF(D108="AL-3A",0.53,IF(D108="AL-4A",0.35,IF(D108="AL-5A",0.21,IF(D108="AL-1B",1.17,IF(D108="AL-2B",0.98,IF(D108="AL-3B",0.78,IF(D108="AL-4B",0.59,IF(D108="AL-5B",0.39,IF(D108="AL-6B",0.23,IF(D108="PH Classic",0.6*D105/D101*3.6,IF(D108="PH Low",1*D105/D101*3.6,IF(D108="PH+",0.1))))))))))))))</f>
        <v>1.17</v>
      </c>
    </row>
    <row r="1668" spans="1:1" ht="11.75" customHeight="1">
      <c r="A1668" s="1989">
        <f>IF(H20="Present",VLOOKUP(H19,CANADA!A6:K699,9,FALSE),VLOOKUP(H19,CANADA!A6:K699,11,FALSE))</f>
        <v>4600</v>
      </c>
    </row>
    <row r="1669" spans="1:1" ht="11.75" customHeight="1">
      <c r="A1669" s="1989">
        <f>MATCH('NRL50-n-Factors'!D34,'NRL50-n-Factors'!C38:C49,0)</f>
        <v>5</v>
      </c>
    </row>
    <row r="1670" spans="1:1" ht="11.75" customHeight="1">
      <c r="A1670" s="1989">
        <f>MATCH(REPORT!D103,'NRL50-n-Factors'!D37:J37,0)</f>
        <v>2</v>
      </c>
    </row>
    <row r="1671" spans="1:1" ht="11.75" customHeight="1">
      <c r="A1671" s="1989" t="b">
        <f>D51="Gas"</f>
        <v>0</v>
      </c>
    </row>
    <row r="1672" spans="1:1" ht="11.75" customHeight="1">
      <c r="A1672" s="1989">
        <f>D$20*G101*24</f>
        <v>30728.853316304834</v>
      </c>
    </row>
    <row r="1673" spans="1:1" ht="11.75" customHeight="1">
      <c r="A1673" s="1989">
        <f>SUM(H65:H67)</f>
        <v>84390.33600000001</v>
      </c>
    </row>
    <row r="1674" spans="1:1" ht="11.75" customHeight="1">
      <c r="A1674" s="1989">
        <f>IF(D113="Heatpump",K51+D117+D114+M43+H70,IF(D113="Gas",K51+D117+M43+H70))</f>
        <v>132765.64793897627</v>
      </c>
    </row>
    <row r="1675" spans="1:1" ht="11.75" customHeight="1">
      <c r="A1675" s="1989" t="b">
        <f>D113="Heatpump"</f>
        <v>1</v>
      </c>
    </row>
    <row r="1676" spans="1:1" ht="11.75" customHeight="1">
      <c r="A1676" s="1990">
        <f>K51+D117+D114+M43+H70</f>
        <v>132765.64793897627</v>
      </c>
    </row>
    <row r="1677" spans="1:1" ht="11.75" customHeight="1">
      <c r="A1677" s="1989" t="b">
        <f>IF(D113="Gas",K51+D117+M43+H70)</f>
        <v>0</v>
      </c>
    </row>
    <row r="1678" spans="1:1" ht="11.75" customHeight="1">
      <c r="A1678" s="1989">
        <f>SUM(D44:D46)</f>
        <v>0</v>
      </c>
    </row>
    <row r="1679" spans="1:1" ht="11.75" customHeight="1">
      <c r="A1679" s="1990">
        <f>I44+I45</f>
        <v>0</v>
      </c>
    </row>
    <row r="1680" spans="1:1" ht="11.75" customHeight="1">
      <c r="A1680" s="1989">
        <f>H28*0.0373</f>
        <v>0</v>
      </c>
    </row>
    <row r="1681" spans="1:1" ht="11.75" customHeight="1">
      <c r="A1681" s="1989">
        <f>H30*36.72</f>
        <v>0</v>
      </c>
    </row>
    <row r="1682" spans="1:1" ht="11.75" customHeight="1">
      <c r="A1682" s="1990">
        <f>H27-D43</f>
        <v>132765.64793897627</v>
      </c>
    </row>
    <row r="1683" spans="1:1" ht="11.75" customHeight="1">
      <c r="A1683" s="1989" t="b">
        <f>D113="Electricity"</f>
        <v>0</v>
      </c>
    </row>
    <row r="1684" spans="1:1" ht="11.75" customHeight="1">
      <c r="A1684" s="1990">
        <f>I103+K51+D117+M121+I101+I102+M43+SUM(H65:H67)</f>
        <v>265287.6445956853</v>
      </c>
    </row>
    <row r="1685" spans="1:1" ht="11.75" customHeight="1">
      <c r="A1685" s="1990">
        <f>I103+K51+D117+M121+I101+I102+M43</f>
        <v>180897.30859568529</v>
      </c>
    </row>
    <row r="1686" spans="1:1" ht="11.75" customHeight="1">
      <c r="A1686" s="1990">
        <f>I103+K51+D117+M121+I101+I102</f>
        <v>180897.30859568529</v>
      </c>
    </row>
    <row r="1687" spans="1:1" ht="11.75" customHeight="1">
      <c r="A1687" s="1990">
        <f>I103+K51+D117+M121+I101</f>
        <v>164109.06314703665</v>
      </c>
    </row>
    <row r="1688" spans="1:1" ht="11.75" customHeight="1">
      <c r="A1688" s="1990">
        <f>I103+K51+D117+M121</f>
        <v>88005.3704468098</v>
      </c>
    </row>
    <row r="1689" spans="1:1" ht="11.75" customHeight="1">
      <c r="A1689" s="1990">
        <f>I103+K51+D117</f>
        <v>39024.570446809812</v>
      </c>
    </row>
    <row r="1690" spans="1:1" ht="11.75" customHeight="1">
      <c r="A1690" s="1990">
        <f>I103+K51</f>
        <v>36006.531012790423</v>
      </c>
    </row>
    <row r="1691" spans="1:1" ht="11.75" customHeight="1">
      <c r="A1691" s="1989">
        <f>1.21*G108*D20*24/1000*D101</f>
        <v>387079.06311359996</v>
      </c>
    </row>
    <row r="1692" spans="1:1" ht="11.75" customHeight="1">
      <c r="A1692" s="1989">
        <f>1.21*G108*D20*24/1000</f>
        <v>156.29328000000001</v>
      </c>
    </row>
    <row r="1693" spans="1:1" ht="11.75" customHeight="1">
      <c r="A1693" s="1989">
        <f>1.21*G108*D20*24</f>
        <v>156293.28</v>
      </c>
    </row>
    <row r="1694" spans="1:1" ht="11.75" customHeight="1">
      <c r="A1694" s="1989">
        <f>1.21*G108*D20</f>
        <v>6512.22</v>
      </c>
    </row>
    <row r="1695" spans="1:1" ht="11.75" customHeight="1">
      <c r="A1695" s="1989">
        <f>1.21*G108</f>
        <v>1.4157</v>
      </c>
    </row>
    <row r="1696" spans="1:1" ht="11.75" customHeight="1">
      <c r="A1696" s="1989" t="b">
        <f>D108="Measured"</f>
        <v>0</v>
      </c>
    </row>
    <row r="1697" spans="1:1" ht="11.75" customHeight="1">
      <c r="A1697" s="1989">
        <f>G109*D105/D101*3.6</f>
        <v>17.44312813431209</v>
      </c>
    </row>
    <row r="1698" spans="1:1" ht="11.75" customHeight="1">
      <c r="A1698" s="1990">
        <f>H27-D43</f>
        <v>132765.64793897627</v>
      </c>
    </row>
    <row r="1699" spans="1:1" ht="11.75" customHeight="1">
      <c r="A1699" s="1989" t="b">
        <f>D113="Electricity"</f>
        <v>0</v>
      </c>
    </row>
    <row r="1700" spans="1:1" ht="11.75" customHeight="1">
      <c r="A1700" s="1990">
        <f>I103+K51+D117+M121+I101+I102+M43+SUM(H65:H67)</f>
        <v>265287.6445956853</v>
      </c>
    </row>
    <row r="1701" spans="1:1" ht="11.75" customHeight="1">
      <c r="A1701" s="1990">
        <f>I103+K51+D117+M121+I101+I102+M43</f>
        <v>180897.30859568529</v>
      </c>
    </row>
    <row r="1702" spans="1:1" ht="11.75" customHeight="1">
      <c r="A1702" s="1990">
        <f>I103+K51+D117+M121+I101+I102</f>
        <v>180897.30859568529</v>
      </c>
    </row>
    <row r="1703" spans="1:1" ht="11.75" customHeight="1">
      <c r="A1703" s="1990">
        <f>I103+K51+D117+M121+I101</f>
        <v>164109.06314703665</v>
      </c>
    </row>
    <row r="1704" spans="1:1" ht="11.75" customHeight="1">
      <c r="A1704" s="1990">
        <f>I103+K51+D117+M121</f>
        <v>88005.3704468098</v>
      </c>
    </row>
    <row r="1705" spans="1:1" ht="11.75" customHeight="1">
      <c r="A1705" s="1990">
        <f>I103+K51+D117</f>
        <v>39024.570446809812</v>
      </c>
    </row>
    <row r="1706" spans="1:1" ht="11.75" customHeight="1">
      <c r="A1706" s="1990">
        <f>I103+K51</f>
        <v>36006.531012790423</v>
      </c>
    </row>
    <row r="1707" spans="1:1" ht="11.75" customHeight="1">
      <c r="A1707" s="1989">
        <f>1.21*G108*D20*24/1000*D101</f>
        <v>387079.06311359996</v>
      </c>
    </row>
    <row r="1708" spans="1:1" ht="11.75" customHeight="1">
      <c r="A1708" s="1989">
        <f>1.21*G108*D20*24/1000</f>
        <v>156.29328000000001</v>
      </c>
    </row>
    <row r="1709" spans="1:1" ht="11.75" customHeight="1">
      <c r="A1709" s="1989">
        <f>1.21*G108*D20*24</f>
        <v>156293.28</v>
      </c>
    </row>
    <row r="1710" spans="1:1" ht="11.75" customHeight="1">
      <c r="A1710" s="1989">
        <f>1.21*G108*D20</f>
        <v>6512.22</v>
      </c>
    </row>
    <row r="1711" spans="1:1" ht="11.75" customHeight="1">
      <c r="A1711" s="1989">
        <f>1.21*G108</f>
        <v>1.4157</v>
      </c>
    </row>
    <row r="1712" spans="1:1" ht="11.75" customHeight="1">
      <c r="A1712" s="1989" t="b">
        <f>D108="Measured"</f>
        <v>0</v>
      </c>
    </row>
    <row r="1713" spans="1:1" ht="11.75" customHeight="1">
      <c r="A1713" s="1989">
        <f>G109*D105/D101*3.6</f>
        <v>17.44312813431209</v>
      </c>
    </row>
    <row r="1714" spans="1:1" ht="11.75" customHeight="1">
      <c r="A1714" s="1989">
        <f>G109*D105</f>
        <v>12000</v>
      </c>
    </row>
    <row r="1715" spans="1:1" ht="11.75" customHeight="1">
      <c r="A1715" s="1989">
        <f>D101*3.6</f>
        <v>8915.8319999999985</v>
      </c>
    </row>
    <row r="1716" spans="1:1" ht="11.75" customHeight="1">
      <c r="A1716" s="1989">
        <f>IF(D108="AL-1A",0.89,IF(D108="AL-2A",0.71,IF(D108="AL-3A",0.53,IF(D108="AL-4A",0.35,IF(D108="AL-5A",0.21,IF(D108="AL-1B",1.17,IF(D108="AL-2B",0.98,IF(D108="AL-3B",0.78,IF(D108="AL-4B",0.59,IF(D108="AL-5B",0.39,IF(D108="AL-6B",0.23,IF(D108="PH Classic",0.6*D105/D101*3.6,IF(D108="PH Low",1*D105/D101*3.6,IF(D108="PH+",0.1))))))))))))))</f>
        <v>1.17</v>
      </c>
    </row>
    <row r="1717" spans="1:1" ht="11.75" customHeight="1">
      <c r="A1717" s="1989">
        <f>IF(H20="Present",VLOOKUP(H19,CANADA!A6:K699,9,FALSE),VLOOKUP(H19,CANADA!A6:K699,11,FALSE))</f>
        <v>4600</v>
      </c>
    </row>
    <row r="1718" spans="1:1" ht="11.75" customHeight="1">
      <c r="A1718" s="1989">
        <f>MATCH('NRL50-n-Factors'!D34,'NRL50-n-Factors'!C38:C49,0)</f>
        <v>5</v>
      </c>
    </row>
    <row r="1719" spans="1:1" ht="11.75" customHeight="1">
      <c r="A1719" s="1989">
        <f>MATCH(REPORT!D103,'NRL50-n-Factors'!D37:J37,0)</f>
        <v>2</v>
      </c>
    </row>
    <row r="1720" spans="1:1" ht="11.75" customHeight="1">
      <c r="A1720" s="1989" t="b">
        <f>D51="Gas"</f>
        <v>0</v>
      </c>
    </row>
    <row r="1721" spans="1:1" ht="11.75" customHeight="1">
      <c r="A1721" s="1989">
        <f>D$20*G101*24</f>
        <v>30728.853316304834</v>
      </c>
    </row>
    <row r="1722" spans="1:1" ht="11.75" customHeight="1">
      <c r="A1722" s="1989">
        <f>SUM(H65:H67)</f>
        <v>84390.33600000001</v>
      </c>
    </row>
    <row r="1723" spans="1:1" ht="11.75" customHeight="1">
      <c r="A1723" s="1989">
        <f>IF(D113="Heatpump",K51+D117+D114+M43+H70,IF(D113="Gas",K51+D117+M43+H70))</f>
        <v>132765.64793897627</v>
      </c>
    </row>
    <row r="1724" spans="1:1" ht="11.75" customHeight="1">
      <c r="A1724" s="1989" t="b">
        <f>D113="Heatpump"</f>
        <v>1</v>
      </c>
    </row>
    <row r="1725" spans="1:1" ht="11.75" customHeight="1">
      <c r="A1725" s="1990">
        <f>K51+D117+D114+M43+H70</f>
        <v>132765.64793897627</v>
      </c>
    </row>
    <row r="1726" spans="1:1" ht="11.75" customHeight="1">
      <c r="A1726" s="1989" t="b">
        <f>IF(D113="Gas",K51+D117+M43+H70)</f>
        <v>0</v>
      </c>
    </row>
    <row r="1727" spans="1:1" ht="11.75" customHeight="1">
      <c r="A1727" s="1989">
        <f>SUM(D44:D46)</f>
        <v>0</v>
      </c>
    </row>
    <row r="1728" spans="1:1" ht="11.75" customHeight="1">
      <c r="A1728" s="1990">
        <f>I44+I45</f>
        <v>0</v>
      </c>
    </row>
    <row r="1729" spans="1:1" ht="11.75" customHeight="1">
      <c r="A1729" s="1989">
        <f>H28*0.0373</f>
        <v>0</v>
      </c>
    </row>
    <row r="1730" spans="1:1" ht="11.75" customHeight="1">
      <c r="A1730" s="1989">
        <f>H30*36.72</f>
        <v>0</v>
      </c>
    </row>
    <row r="1731" spans="1:1" ht="11.75" customHeight="1">
      <c r="A1731" s="1990">
        <f>H27-D43</f>
        <v>132765.64793897627</v>
      </c>
    </row>
    <row r="1732" spans="1:1" ht="11.75" customHeight="1">
      <c r="A1732" s="1989" t="b">
        <f>D113="Electricity"</f>
        <v>0</v>
      </c>
    </row>
    <row r="1733" spans="1:1" ht="11.75" customHeight="1">
      <c r="A1733" s="1990">
        <f>I103+K51+D117+M121+I101+I102+M43+SUM(H65:H67)</f>
        <v>265287.6445956853</v>
      </c>
    </row>
    <row r="1734" spans="1:1" ht="11.75" customHeight="1">
      <c r="A1734" s="1990">
        <f>I103+K51+D117+M121+I101+I102+M43</f>
        <v>180897.30859568529</v>
      </c>
    </row>
    <row r="1735" spans="1:1" ht="11.75" customHeight="1">
      <c r="A1735" s="1990">
        <f>I103+K51+D117+M121+I101+I102</f>
        <v>180897.30859568529</v>
      </c>
    </row>
    <row r="1736" spans="1:1" ht="11.75" customHeight="1">
      <c r="A1736" s="1990">
        <f>I103+K51+D117+M121+I101</f>
        <v>164109.06314703665</v>
      </c>
    </row>
    <row r="1737" spans="1:1" ht="11.75" customHeight="1">
      <c r="A1737" s="1990">
        <f>I103+K51+D117+M121</f>
        <v>88005.3704468098</v>
      </c>
    </row>
    <row r="1738" spans="1:1" ht="11.75" customHeight="1">
      <c r="A1738" s="1990">
        <f>I103+K51+D117</f>
        <v>39024.570446809812</v>
      </c>
    </row>
    <row r="1739" spans="1:1" ht="11.75" customHeight="1">
      <c r="A1739" s="1990">
        <f>I103+K51</f>
        <v>36006.531012790423</v>
      </c>
    </row>
    <row r="1740" spans="1:1" ht="11.75" customHeight="1">
      <c r="A1740" s="1989">
        <f>1.21*G108*D20*24/1000*D101</f>
        <v>387079.06311359996</v>
      </c>
    </row>
    <row r="1741" spans="1:1" ht="11.75" customHeight="1">
      <c r="A1741" s="1989">
        <f>1.21*G108*D20*24/1000</f>
        <v>156.29328000000001</v>
      </c>
    </row>
    <row r="1742" spans="1:1" ht="11.75" customHeight="1">
      <c r="A1742" s="1989">
        <f>1.21*G108*D20*24</f>
        <v>156293.28</v>
      </c>
    </row>
    <row r="1743" spans="1:1" ht="11.75" customHeight="1">
      <c r="A1743" s="1989">
        <f>1.21*G108*D20</f>
        <v>6512.22</v>
      </c>
    </row>
    <row r="1744" spans="1:1" ht="11.75" customHeight="1">
      <c r="A1744" s="1989">
        <f>1.21*G108</f>
        <v>1.4157</v>
      </c>
    </row>
    <row r="1745" spans="1:1" ht="11.75" customHeight="1">
      <c r="A1745" s="1989" t="b">
        <f>D108="Measured"</f>
        <v>0</v>
      </c>
    </row>
    <row r="1746" spans="1:1" ht="11.75" customHeight="1">
      <c r="A1746" s="1989">
        <f>G109*D105/D101*3.6</f>
        <v>17.44312813431209</v>
      </c>
    </row>
    <row r="1747" spans="1:1" ht="11.75" customHeight="1">
      <c r="A1747" s="1989">
        <f>G109*D105</f>
        <v>12000</v>
      </c>
    </row>
    <row r="1748" spans="1:1" ht="11.75" customHeight="1">
      <c r="A1748" s="1989">
        <f>D101*3.6</f>
        <v>8915.8319999999985</v>
      </c>
    </row>
    <row r="1749" spans="1:1" ht="11.75" customHeight="1">
      <c r="A1749" s="1989">
        <f>IF(D108="AL-1A",0.89,IF(D108="AL-2A",0.71,IF(D108="AL-3A",0.53,IF(D108="AL-4A",0.35,IF(D108="AL-5A",0.21,IF(D108="AL-1B",1.17,IF(D108="AL-2B",0.98,IF(D108="AL-3B",0.78,IF(D108="AL-4B",0.59,IF(D108="AL-5B",0.39,IF(D108="AL-6B",0.23,IF(D108="PH Classic",0.6*D105/D101*3.6,IF(D108="PH Low",1*D105/D101*3.6,IF(D108="PH+",0.1))))))))))))))</f>
        <v>1.17</v>
      </c>
    </row>
    <row r="1750" spans="1:1" ht="11.75" customHeight="1">
      <c r="A1750" s="1989">
        <f>IF(H20="Present",VLOOKUP(H19,CANADA!A6:K699,9,FALSE),VLOOKUP(H19,CANADA!A6:K699,11,FALSE))</f>
        <v>4600</v>
      </c>
    </row>
    <row r="1751" spans="1:1" ht="11.75" customHeight="1">
      <c r="A1751" s="1989">
        <f>MATCH('NRL50-n-Factors'!D34,'NRL50-n-Factors'!C38:C49,0)</f>
        <v>5</v>
      </c>
    </row>
    <row r="1752" spans="1:1" ht="11.75" customHeight="1">
      <c r="A1752" s="1989">
        <f>MATCH(REPORT!D103,'NRL50-n-Factors'!D37:J37,0)</f>
        <v>2</v>
      </c>
    </row>
    <row r="1753" spans="1:1" ht="11.75" customHeight="1">
      <c r="A1753" s="1989" t="b">
        <f>D51="Gas"</f>
        <v>0</v>
      </c>
    </row>
    <row r="1754" spans="1:1" ht="11.75" customHeight="1">
      <c r="A1754" s="1989">
        <f>D$20*G101*24</f>
        <v>30728.853316304834</v>
      </c>
    </row>
    <row r="1755" spans="1:1" ht="11.75" customHeight="1">
      <c r="A1755" s="1989">
        <f>SUM(H65:H67)</f>
        <v>84390.33600000001</v>
      </c>
    </row>
    <row r="1756" spans="1:1" ht="11.75" customHeight="1">
      <c r="A1756" s="1989">
        <f>IF(D113="Heatpump",K51+D117+D114+M43+H70,IF(D113="Gas",K51+D117+M43+H70))</f>
        <v>132765.64793897627</v>
      </c>
    </row>
    <row r="1757" spans="1:1" ht="11.75" customHeight="1">
      <c r="A1757" s="1989" t="b">
        <f>D113="Heatpump"</f>
        <v>1</v>
      </c>
    </row>
    <row r="1758" spans="1:1" ht="11.75" customHeight="1">
      <c r="A1758" s="1990">
        <f>K51+D117+D114+M43+H70</f>
        <v>132765.64793897627</v>
      </c>
    </row>
    <row r="1759" spans="1:1" ht="11.75" customHeight="1">
      <c r="A1759" s="1989" t="b">
        <f>IF(D113="Gas",K51+D117+M43+H70)</f>
        <v>0</v>
      </c>
    </row>
    <row r="1760" spans="1:1" ht="11.75" customHeight="1">
      <c r="A1760" s="1989">
        <f>SUM(D44:D46)</f>
        <v>0</v>
      </c>
    </row>
    <row r="1761" spans="1:1" ht="11.75" customHeight="1">
      <c r="A1761" s="1990">
        <f>I44+I45</f>
        <v>0</v>
      </c>
    </row>
    <row r="1762" spans="1:1" ht="11.75" customHeight="1">
      <c r="A1762" s="1989">
        <f>H28*0.0373</f>
        <v>0</v>
      </c>
    </row>
    <row r="1763" spans="1:1" ht="11.75" customHeight="1">
      <c r="A1763" s="1989">
        <f>H30*36.72</f>
        <v>0</v>
      </c>
    </row>
    <row r="1764" spans="1:1" ht="11.75" customHeight="1">
      <c r="A1764" s="1990">
        <f>H27-D43</f>
        <v>132765.64793897627</v>
      </c>
    </row>
    <row r="1765" spans="1:1" ht="11.75" customHeight="1">
      <c r="A1765" s="1989" t="b">
        <f>D113="Electricity"</f>
        <v>0</v>
      </c>
    </row>
    <row r="1766" spans="1:1" ht="11.75" customHeight="1">
      <c r="A1766" s="1990">
        <f>I103+K51+D117+M121+I101+I102+M43+SUM(H65:H67)</f>
        <v>265287.6445956853</v>
      </c>
    </row>
    <row r="1767" spans="1:1" ht="11.75" customHeight="1">
      <c r="A1767" s="1990">
        <f>I103+K51+D117+M121+I101+I102+M43</f>
        <v>180897.30859568529</v>
      </c>
    </row>
    <row r="1768" spans="1:1" ht="11.75" customHeight="1">
      <c r="A1768" s="1990">
        <f>I103+K51+D117+M121+I101+I102</f>
        <v>180897.30859568529</v>
      </c>
    </row>
    <row r="1769" spans="1:1" ht="11.75" customHeight="1">
      <c r="A1769" s="1990">
        <f>I103+K51+D117+M121+I101</f>
        <v>164109.06314703665</v>
      </c>
    </row>
    <row r="1770" spans="1:1" ht="11.75" customHeight="1">
      <c r="A1770" s="1990">
        <f>I103+K51+D117+M121</f>
        <v>88005.3704468098</v>
      </c>
    </row>
    <row r="1771" spans="1:1" ht="11.75" customHeight="1">
      <c r="A1771" s="1990">
        <f>I103+K51+D117</f>
        <v>39024.570446809812</v>
      </c>
    </row>
    <row r="1772" spans="1:1" ht="11.75" customHeight="1">
      <c r="A1772" s="1990">
        <f>I103+K51</f>
        <v>36006.531012790423</v>
      </c>
    </row>
    <row r="1773" spans="1:1" ht="11.75" customHeight="1">
      <c r="A1773" s="1989">
        <f>1.21*G108*D20*24/1000*D101</f>
        <v>387079.06311359996</v>
      </c>
    </row>
    <row r="1774" spans="1:1" ht="11.75" customHeight="1">
      <c r="A1774" s="1989">
        <f>1.21*G108*D20*24/1000</f>
        <v>156.29328000000001</v>
      </c>
    </row>
    <row r="1775" spans="1:1" ht="11.75" customHeight="1">
      <c r="A1775" s="1989">
        <f>1.21*G108*D20*24</f>
        <v>156293.28</v>
      </c>
    </row>
    <row r="1776" spans="1:1" ht="11.75" customHeight="1">
      <c r="A1776" s="1989">
        <f>1.21*G108*D20</f>
        <v>6512.22</v>
      </c>
    </row>
    <row r="1777" spans="1:1" ht="11.75" customHeight="1">
      <c r="A1777" s="1989">
        <f>1.21*G108</f>
        <v>1.4157</v>
      </c>
    </row>
    <row r="1778" spans="1:1" ht="11.75" customHeight="1">
      <c r="A1778" s="1989" t="b">
        <f>D108="Measured"</f>
        <v>0</v>
      </c>
    </row>
    <row r="1779" spans="1:1" ht="11.75" customHeight="1">
      <c r="A1779" s="1989">
        <f>G109*D105/D101*3.6</f>
        <v>17.44312813431209</v>
      </c>
    </row>
    <row r="1780" spans="1:1" ht="11.75" customHeight="1">
      <c r="A1780" s="1989">
        <f>G109*D105</f>
        <v>12000</v>
      </c>
    </row>
    <row r="1781" spans="1:1" ht="11.75" customHeight="1">
      <c r="A1781" s="1989">
        <f>D101*3.6</f>
        <v>8915.8319999999985</v>
      </c>
    </row>
    <row r="1782" spans="1:1" ht="11.75" customHeight="1">
      <c r="A1782" s="1989">
        <f>IF(D108="AL-1A",0.89,IF(D108="AL-2A",0.71,IF(D108="AL-3A",0.53,IF(D108="AL-4A",0.35,IF(D108="AL-5A",0.21,IF(D108="AL-1B",1.17,IF(D108="AL-2B",0.98,IF(D108="AL-3B",0.78,IF(D108="AL-4B",0.59,IF(D108="AL-5B",0.39,IF(D108="AL-6B",0.23,IF(D108="PH Classic",0.6*D105/D101*3.6,IF(D108="PH Low",1*D105/D101*3.6,IF(D108="PH+",0.1))))))))))))))</f>
        <v>1.17</v>
      </c>
    </row>
    <row r="1783" spans="1:1" ht="11.75" customHeight="1">
      <c r="A1783" s="1989">
        <f>IF(H20="Present",VLOOKUP(H19,CANADA!A6:K699,9,FALSE),VLOOKUP(H19,CANADA!A6:K699,11,FALSE))</f>
        <v>4600</v>
      </c>
    </row>
    <row r="1784" spans="1:1" ht="11.75" customHeight="1">
      <c r="A1784" s="1989">
        <f>MATCH('NRL50-n-Factors'!D34,'NRL50-n-Factors'!C38:C49,0)</f>
        <v>5</v>
      </c>
    </row>
    <row r="1785" spans="1:1" ht="11.75" customHeight="1">
      <c r="A1785" s="1989">
        <f>MATCH(REPORT!D103,'NRL50-n-Factors'!D37:J37,0)</f>
        <v>2</v>
      </c>
    </row>
    <row r="1786" spans="1:1" ht="11.75" customHeight="1">
      <c r="A1786" s="1989" t="b">
        <f>D51="Gas"</f>
        <v>0</v>
      </c>
    </row>
    <row r="1787" spans="1:1" ht="11.75" customHeight="1">
      <c r="A1787" s="1989">
        <f>D$20*G101*24</f>
        <v>30728.853316304834</v>
      </c>
    </row>
    <row r="1788" spans="1:1" ht="11.75" customHeight="1">
      <c r="A1788" s="1989">
        <f>SUM(H65:H67)</f>
        <v>84390.33600000001</v>
      </c>
    </row>
    <row r="1789" spans="1:1" ht="11.75" customHeight="1">
      <c r="A1789" s="1989">
        <f>IF(D113="Heatpump",K51+D117+D114+M43+H70,IF(D113="Gas",K51+D117+M43+H70))</f>
        <v>132765.64793897627</v>
      </c>
    </row>
    <row r="1790" spans="1:1" ht="11.75" customHeight="1">
      <c r="A1790" s="1989" t="b">
        <f>D113="Heatpump"</f>
        <v>1</v>
      </c>
    </row>
    <row r="1791" spans="1:1" ht="11.75" customHeight="1">
      <c r="A1791" s="1990">
        <f>K51+D117+D114+M43+H70</f>
        <v>132765.64793897627</v>
      </c>
    </row>
    <row r="1792" spans="1:1" ht="11.75" customHeight="1">
      <c r="A1792" s="1989" t="b">
        <f>IF(D113="Gas",K51+D117+M43+H70)</f>
        <v>0</v>
      </c>
    </row>
    <row r="1793" spans="1:1" ht="11.75" customHeight="1">
      <c r="A1793" s="1989">
        <f>SUM(D44:D46)</f>
        <v>0</v>
      </c>
    </row>
    <row r="1794" spans="1:1" ht="11.75" customHeight="1">
      <c r="A1794" s="1990">
        <f>I44+I45</f>
        <v>0</v>
      </c>
    </row>
    <row r="1795" spans="1:1" ht="11.75" customHeight="1">
      <c r="A1795" s="1989">
        <f>H28*0.0373</f>
        <v>0</v>
      </c>
    </row>
    <row r="1796" spans="1:1" ht="11.75" customHeight="1">
      <c r="A1796" s="1989">
        <f>H30*36.72</f>
        <v>0</v>
      </c>
    </row>
    <row r="1797" spans="1:1" ht="11.75" customHeight="1">
      <c r="A1797" s="1990">
        <f>H27-D43</f>
        <v>132765.64793897627</v>
      </c>
    </row>
    <row r="1798" spans="1:1" ht="11.75" customHeight="1">
      <c r="A1798" s="1989" t="b">
        <f>D113="Electricity"</f>
        <v>0</v>
      </c>
    </row>
    <row r="1799" spans="1:1" ht="11.75" customHeight="1">
      <c r="A1799" s="1990">
        <f>I103+K51+D117+M121+I101+I102+M43+SUM(H65:H67)</f>
        <v>265287.6445956853</v>
      </c>
    </row>
    <row r="1800" spans="1:1" ht="11.75" customHeight="1">
      <c r="A1800" s="1990">
        <f>I103+K51+D117+M121+I101+I102+M43</f>
        <v>180897.30859568529</v>
      </c>
    </row>
    <row r="1801" spans="1:1" ht="11.75" customHeight="1">
      <c r="A1801" s="1990">
        <f>I103+K51+D117+M121+I101+I102</f>
        <v>180897.30859568529</v>
      </c>
    </row>
    <row r="1802" spans="1:1" ht="11.75" customHeight="1">
      <c r="A1802" s="1990">
        <f>I103+K51+D117+M121+I101</f>
        <v>164109.06314703665</v>
      </c>
    </row>
    <row r="1803" spans="1:1" ht="11.75" customHeight="1">
      <c r="A1803" s="1990">
        <f>I103+K51+D117+M121</f>
        <v>88005.3704468098</v>
      </c>
    </row>
    <row r="1804" spans="1:1" ht="11.75" customHeight="1">
      <c r="A1804" s="1990">
        <f>I103+K51+D117</f>
        <v>39024.570446809812</v>
      </c>
    </row>
    <row r="1805" spans="1:1" ht="11.75" customHeight="1">
      <c r="A1805" s="1990">
        <f>I103+K51</f>
        <v>36006.531012790423</v>
      </c>
    </row>
    <row r="1806" spans="1:1" ht="11.75" customHeight="1">
      <c r="A1806" s="1989">
        <f>1.21*G108*D20*24/1000*D101</f>
        <v>387079.06311359996</v>
      </c>
    </row>
    <row r="1807" spans="1:1" ht="11.75" customHeight="1">
      <c r="A1807" s="1989">
        <f>1.21*G108*D20*24/1000</f>
        <v>156.29328000000001</v>
      </c>
    </row>
    <row r="1808" spans="1:1" ht="11.75" customHeight="1">
      <c r="A1808" s="1989">
        <f>1.21*G108*D20*24</f>
        <v>156293.28</v>
      </c>
    </row>
    <row r="1809" spans="1:1" ht="11.75" customHeight="1">
      <c r="A1809" s="1989">
        <f>1.21*G108*D20</f>
        <v>6512.22</v>
      </c>
    </row>
    <row r="1810" spans="1:1" ht="11.75" customHeight="1">
      <c r="A1810" s="1989">
        <f>1.21*G108</f>
        <v>1.4157</v>
      </c>
    </row>
    <row r="1811" spans="1:1" ht="11.75" customHeight="1">
      <c r="A1811" s="1989" t="b">
        <f>D108="Measured"</f>
        <v>0</v>
      </c>
    </row>
    <row r="1812" spans="1:1" ht="11.75" customHeight="1">
      <c r="A1812" s="1989">
        <f>G109*D105/D101*3.6</f>
        <v>17.44312813431209</v>
      </c>
    </row>
    <row r="1813" spans="1:1" ht="11.75" customHeight="1">
      <c r="A1813" s="1989">
        <f>G109*D105</f>
        <v>12000</v>
      </c>
    </row>
    <row r="1814" spans="1:1" ht="11.75" customHeight="1">
      <c r="A1814" s="1989">
        <f>D101*3.6</f>
        <v>8915.8319999999985</v>
      </c>
    </row>
    <row r="1815" spans="1:1" ht="11.75" customHeight="1">
      <c r="A1815" s="1989">
        <f>IF(D108="AL-1A",0.89,IF(D108="AL-2A",0.71,IF(D108="AL-3A",0.53,IF(D108="AL-4A",0.35,IF(D108="AL-5A",0.21,IF(D108="AL-1B",1.17,IF(D108="AL-2B",0.98,IF(D108="AL-3B",0.78,IF(D108="AL-4B",0.59,IF(D108="AL-5B",0.39,IF(D108="AL-6B",0.23,IF(D108="PH Classic",0.6*D105/D101*3.6,IF(D108="PH Low",1*D105/D101*3.6,IF(D108="PH+",0.1))))))))))))))</f>
        <v>1.17</v>
      </c>
    </row>
    <row r="1816" spans="1:1" ht="11.75" customHeight="1">
      <c r="A1816" s="1989">
        <f>IF(H20="Present",VLOOKUP(H19,CANADA!A6:K699,9,FALSE),VLOOKUP(H19,CANADA!A6:K699,11,FALSE))</f>
        <v>4600</v>
      </c>
    </row>
    <row r="1817" spans="1:1" ht="11.75" customHeight="1">
      <c r="A1817" s="1989">
        <f>MATCH('NRL50-n-Factors'!D34,'NRL50-n-Factors'!C38:C49,0)</f>
        <v>5</v>
      </c>
    </row>
    <row r="1818" spans="1:1" ht="11.75" customHeight="1">
      <c r="A1818" s="1989">
        <f>MATCH(REPORT!D103,'NRL50-n-Factors'!D37:J37,0)</f>
        <v>2</v>
      </c>
    </row>
    <row r="1819" spans="1:1" ht="11.75" customHeight="1">
      <c r="A1819" s="1989" t="b">
        <f>D51="Gas"</f>
        <v>0</v>
      </c>
    </row>
    <row r="1820" spans="1:1" ht="11.75" customHeight="1">
      <c r="A1820" s="1989">
        <f>D$20*G101*24</f>
        <v>30728.853316304834</v>
      </c>
    </row>
    <row r="1821" spans="1:1" ht="11.75" customHeight="1">
      <c r="A1821" s="1989">
        <f>SUM(H65:H67)</f>
        <v>84390.33600000001</v>
      </c>
    </row>
    <row r="1822" spans="1:1" ht="11.75" customHeight="1">
      <c r="A1822" s="1989">
        <f>IF(D113="Heatpump",K51+D117+D114+M43+H70,IF(D113="Gas",K51+D117+M43+H70))</f>
        <v>132765.64793897627</v>
      </c>
    </row>
    <row r="1823" spans="1:1" ht="11.75" customHeight="1">
      <c r="A1823" s="1989" t="b">
        <f>D113="Heatpump"</f>
        <v>1</v>
      </c>
    </row>
    <row r="1824" spans="1:1" ht="11.75" customHeight="1">
      <c r="A1824" s="1990">
        <f>K51+D117+D114+M43+H70</f>
        <v>132765.64793897627</v>
      </c>
    </row>
    <row r="1825" spans="1:1" ht="11.75" customHeight="1">
      <c r="A1825" s="1989" t="b">
        <f>IF(D113="Gas",K51+D117+M43+H70)</f>
        <v>0</v>
      </c>
    </row>
    <row r="1826" spans="1:1" ht="11.75" customHeight="1">
      <c r="A1826" s="1989">
        <f>SUM(D44:D46)</f>
        <v>0</v>
      </c>
    </row>
    <row r="1827" spans="1:1" ht="11.75" customHeight="1">
      <c r="A1827" s="1990">
        <f>I44+I45</f>
        <v>0</v>
      </c>
    </row>
    <row r="1828" spans="1:1" ht="11.75" customHeight="1">
      <c r="A1828" s="1989">
        <f>H28*0.0373</f>
        <v>0</v>
      </c>
    </row>
    <row r="1829" spans="1:1" ht="11.75" customHeight="1">
      <c r="A1829" s="1989">
        <f>H30*36.72</f>
        <v>0</v>
      </c>
    </row>
    <row r="1830" spans="1:1" ht="11.75" customHeight="1">
      <c r="A1830" s="1990">
        <f>H27-D43</f>
        <v>132765.64793897627</v>
      </c>
    </row>
    <row r="1831" spans="1:1" ht="11.75" customHeight="1">
      <c r="A1831" s="1989" t="b">
        <f>D113="Electricity"</f>
        <v>0</v>
      </c>
    </row>
    <row r="1832" spans="1:1" ht="11.75" customHeight="1">
      <c r="A1832" s="1990">
        <f>I103+K51+D117+M121+I101+I102+M43+SUM(H65:H67)</f>
        <v>265287.6445956853</v>
      </c>
    </row>
    <row r="1833" spans="1:1" ht="11.75" customHeight="1">
      <c r="A1833" s="1990">
        <f>I103+K51+D117+M121+I101+I102+M43</f>
        <v>180897.30859568529</v>
      </c>
    </row>
    <row r="1834" spans="1:1" ht="11.75" customHeight="1">
      <c r="A1834" s="1990">
        <f>I103+K51+D117+M121+I101+I102</f>
        <v>180897.30859568529</v>
      </c>
    </row>
    <row r="1835" spans="1:1" ht="11.75" customHeight="1">
      <c r="A1835" s="1990">
        <f>I103+K51+D117+M121+I101</f>
        <v>164109.06314703665</v>
      </c>
    </row>
    <row r="1836" spans="1:1" ht="11.75" customHeight="1">
      <c r="A1836" s="1990">
        <f>I103+K51+D117+M121</f>
        <v>88005.3704468098</v>
      </c>
    </row>
    <row r="1837" spans="1:1" ht="11.75" customHeight="1">
      <c r="A1837" s="1990">
        <f>I103+K51+D117</f>
        <v>39024.570446809812</v>
      </c>
    </row>
    <row r="1838" spans="1:1" ht="11.75" customHeight="1">
      <c r="A1838" s="1990">
        <f>I103+K51</f>
        <v>36006.531012790423</v>
      </c>
    </row>
    <row r="1839" spans="1:1" ht="11.75" customHeight="1">
      <c r="A1839" s="1989">
        <f>1.21*G108*D20*24/1000*D101</f>
        <v>387079.06311359996</v>
      </c>
    </row>
    <row r="1840" spans="1:1" ht="11.75" customHeight="1">
      <c r="A1840" s="1989">
        <f>1.21*G108*D20*24/1000</f>
        <v>156.29328000000001</v>
      </c>
    </row>
    <row r="1841" spans="1:1" ht="11.75" customHeight="1">
      <c r="A1841" s="1989">
        <f>1.21*G108*D20*24</f>
        <v>156293.28</v>
      </c>
    </row>
    <row r="1842" spans="1:1" ht="11.75" customHeight="1">
      <c r="A1842" s="1989">
        <f>1.21*G108*D20</f>
        <v>6512.22</v>
      </c>
    </row>
    <row r="1843" spans="1:1" ht="11.75" customHeight="1">
      <c r="A1843" s="1989">
        <f>1.21*G108</f>
        <v>1.4157</v>
      </c>
    </row>
    <row r="1844" spans="1:1" ht="11.75" customHeight="1">
      <c r="A1844" s="1989" t="b">
        <f>D108="Measured"</f>
        <v>0</v>
      </c>
    </row>
    <row r="1845" spans="1:1" ht="11.75" customHeight="1">
      <c r="A1845" s="1989">
        <f>G109*D105/D101*3.6</f>
        <v>17.44312813431209</v>
      </c>
    </row>
    <row r="1846" spans="1:1" ht="11.75" customHeight="1">
      <c r="A1846" s="1989">
        <f>G109*D105</f>
        <v>12000</v>
      </c>
    </row>
    <row r="1847" spans="1:1" ht="11.75" customHeight="1">
      <c r="A1847" s="1989">
        <f>D101*3.6</f>
        <v>8915.8319999999985</v>
      </c>
    </row>
    <row r="1848" spans="1:1" ht="11.75" customHeight="1">
      <c r="A1848" s="1989">
        <f>IF(D108="AL-1A",0.89,IF(D108="AL-2A",0.71,IF(D108="AL-3A",0.53,IF(D108="AL-4A",0.35,IF(D108="AL-5A",0.21,IF(D108="AL-1B",1.17,IF(D108="AL-2B",0.98,IF(D108="AL-3B",0.78,IF(D108="AL-4B",0.59,IF(D108="AL-5B",0.39,IF(D108="AL-6B",0.23,IF(D108="PH Classic",0.6*D105/D101*3.6,IF(D108="PH Low",1*D105/D101*3.6,IF(D108="PH+",0.1))))))))))))))</f>
        <v>1.17</v>
      </c>
    </row>
    <row r="1849" spans="1:1" ht="11.75" customHeight="1">
      <c r="A1849" s="1989">
        <f>IF(H20="Present",VLOOKUP(H19,CANADA!A6:K699,9,FALSE),VLOOKUP(H19,CANADA!A6:K699,11,FALSE))</f>
        <v>4600</v>
      </c>
    </row>
    <row r="1850" spans="1:1" ht="11.75" customHeight="1">
      <c r="A1850" s="1989">
        <f>MATCH('NRL50-n-Factors'!D34,'NRL50-n-Factors'!C38:C49,0)</f>
        <v>5</v>
      </c>
    </row>
    <row r="1851" spans="1:1" ht="11.75" customHeight="1">
      <c r="A1851" s="1989">
        <f>MATCH(REPORT!D103,'NRL50-n-Factors'!D37:J37,0)</f>
        <v>2</v>
      </c>
    </row>
    <row r="1852" spans="1:1" ht="11.75" customHeight="1">
      <c r="A1852" s="1989" t="b">
        <f>D51="Gas"</f>
        <v>0</v>
      </c>
    </row>
    <row r="1853" spans="1:1" ht="11.75" customHeight="1">
      <c r="A1853" s="1989">
        <f>D$20*G101*24</f>
        <v>30728.853316304834</v>
      </c>
    </row>
    <row r="1854" spans="1:1" ht="11.75" customHeight="1">
      <c r="A1854" s="1989">
        <f>SUM(H65:H67)</f>
        <v>84390.33600000001</v>
      </c>
    </row>
    <row r="1855" spans="1:1" ht="11.75" customHeight="1">
      <c r="A1855" s="1989">
        <f>IF(D113="Heatpump",K51+D117+D114+M43+H70,IF(D113="Gas",K51+D117+M43+H70))</f>
        <v>132765.64793897627</v>
      </c>
    </row>
    <row r="1856" spans="1:1" ht="11.75" customHeight="1">
      <c r="A1856" s="1989" t="b">
        <f>D113="Heatpump"</f>
        <v>1</v>
      </c>
    </row>
    <row r="1857" spans="1:1" ht="11.75" customHeight="1">
      <c r="A1857" s="1990">
        <f>K51+D117+D114+M43+H70</f>
        <v>132765.64793897627</v>
      </c>
    </row>
    <row r="1858" spans="1:1" ht="11.75" customHeight="1">
      <c r="A1858" s="1989" t="b">
        <f>IF(D113="Gas",K51+D117+M43+H70)</f>
        <v>0</v>
      </c>
    </row>
    <row r="1859" spans="1:1" ht="11.75" customHeight="1">
      <c r="A1859" s="1989">
        <f>SUM(D44:D46)</f>
        <v>0</v>
      </c>
    </row>
    <row r="1860" spans="1:1" ht="11.75" customHeight="1">
      <c r="A1860" s="1990">
        <f>I44+I45</f>
        <v>0</v>
      </c>
    </row>
    <row r="1861" spans="1:1" ht="11.75" customHeight="1">
      <c r="A1861" s="1989">
        <f>H28*0.0373</f>
        <v>0</v>
      </c>
    </row>
    <row r="1862" spans="1:1" ht="11.75" customHeight="1">
      <c r="A1862" s="1989">
        <f>H30*36.72</f>
        <v>0</v>
      </c>
    </row>
    <row r="1863" spans="1:1" ht="11.75" customHeight="1">
      <c r="A1863" s="1990">
        <f>H27-D43</f>
        <v>132765.64793897627</v>
      </c>
    </row>
    <row r="1864" spans="1:1" ht="11.75" customHeight="1">
      <c r="A1864" s="1989" t="b">
        <f>D113="Electricity"</f>
        <v>0</v>
      </c>
    </row>
    <row r="1865" spans="1:1" ht="11.75" customHeight="1">
      <c r="A1865" s="1990">
        <f>I103+K51+D117+M121+I101+I102+M43+SUM(H65:H67)</f>
        <v>265287.6445956853</v>
      </c>
    </row>
    <row r="1866" spans="1:1" ht="11.75" customHeight="1">
      <c r="A1866" s="1990">
        <f>I103+K51+D117+M121+I101+I102+M43</f>
        <v>180897.30859568529</v>
      </c>
    </row>
    <row r="1867" spans="1:1" ht="11.75" customHeight="1">
      <c r="A1867" s="1990">
        <f>I103+K51+D117+M121+I101+I102</f>
        <v>180897.30859568529</v>
      </c>
    </row>
    <row r="1868" spans="1:1" ht="11.75" customHeight="1">
      <c r="A1868" s="1990">
        <f>I103+K51+D117+M121+I101</f>
        <v>164109.06314703665</v>
      </c>
    </row>
    <row r="1869" spans="1:1" ht="11.75" customHeight="1">
      <c r="A1869" s="1990">
        <f>I103+K51+D117+M121</f>
        <v>88005.3704468098</v>
      </c>
    </row>
    <row r="1870" spans="1:1" ht="11.75" customHeight="1">
      <c r="A1870" s="1990">
        <f>I103+K51+D117</f>
        <v>39024.570446809812</v>
      </c>
    </row>
    <row r="1871" spans="1:1" ht="11.75" customHeight="1">
      <c r="A1871" s="1990">
        <f>I103+K51</f>
        <v>36006.531012790423</v>
      </c>
    </row>
    <row r="1872" spans="1:1" ht="11.75" customHeight="1">
      <c r="A1872" s="1989">
        <f>1.21*G108*D20*24/1000*D101</f>
        <v>387079.06311359996</v>
      </c>
    </row>
    <row r="1873" spans="1:1" ht="11.75" customHeight="1">
      <c r="A1873" s="1989">
        <f>1.21*G108*D20*24/1000</f>
        <v>156.29328000000001</v>
      </c>
    </row>
    <row r="1874" spans="1:1" ht="11.75" customHeight="1">
      <c r="A1874" s="1989">
        <f>1.21*G108*D20*24</f>
        <v>156293.28</v>
      </c>
    </row>
    <row r="1875" spans="1:1" ht="11.75" customHeight="1">
      <c r="A1875" s="1989">
        <f>1.21*G108*D20</f>
        <v>6512.22</v>
      </c>
    </row>
    <row r="1876" spans="1:1" ht="11.75" customHeight="1">
      <c r="A1876" s="1989">
        <f>1.21*G108</f>
        <v>1.4157</v>
      </c>
    </row>
    <row r="1877" spans="1:1" ht="11.75" customHeight="1">
      <c r="A1877" s="1989" t="b">
        <f>D108="Measured"</f>
        <v>0</v>
      </c>
    </row>
    <row r="1878" spans="1:1" ht="11.75" customHeight="1">
      <c r="A1878" s="1989">
        <f>G109*D105/D101*3.6</f>
        <v>17.44312813431209</v>
      </c>
    </row>
    <row r="1879" spans="1:1" ht="11.75" customHeight="1">
      <c r="A1879" s="1989">
        <f>G109*D105</f>
        <v>12000</v>
      </c>
    </row>
    <row r="1880" spans="1:1" ht="11.75" customHeight="1">
      <c r="A1880" s="1989">
        <f>D101*3.6</f>
        <v>8915.8319999999985</v>
      </c>
    </row>
    <row r="1881" spans="1:1" ht="11.75" customHeight="1">
      <c r="A1881" s="1989">
        <f>IF(D108="AL-1A",0.89,IF(D108="AL-2A",0.71,IF(D108="AL-3A",0.53,IF(D108="AL-4A",0.35,IF(D108="AL-5A",0.21,IF(D108="AL-1B",1.17,IF(D108="AL-2B",0.98,IF(D108="AL-3B",0.78,IF(D108="AL-4B",0.59,IF(D108="AL-5B",0.39,IF(D108="AL-6B",0.23,IF(D108="PH Classic",0.6*D105/D101*3.6,IF(D108="PH Low",1*D105/D101*3.6,IF(D108="PH+",0.1))))))))))))))</f>
        <v>1.17</v>
      </c>
    </row>
    <row r="1882" spans="1:1" ht="11.75" customHeight="1">
      <c r="A1882" s="1989">
        <f>IF(H20="Present",VLOOKUP(H19,CANADA!A6:K699,9,FALSE),VLOOKUP(H19,CANADA!A6:K699,11,FALSE))</f>
        <v>4600</v>
      </c>
    </row>
    <row r="1883" spans="1:1" ht="11.75" customHeight="1">
      <c r="A1883" s="1989">
        <f>MATCH('NRL50-n-Factors'!D34,'NRL50-n-Factors'!C38:C49,0)</f>
        <v>5</v>
      </c>
    </row>
    <row r="1884" spans="1:1" ht="11.75" customHeight="1">
      <c r="A1884" s="1989">
        <f>MATCH(REPORT!D103,'NRL50-n-Factors'!D37:J37,0)</f>
        <v>2</v>
      </c>
    </row>
    <row r="1885" spans="1:1" ht="11.75" customHeight="1">
      <c r="A1885" s="1989" t="b">
        <f>D51="Gas"</f>
        <v>0</v>
      </c>
    </row>
    <row r="1886" spans="1:1" ht="11.75" customHeight="1">
      <c r="A1886" s="1989">
        <f>D$20*G101*24</f>
        <v>30728.853316304834</v>
      </c>
    </row>
    <row r="1887" spans="1:1" ht="11.75" customHeight="1">
      <c r="A1887" s="1989">
        <f>SUM(H65:H67)</f>
        <v>84390.33600000001</v>
      </c>
    </row>
    <row r="1888" spans="1:1" ht="11.75" customHeight="1">
      <c r="A1888" s="1989">
        <f>IF(D113="Heatpump",K51+D117+D114+M43+H70,IF(D113="Gas",K51+D117+M43+H70))</f>
        <v>132765.64793897627</v>
      </c>
    </row>
    <row r="1889" spans="1:1" ht="11.75" customHeight="1">
      <c r="A1889" s="1989" t="b">
        <f>D113="Heatpump"</f>
        <v>1</v>
      </c>
    </row>
    <row r="1890" spans="1:1" ht="11.75" customHeight="1">
      <c r="A1890" s="1990">
        <f>K51+D117+D114+M43+H70</f>
        <v>132765.64793897627</v>
      </c>
    </row>
    <row r="1891" spans="1:1" ht="11.75" customHeight="1">
      <c r="A1891" s="1989" t="b">
        <f>IF(D113="Gas",K51+D117+M43+H70)</f>
        <v>0</v>
      </c>
    </row>
    <row r="1892" spans="1:1" ht="11.75" customHeight="1">
      <c r="A1892" s="1989">
        <f>SUM(D44:D46)</f>
        <v>0</v>
      </c>
    </row>
    <row r="1893" spans="1:1" ht="11.75" customHeight="1">
      <c r="A1893" s="1990">
        <f>I44+I45</f>
        <v>0</v>
      </c>
    </row>
    <row r="1894" spans="1:1" ht="11.75" customHeight="1">
      <c r="A1894" s="1989">
        <f>H28*0.0373</f>
        <v>0</v>
      </c>
    </row>
    <row r="1895" spans="1:1" ht="11.75" customHeight="1">
      <c r="A1895" s="1989">
        <f>H30*36.72</f>
        <v>0</v>
      </c>
    </row>
    <row r="1896" spans="1:1" ht="11.75" customHeight="1">
      <c r="A1896" s="1990">
        <f>H27-D43</f>
        <v>132765.64793897627</v>
      </c>
    </row>
    <row r="1897" spans="1:1" ht="11.75" customHeight="1">
      <c r="A1897" s="1989" t="b">
        <f>D113="Electricity"</f>
        <v>0</v>
      </c>
    </row>
    <row r="1898" spans="1:1" ht="11.75" customHeight="1">
      <c r="A1898" s="1990">
        <f>I103+K51+D117+M121+I101+I102+M43+SUM(H65:H67)</f>
        <v>265287.6445956853</v>
      </c>
    </row>
    <row r="1899" spans="1:1" ht="11.75" customHeight="1">
      <c r="A1899" s="1990">
        <f>I103+K51+D117+M121+I101+I102+M43</f>
        <v>180897.30859568529</v>
      </c>
    </row>
    <row r="1900" spans="1:1" ht="11.75" customHeight="1">
      <c r="A1900" s="1990">
        <f>I103+K51+D117+M121+I101+I102</f>
        <v>180897.30859568529</v>
      </c>
    </row>
    <row r="1901" spans="1:1" ht="11.75" customHeight="1">
      <c r="A1901" s="1990">
        <f>I103+K51+D117+M121+I101</f>
        <v>164109.06314703665</v>
      </c>
    </row>
    <row r="1902" spans="1:1" ht="11.75" customHeight="1">
      <c r="A1902" s="1990">
        <f>I103+K51+D117+M121</f>
        <v>88005.3704468098</v>
      </c>
    </row>
    <row r="1903" spans="1:1" ht="11.75" customHeight="1">
      <c r="A1903" s="1990">
        <f>I103+K51+D117</f>
        <v>39024.570446809812</v>
      </c>
    </row>
    <row r="1904" spans="1:1" ht="11.75" customHeight="1">
      <c r="A1904" s="1990">
        <f>I103+K51</f>
        <v>36006.531012790423</v>
      </c>
    </row>
    <row r="1905" spans="1:1" ht="11.75" customHeight="1">
      <c r="A1905" s="1989">
        <f>1.21*G108*D20*24/1000*D101</f>
        <v>387079.06311359996</v>
      </c>
    </row>
    <row r="1906" spans="1:1" ht="11.75" customHeight="1">
      <c r="A1906" s="1989">
        <f>1.21*G108*D20*24/1000</f>
        <v>156.29328000000001</v>
      </c>
    </row>
    <row r="1907" spans="1:1" ht="11.75" customHeight="1">
      <c r="A1907" s="1989">
        <f>1.21*G108*D20*24</f>
        <v>156293.28</v>
      </c>
    </row>
    <row r="1908" spans="1:1" ht="11.75" customHeight="1">
      <c r="A1908" s="1989">
        <f>1.21*G108*D20</f>
        <v>6512.22</v>
      </c>
    </row>
    <row r="1909" spans="1:1" ht="11.75" customHeight="1">
      <c r="A1909" s="1989">
        <f>1.21*G108</f>
        <v>1.4157</v>
      </c>
    </row>
    <row r="1910" spans="1:1" ht="11.75" customHeight="1">
      <c r="A1910" s="1989" t="b">
        <f>D108="Measured"</f>
        <v>0</v>
      </c>
    </row>
    <row r="1911" spans="1:1" ht="11.75" customHeight="1">
      <c r="A1911" s="1989">
        <f>G109*D105/D101*3.6</f>
        <v>17.44312813431209</v>
      </c>
    </row>
    <row r="1912" spans="1:1" ht="11.75" customHeight="1">
      <c r="A1912" s="1989">
        <f>G109*D105</f>
        <v>12000</v>
      </c>
    </row>
    <row r="1913" spans="1:1" ht="11.75" customHeight="1">
      <c r="A1913" s="1989">
        <f>D101*3.6</f>
        <v>8915.8319999999985</v>
      </c>
    </row>
    <row r="1914" spans="1:1" ht="11.75" customHeight="1">
      <c r="A1914" s="1989">
        <f>IF(D108="AL-1A",0.89,IF(D108="AL-2A",0.71,IF(D108="AL-3A",0.53,IF(D108="AL-4A",0.35,IF(D108="AL-5A",0.21,IF(D108="AL-1B",1.17,IF(D108="AL-2B",0.98,IF(D108="AL-3B",0.78,IF(D108="AL-4B",0.59,IF(D108="AL-5B",0.39,IF(D108="AL-6B",0.23,IF(D108="PH Classic",0.6*D105/D101*3.6,IF(D108="PH Low",1*D105/D101*3.6,IF(D108="PH+",0.1))))))))))))))</f>
        <v>1.17</v>
      </c>
    </row>
    <row r="1915" spans="1:1" ht="11.75" customHeight="1">
      <c r="A1915" s="1989">
        <f>IF(H20="Present",VLOOKUP(H19,CANADA!A6:K699,9,FALSE),VLOOKUP(H19,CANADA!A6:K699,11,FALSE))</f>
        <v>4600</v>
      </c>
    </row>
    <row r="1916" spans="1:1" ht="11.75" customHeight="1">
      <c r="A1916" s="1989">
        <f>MATCH('NRL50-n-Factors'!D34,'NRL50-n-Factors'!C38:C49,0)</f>
        <v>5</v>
      </c>
    </row>
    <row r="1917" spans="1:1" ht="11.75" customHeight="1">
      <c r="A1917" s="1989">
        <f>MATCH(REPORT!D103,'NRL50-n-Factors'!D37:J37,0)</f>
        <v>2</v>
      </c>
    </row>
    <row r="1918" spans="1:1" ht="11.75" customHeight="1">
      <c r="A1918" s="1989" t="b">
        <f>D51="Gas"</f>
        <v>0</v>
      </c>
    </row>
    <row r="1919" spans="1:1" ht="11.75" customHeight="1">
      <c r="A1919" s="1989">
        <f>D$20*G101*24</f>
        <v>30728.853316304834</v>
      </c>
    </row>
    <row r="1920" spans="1:1" ht="11.75" customHeight="1">
      <c r="A1920" s="1989">
        <f>SUM(H65:H67)</f>
        <v>84390.33600000001</v>
      </c>
    </row>
    <row r="1921" spans="1:1" ht="11.75" customHeight="1">
      <c r="A1921" s="1989">
        <f>IF(D113="Heatpump",K51+D117+D114+M43+H70,IF(D113="Gas",K51+D117+M43+H70))</f>
        <v>132765.64793897627</v>
      </c>
    </row>
    <row r="1922" spans="1:1" ht="11.75" customHeight="1">
      <c r="A1922" s="1989" t="b">
        <f>D113="Heatpump"</f>
        <v>1</v>
      </c>
    </row>
    <row r="1923" spans="1:1" ht="11.75" customHeight="1">
      <c r="A1923" s="1990">
        <f>K51+D117+D114+M43+H70</f>
        <v>132765.64793897627</v>
      </c>
    </row>
    <row r="1924" spans="1:1" ht="11.75" customHeight="1">
      <c r="A1924" s="1989" t="b">
        <f>IF(D113="Gas",K51+D117+M43+H70)</f>
        <v>0</v>
      </c>
    </row>
    <row r="1925" spans="1:1" ht="11.75" customHeight="1">
      <c r="A1925" s="1989">
        <f>SUM(D44:D46)</f>
        <v>0</v>
      </c>
    </row>
    <row r="1926" spans="1:1" ht="11.75" customHeight="1">
      <c r="A1926" s="1990">
        <f>I44+I45</f>
        <v>0</v>
      </c>
    </row>
    <row r="1927" spans="1:1" ht="11.75" customHeight="1">
      <c r="A1927" s="1989">
        <f>H28*0.0373</f>
        <v>0</v>
      </c>
    </row>
    <row r="1928" spans="1:1" ht="11.75" customHeight="1">
      <c r="A1928" s="1989">
        <f>H30*36.72</f>
        <v>0</v>
      </c>
    </row>
    <row r="1929" spans="1:1" ht="11.75" customHeight="1">
      <c r="A1929" s="1990">
        <f>H27-D43</f>
        <v>132765.64793897627</v>
      </c>
    </row>
    <row r="1930" spans="1:1" ht="11.75" customHeight="1">
      <c r="A1930" s="1989" t="b">
        <f>D113="Electricity"</f>
        <v>0</v>
      </c>
    </row>
    <row r="1931" spans="1:1" ht="11.75" customHeight="1">
      <c r="A1931" s="1990">
        <f>I103+K51+D117+M121+I101+I102+M43+SUM(H65:H67)</f>
        <v>265287.6445956853</v>
      </c>
    </row>
    <row r="1932" spans="1:1" ht="11.75" customHeight="1">
      <c r="A1932" s="1990">
        <f>I103+K51+D117+M121+I101+I102+M43</f>
        <v>180897.30859568529</v>
      </c>
    </row>
    <row r="1933" spans="1:1" ht="11.75" customHeight="1">
      <c r="A1933" s="1990">
        <f>I103+K51+D117+M121+I101+I102</f>
        <v>180897.30859568529</v>
      </c>
    </row>
    <row r="1934" spans="1:1" ht="11.75" customHeight="1">
      <c r="A1934" s="1990">
        <f>I103+K51+D117+M121+I101</f>
        <v>164109.06314703665</v>
      </c>
    </row>
    <row r="1935" spans="1:1" ht="11.75" customHeight="1">
      <c r="A1935" s="1990">
        <f>I103+K51+D117+M121</f>
        <v>88005.3704468098</v>
      </c>
    </row>
    <row r="1936" spans="1:1" ht="11.75" customHeight="1">
      <c r="A1936" s="1990">
        <f>I103+K51+D117</f>
        <v>39024.570446809812</v>
      </c>
    </row>
    <row r="1937" spans="1:1" ht="11.75" customHeight="1">
      <c r="A1937" s="1990">
        <f>I103+K51</f>
        <v>36006.531012790423</v>
      </c>
    </row>
    <row r="1938" spans="1:1" ht="11.75" customHeight="1">
      <c r="A1938" s="1989">
        <f>1.21*G108*D20*24/1000*D101</f>
        <v>387079.06311359996</v>
      </c>
    </row>
    <row r="1939" spans="1:1" ht="11.75" customHeight="1">
      <c r="A1939" s="1989">
        <f>1.21*G108*D20*24/1000</f>
        <v>156.29328000000001</v>
      </c>
    </row>
    <row r="1940" spans="1:1" ht="11.75" customHeight="1">
      <c r="A1940" s="1989">
        <f>1.21*G108*D20*24</f>
        <v>156293.28</v>
      </c>
    </row>
    <row r="1941" spans="1:1" ht="11.75" customHeight="1">
      <c r="A1941" s="1989">
        <f>1.21*G108*D20</f>
        <v>6512.22</v>
      </c>
    </row>
    <row r="1942" spans="1:1" ht="11.75" customHeight="1">
      <c r="A1942" s="1989">
        <f>1.21*G108</f>
        <v>1.4157</v>
      </c>
    </row>
    <row r="1943" spans="1:1" ht="11.75" customHeight="1">
      <c r="A1943" s="1989" t="b">
        <f>D108="Measured"</f>
        <v>0</v>
      </c>
    </row>
    <row r="1944" spans="1:1" ht="11.75" customHeight="1">
      <c r="A1944" s="1989">
        <f>G109*D105/D101*3.6</f>
        <v>17.44312813431209</v>
      </c>
    </row>
    <row r="1945" spans="1:1" ht="11.75" customHeight="1">
      <c r="A1945" s="1989">
        <f>G109*D105</f>
        <v>12000</v>
      </c>
    </row>
    <row r="1946" spans="1:1" ht="11.75" customHeight="1">
      <c r="A1946" s="1989">
        <f>D101*3.6</f>
        <v>8915.8319999999985</v>
      </c>
    </row>
    <row r="1947" spans="1:1" ht="11.75" customHeight="1">
      <c r="A1947" s="1989">
        <f>IF(D108="AL-1A",0.89,IF(D108="AL-2A",0.71,IF(D108="AL-3A",0.53,IF(D108="AL-4A",0.35,IF(D108="AL-5A",0.21,IF(D108="AL-1B",1.17,IF(D108="AL-2B",0.98,IF(D108="AL-3B",0.78,IF(D108="AL-4B",0.59,IF(D108="AL-5B",0.39,IF(D108="AL-6B",0.23,IF(D108="PH Classic",0.6*D105/D101*3.6,IF(D108="PH Low",1*D105/D101*3.6,IF(D108="PH+",0.1))))))))))))))</f>
        <v>1.17</v>
      </c>
    </row>
    <row r="1948" spans="1:1" ht="11.75" customHeight="1">
      <c r="A1948" s="1989">
        <f>IF(H20="Present",VLOOKUP(H19,CANADA!A6:K699,9,FALSE),VLOOKUP(H19,CANADA!A6:K699,11,FALSE))</f>
        <v>4600</v>
      </c>
    </row>
    <row r="1949" spans="1:1" ht="11.75" customHeight="1">
      <c r="A1949" s="1989">
        <f>MATCH('NRL50-n-Factors'!D34,'NRL50-n-Factors'!C38:C49,0)</f>
        <v>5</v>
      </c>
    </row>
    <row r="1950" spans="1:1" ht="11.75" customHeight="1">
      <c r="A1950" s="1989">
        <f>MATCH(REPORT!D103,'NRL50-n-Factors'!D37:J37,0)</f>
        <v>2</v>
      </c>
    </row>
    <row r="1951" spans="1:1" ht="11.75" customHeight="1">
      <c r="A1951" s="1989" t="b">
        <f>D51="Gas"</f>
        <v>0</v>
      </c>
    </row>
    <row r="1952" spans="1:1" ht="11.75" customHeight="1">
      <c r="A1952" s="1989">
        <f>D$20*G101*24</f>
        <v>30728.853316304834</v>
      </c>
    </row>
    <row r="1953" spans="1:1" ht="11.75" customHeight="1">
      <c r="A1953" s="1989">
        <f>SUM(H65:H67)</f>
        <v>84390.33600000001</v>
      </c>
    </row>
    <row r="1954" spans="1:1" ht="11.75" customHeight="1">
      <c r="A1954" s="1989">
        <f>IF(D113="Heatpump",K51+D117+D114+M43+H70,IF(D113="Gas",K51+D117+M43+H70))</f>
        <v>132765.64793897627</v>
      </c>
    </row>
    <row r="1955" spans="1:1" ht="11.75" customHeight="1">
      <c r="A1955" s="1989" t="b">
        <f>D113="Heatpump"</f>
        <v>1</v>
      </c>
    </row>
    <row r="1956" spans="1:1" ht="11.75" customHeight="1">
      <c r="A1956" s="1990">
        <f>K51+D117+D114+M43+H70</f>
        <v>132765.64793897627</v>
      </c>
    </row>
    <row r="1957" spans="1:1" ht="11.75" customHeight="1">
      <c r="A1957" s="1989" t="b">
        <f>IF(D113="Gas",K51+D117+M43+H70)</f>
        <v>0</v>
      </c>
    </row>
    <row r="1958" spans="1:1" ht="11.75" customHeight="1">
      <c r="A1958" s="1989">
        <f>SUM(D44:D46)</f>
        <v>0</v>
      </c>
    </row>
    <row r="1959" spans="1:1" ht="11.75" customHeight="1">
      <c r="A1959" s="1990">
        <f>I44+I45</f>
        <v>0</v>
      </c>
    </row>
    <row r="1960" spans="1:1" ht="11.75" customHeight="1">
      <c r="A1960" s="1989">
        <f>H28*0.0373</f>
        <v>0</v>
      </c>
    </row>
    <row r="1961" spans="1:1" ht="11.75" customHeight="1">
      <c r="A1961" s="1989">
        <f>H30*36.72</f>
        <v>0</v>
      </c>
    </row>
    <row r="1962" spans="1:1" ht="11.75" customHeight="1">
      <c r="A1962" s="1990">
        <f>H27-D43</f>
        <v>132765.64793897627</v>
      </c>
    </row>
    <row r="1963" spans="1:1" ht="11.75" customHeight="1">
      <c r="A1963" s="1989" t="b">
        <f>D113="Electricity"</f>
        <v>0</v>
      </c>
    </row>
    <row r="1964" spans="1:1" ht="11.75" customHeight="1">
      <c r="A1964" s="1990">
        <f>I103+K51+D117+M121+I101+I102+M43+SUM(H65:H67)</f>
        <v>265287.6445956853</v>
      </c>
    </row>
    <row r="1965" spans="1:1" ht="11.75" customHeight="1">
      <c r="A1965" s="1990">
        <f>I103+K51+D117+M121+I101+I102+M43</f>
        <v>180897.30859568529</v>
      </c>
    </row>
    <row r="1966" spans="1:1" ht="11.75" customHeight="1">
      <c r="A1966" s="1990">
        <f>I103+K51+D117+M121+I101+I102</f>
        <v>180897.30859568529</v>
      </c>
    </row>
    <row r="1967" spans="1:1" ht="11.75" customHeight="1">
      <c r="A1967" s="1990">
        <f>I103+K51+D117+M121+I101</f>
        <v>164109.06314703665</v>
      </c>
    </row>
    <row r="1968" spans="1:1" ht="11.75" customHeight="1">
      <c r="A1968" s="1990">
        <f>I103+K51+D117+M121</f>
        <v>88005.3704468098</v>
      </c>
    </row>
    <row r="1969" spans="1:1" ht="11.75" customHeight="1">
      <c r="A1969" s="1990">
        <f>I103+K51+D117</f>
        <v>39024.570446809812</v>
      </c>
    </row>
    <row r="1970" spans="1:1" ht="11.75" customHeight="1">
      <c r="A1970" s="1990">
        <f>I103+K51</f>
        <v>36006.531012790423</v>
      </c>
    </row>
    <row r="1971" spans="1:1" ht="11.75" customHeight="1">
      <c r="A1971" s="1989">
        <f>1.21*G108*D20*24/1000*D101</f>
        <v>387079.06311359996</v>
      </c>
    </row>
    <row r="1972" spans="1:1" ht="11.75" customHeight="1">
      <c r="A1972" s="1989">
        <f>1.21*G108*D20*24/1000</f>
        <v>156.29328000000001</v>
      </c>
    </row>
    <row r="1973" spans="1:1" ht="11.75" customHeight="1">
      <c r="A1973" s="1989">
        <f>1.21*G108*D20*24</f>
        <v>156293.28</v>
      </c>
    </row>
    <row r="1974" spans="1:1" ht="11.75" customHeight="1">
      <c r="A1974" s="1989">
        <f>1.21*G108*D20</f>
        <v>6512.22</v>
      </c>
    </row>
    <row r="1975" spans="1:1" ht="11.75" customHeight="1">
      <c r="A1975" s="1989">
        <f>1.21*G108</f>
        <v>1.4157</v>
      </c>
    </row>
    <row r="1976" spans="1:1" ht="11.75" customHeight="1">
      <c r="A1976" s="1989" t="b">
        <f>D108="Measured"</f>
        <v>0</v>
      </c>
    </row>
    <row r="1977" spans="1:1" ht="11.75" customHeight="1">
      <c r="A1977" s="1989">
        <f>G109*D105/D101*3.6</f>
        <v>17.44312813431209</v>
      </c>
    </row>
    <row r="1978" spans="1:1" ht="11.75" customHeight="1">
      <c r="A1978" s="1989">
        <f>G109*D105</f>
        <v>12000</v>
      </c>
    </row>
    <row r="1979" spans="1:1" ht="11.75" customHeight="1">
      <c r="A1979" s="1989">
        <f>D101*3.6</f>
        <v>8915.8319999999985</v>
      </c>
    </row>
    <row r="1980" spans="1:1" ht="11.75" customHeight="1">
      <c r="A1980" s="1989">
        <f>IF(D108="AL-1A",0.89,IF(D108="AL-2A",0.71,IF(D108="AL-3A",0.53,IF(D108="AL-4A",0.35,IF(D108="AL-5A",0.21,IF(D108="AL-1B",1.17,IF(D108="AL-2B",0.98,IF(D108="AL-3B",0.78,IF(D108="AL-4B",0.59,IF(D108="AL-5B",0.39,IF(D108="AL-6B",0.23,IF(D108="PH Classic",0.6*D105/D101*3.6,IF(D108="PH Low",1*D105/D101*3.6,IF(D108="PH+",0.1))))))))))))))</f>
        <v>1.17</v>
      </c>
    </row>
    <row r="1981" spans="1:1" ht="11.75" customHeight="1">
      <c r="A1981" s="1989">
        <f>IF(H20="Present",VLOOKUP(H19,CANADA!A6:K699,9,FALSE),VLOOKUP(H19,CANADA!A6:K699,11,FALSE))</f>
        <v>4600</v>
      </c>
    </row>
    <row r="1982" spans="1:1" ht="11.75" customHeight="1">
      <c r="A1982" s="1989">
        <f>MATCH('NRL50-n-Factors'!D34,'NRL50-n-Factors'!C38:C49,0)</f>
        <v>5</v>
      </c>
    </row>
    <row r="1983" spans="1:1" ht="11.75" customHeight="1">
      <c r="A1983" s="1989">
        <f>MATCH(REPORT!D103,'NRL50-n-Factors'!D37:J37,0)</f>
        <v>2</v>
      </c>
    </row>
    <row r="1984" spans="1:1" ht="11.75" customHeight="1">
      <c r="A1984" s="1989" t="b">
        <f>D51="Gas"</f>
        <v>0</v>
      </c>
    </row>
    <row r="1985" spans="1:1" ht="11.75" customHeight="1">
      <c r="A1985" s="1989">
        <f>D$20*G101*24</f>
        <v>30728.853316304834</v>
      </c>
    </row>
    <row r="1986" spans="1:1" ht="11.75" customHeight="1">
      <c r="A1986" s="1989">
        <f>SUM(H65:H67)</f>
        <v>84390.33600000001</v>
      </c>
    </row>
    <row r="1987" spans="1:1" ht="11.75" customHeight="1">
      <c r="A1987" s="1989">
        <f>IF(D113="Heatpump",K51+D117+D114+M43+H70,IF(D113="Gas",K51+D117+M43+H70))</f>
        <v>132765.64793897627</v>
      </c>
    </row>
    <row r="1988" spans="1:1" ht="11.75" customHeight="1">
      <c r="A1988" s="1989" t="b">
        <f>D113="Heatpump"</f>
        <v>1</v>
      </c>
    </row>
    <row r="1989" spans="1:1" ht="11.75" customHeight="1">
      <c r="A1989" s="1990">
        <f>K51+D117+D114+M43+H70</f>
        <v>132765.64793897627</v>
      </c>
    </row>
    <row r="1990" spans="1:1" ht="11.75" customHeight="1">
      <c r="A1990" s="1989" t="b">
        <f>IF(D113="Gas",K51+D117+M43+H70)</f>
        <v>0</v>
      </c>
    </row>
    <row r="1991" spans="1:1" ht="11.75" customHeight="1">
      <c r="A1991" s="1989">
        <f>SUM(D44:D46)</f>
        <v>0</v>
      </c>
    </row>
    <row r="1992" spans="1:1" ht="11.75" customHeight="1">
      <c r="A1992" s="1990">
        <f>I44+I45</f>
        <v>0</v>
      </c>
    </row>
    <row r="1993" spans="1:1" ht="11.75" customHeight="1">
      <c r="A1993" s="1989">
        <f>H28*0.0373</f>
        <v>0</v>
      </c>
    </row>
    <row r="1994" spans="1:1" ht="11.75" customHeight="1">
      <c r="A1994" s="1989">
        <f>H30*36.72</f>
        <v>0</v>
      </c>
    </row>
    <row r="1995" spans="1:1" ht="11.75" customHeight="1">
      <c r="A1995" s="1990">
        <f>H27-D43</f>
        <v>132765.64793897627</v>
      </c>
    </row>
    <row r="1996" spans="1:1" ht="11.75" customHeight="1">
      <c r="A1996" s="1989" t="b">
        <f>D113="Electricity"</f>
        <v>0</v>
      </c>
    </row>
    <row r="1997" spans="1:1" ht="11.75" customHeight="1">
      <c r="A1997" s="1990">
        <f>I103+K51+D117+M121+I101+I102+M43+SUM(H65:H67)</f>
        <v>265287.6445956853</v>
      </c>
    </row>
    <row r="1998" spans="1:1" ht="11.75" customHeight="1">
      <c r="A1998" s="1990">
        <f>I103+K51+D117+M121+I101+I102+M43</f>
        <v>180897.30859568529</v>
      </c>
    </row>
    <row r="1999" spans="1:1" ht="11.75" customHeight="1">
      <c r="A1999" s="1990">
        <f>I103+K51+D117+M121+I101+I102</f>
        <v>180897.30859568529</v>
      </c>
    </row>
    <row r="2000" spans="1:1" ht="11.75" customHeight="1">
      <c r="A2000" s="1990">
        <f>I103+K51+D117+M121+I101</f>
        <v>164109.06314703665</v>
      </c>
    </row>
    <row r="2001" spans="1:1" ht="11.75" customHeight="1">
      <c r="A2001" s="1990">
        <f>I103+K51+D117+M121</f>
        <v>88005.3704468098</v>
      </c>
    </row>
    <row r="2002" spans="1:1" ht="11.75" customHeight="1">
      <c r="A2002" s="1990">
        <f>I103+K51+D117</f>
        <v>39024.570446809812</v>
      </c>
    </row>
    <row r="2003" spans="1:1" ht="11.75" customHeight="1">
      <c r="A2003" s="1990">
        <f>I103+K51</f>
        <v>36006.531012790423</v>
      </c>
    </row>
    <row r="2004" spans="1:1" ht="11.75" customHeight="1">
      <c r="A2004" s="1989">
        <f>1.21*G108*D20*24/1000*D101</f>
        <v>387079.06311359996</v>
      </c>
    </row>
    <row r="2005" spans="1:1" ht="11.75" customHeight="1">
      <c r="A2005" s="1989">
        <f>1.21*G108*D20*24/1000</f>
        <v>156.29328000000001</v>
      </c>
    </row>
    <row r="2006" spans="1:1" ht="11.75" customHeight="1">
      <c r="A2006" s="1989">
        <f>1.21*G108*D20*24</f>
        <v>156293.28</v>
      </c>
    </row>
    <row r="2007" spans="1:1" ht="11.75" customHeight="1">
      <c r="A2007" s="1989">
        <f>1.21*G108*D20</f>
        <v>6512.22</v>
      </c>
    </row>
    <row r="2008" spans="1:1" ht="11.75" customHeight="1">
      <c r="A2008" s="1989">
        <f>1.21*G108</f>
        <v>1.4157</v>
      </c>
    </row>
    <row r="2009" spans="1:1" ht="11.75" customHeight="1">
      <c r="A2009" s="1989" t="b">
        <f>D108="Measured"</f>
        <v>0</v>
      </c>
    </row>
    <row r="2010" spans="1:1" ht="11.75" customHeight="1">
      <c r="A2010" s="1989">
        <f>G109*D105/D101*3.6</f>
        <v>17.44312813431209</v>
      </c>
    </row>
    <row r="2011" spans="1:1" ht="11.75" customHeight="1">
      <c r="A2011" s="1989">
        <f>G109*D105</f>
        <v>12000</v>
      </c>
    </row>
    <row r="2012" spans="1:1" ht="11.75" customHeight="1">
      <c r="A2012" s="1989">
        <f>D101*3.6</f>
        <v>8915.8319999999985</v>
      </c>
    </row>
    <row r="2013" spans="1:1" ht="11.75" customHeight="1">
      <c r="A2013" s="1989">
        <f>IF(D108="AL-1A",0.89,IF(D108="AL-2A",0.71,IF(D108="AL-3A",0.53,IF(D108="AL-4A",0.35,IF(D108="AL-5A",0.21,IF(D108="AL-1B",1.17,IF(D108="AL-2B",0.98,IF(D108="AL-3B",0.78,IF(D108="AL-4B",0.59,IF(D108="AL-5B",0.39,IF(D108="AL-6B",0.23,IF(D108="PH Classic",0.6*D105/D101*3.6,IF(D108="PH Low",1*D105/D101*3.6,IF(D108="PH+",0.1))))))))))))))</f>
        <v>1.17</v>
      </c>
    </row>
    <row r="2014" spans="1:1" ht="11.75" customHeight="1">
      <c r="A2014" s="1989">
        <f>IF(H20="Present",VLOOKUP(H19,CANADA!A6:K699,9,FALSE),VLOOKUP(H19,CANADA!A6:K699,11,FALSE))</f>
        <v>4600</v>
      </c>
    </row>
    <row r="2015" spans="1:1" ht="11.75" customHeight="1">
      <c r="A2015" s="1989">
        <f>MATCH('NRL50-n-Factors'!D34,'NRL50-n-Factors'!C38:C49,0)</f>
        <v>5</v>
      </c>
    </row>
    <row r="2016" spans="1:1" ht="11.75" customHeight="1">
      <c r="A2016" s="1989">
        <f>MATCH(REPORT!D103,'NRL50-n-Factors'!D37:J37,0)</f>
        <v>2</v>
      </c>
    </row>
    <row r="2017" spans="1:1" ht="11.75" customHeight="1">
      <c r="A2017" s="1989" t="b">
        <f>D51="Gas"</f>
        <v>0</v>
      </c>
    </row>
    <row r="2018" spans="1:1" ht="11.75" customHeight="1">
      <c r="A2018" s="1989">
        <f>D$20*G101*24</f>
        <v>30728.853316304834</v>
      </c>
    </row>
    <row r="2019" spans="1:1" ht="11.75" customHeight="1">
      <c r="A2019" s="1989">
        <f>SUM(H65:H67)</f>
        <v>84390.33600000001</v>
      </c>
    </row>
    <row r="2020" spans="1:1" ht="11.75" customHeight="1">
      <c r="A2020" s="1989">
        <f>IF(D113="Heatpump",K51+D117+D114+M43+H70,IF(D113="Gas",K51+D117+M43+H70))</f>
        <v>132765.64793897627</v>
      </c>
    </row>
    <row r="2021" spans="1:1" ht="11.75" customHeight="1">
      <c r="A2021" s="1989" t="b">
        <f>D113="Heatpump"</f>
        <v>1</v>
      </c>
    </row>
    <row r="2022" spans="1:1" ht="11.75" customHeight="1">
      <c r="A2022" s="1990">
        <f>K51+D117+D114+M43+H70</f>
        <v>132765.64793897627</v>
      </c>
    </row>
    <row r="2023" spans="1:1" ht="11.75" customHeight="1">
      <c r="A2023" s="1989" t="b">
        <f>IF(D113="Gas",K51+D117+M43+H70)</f>
        <v>0</v>
      </c>
    </row>
    <row r="2024" spans="1:1" ht="11.75" customHeight="1">
      <c r="A2024" s="1989">
        <f>SUM(D44:D46)</f>
        <v>0</v>
      </c>
    </row>
    <row r="2025" spans="1:1" ht="11.75" customHeight="1">
      <c r="A2025" s="1990">
        <f>I44+I45</f>
        <v>0</v>
      </c>
    </row>
    <row r="2026" spans="1:1" ht="11.75" customHeight="1">
      <c r="A2026" s="1989">
        <f>H28*0.0373</f>
        <v>0</v>
      </c>
    </row>
    <row r="2027" spans="1:1" ht="11.75" customHeight="1">
      <c r="A2027" s="1989">
        <f>H30*36.72</f>
        <v>0</v>
      </c>
    </row>
    <row r="2028" spans="1:1" ht="11.75" customHeight="1">
      <c r="A2028" s="1990">
        <f>H27-D43</f>
        <v>132765.64793897627</v>
      </c>
    </row>
    <row r="2029" spans="1:1" ht="11.75" customHeight="1">
      <c r="A2029" s="1989" t="b">
        <f>D113="Electricity"</f>
        <v>0</v>
      </c>
    </row>
    <row r="2030" spans="1:1" ht="11.75" customHeight="1">
      <c r="A2030" s="1990">
        <f>I103+K51+D117+M121+I101+I102+M43+SUM(H65:H67)</f>
        <v>265287.6445956853</v>
      </c>
    </row>
    <row r="2031" spans="1:1" ht="11.75" customHeight="1">
      <c r="A2031" s="1990">
        <f>I103+K51+D117+M121+I101+I102+M43</f>
        <v>180897.30859568529</v>
      </c>
    </row>
    <row r="2032" spans="1:1" ht="11.75" customHeight="1">
      <c r="A2032" s="1990">
        <f>I103+K51+D117+M121+I101+I102</f>
        <v>180897.30859568529</v>
      </c>
    </row>
    <row r="2033" spans="1:1" ht="11.75" customHeight="1">
      <c r="A2033" s="1990">
        <f>I103+K51+D117+M121+I101</f>
        <v>164109.06314703665</v>
      </c>
    </row>
    <row r="2034" spans="1:1" ht="11.75" customHeight="1">
      <c r="A2034" s="1990">
        <f>I103+K51+D117+M121</f>
        <v>88005.3704468098</v>
      </c>
    </row>
    <row r="2035" spans="1:1" ht="11.75" customHeight="1">
      <c r="A2035" s="1990">
        <f>I103+K51+D117</f>
        <v>39024.570446809812</v>
      </c>
    </row>
    <row r="2036" spans="1:1" ht="11.75" customHeight="1">
      <c r="A2036" s="1990">
        <f>I103+K51</f>
        <v>36006.531012790423</v>
      </c>
    </row>
    <row r="2037" spans="1:1" ht="11.75" customHeight="1">
      <c r="A2037" s="1989">
        <f>1.21*G108*D20*24/1000*D101</f>
        <v>387079.06311359996</v>
      </c>
    </row>
    <row r="2038" spans="1:1" ht="11.75" customHeight="1">
      <c r="A2038" s="1989">
        <f>1.21*G108*D20*24/1000</f>
        <v>156.29328000000001</v>
      </c>
    </row>
    <row r="2039" spans="1:1" ht="11.75" customHeight="1">
      <c r="A2039" s="1989">
        <f>1.21*G108*D20*24</f>
        <v>156293.28</v>
      </c>
    </row>
    <row r="2040" spans="1:1" ht="11.75" customHeight="1">
      <c r="A2040" s="1989">
        <f>1.21*G108*D20</f>
        <v>6512.22</v>
      </c>
    </row>
    <row r="2041" spans="1:1" ht="11.75" customHeight="1">
      <c r="A2041" s="1989">
        <f>1.21*G108</f>
        <v>1.4157</v>
      </c>
    </row>
    <row r="2042" spans="1:1" ht="11.75" customHeight="1">
      <c r="A2042" s="1989" t="b">
        <f>D108="Measured"</f>
        <v>0</v>
      </c>
    </row>
    <row r="2043" spans="1:1" ht="11.75" customHeight="1">
      <c r="A2043" s="1989">
        <f>G109*D105/D101*3.6</f>
        <v>17.44312813431209</v>
      </c>
    </row>
    <row r="2044" spans="1:1" ht="11.75" customHeight="1">
      <c r="A2044" s="1989">
        <f>G109*D105</f>
        <v>12000</v>
      </c>
    </row>
    <row r="2045" spans="1:1" ht="11.75" customHeight="1">
      <c r="A2045" s="1989">
        <f>D101*3.6</f>
        <v>8915.8319999999985</v>
      </c>
    </row>
    <row r="2046" spans="1:1" ht="11.75" customHeight="1">
      <c r="A2046" s="1989">
        <f>IF(D108="AL-1A",0.89,IF(D108="AL-2A",0.71,IF(D108="AL-3A",0.53,IF(D108="AL-4A",0.35,IF(D108="AL-5A",0.21,IF(D108="AL-1B",1.17,IF(D108="AL-2B",0.98,IF(D108="AL-3B",0.78,IF(D108="AL-4B",0.59,IF(D108="AL-5B",0.39,IF(D108="AL-6B",0.23,IF(D108="PH Classic",0.6*D105/D101*3.6,IF(D108="PH Low",1*D105/D101*3.6,IF(D108="PH+",0.1))))))))))))))</f>
        <v>1.17</v>
      </c>
    </row>
    <row r="2047" spans="1:1" ht="11.75" customHeight="1">
      <c r="A2047" s="1989">
        <f>IF(H20="Present",VLOOKUP(H19,CANADA!A6:K699,9,FALSE),VLOOKUP(H19,CANADA!A6:K699,11,FALSE))</f>
        <v>4600</v>
      </c>
    </row>
    <row r="2048" spans="1:1" ht="11.75" customHeight="1">
      <c r="A2048" s="1989">
        <f>MATCH('NRL50-n-Factors'!D34,'NRL50-n-Factors'!C38:C49,0)</f>
        <v>5</v>
      </c>
    </row>
    <row r="2049" spans="1:1" ht="11.75" customHeight="1">
      <c r="A2049" s="1989">
        <f>MATCH(REPORT!D103,'NRL50-n-Factors'!D37:J37,0)</f>
        <v>2</v>
      </c>
    </row>
    <row r="2050" spans="1:1" ht="11.75" customHeight="1">
      <c r="A2050" s="1989" t="b">
        <f>D51="Gas"</f>
        <v>0</v>
      </c>
    </row>
    <row r="2051" spans="1:1" ht="11.75" customHeight="1">
      <c r="A2051" s="1989">
        <f>D$20*G101*24</f>
        <v>30728.853316304834</v>
      </c>
    </row>
    <row r="2052" spans="1:1" ht="11.75" customHeight="1">
      <c r="A2052" s="1989">
        <f>SUM(H65:H67)</f>
        <v>84390.33600000001</v>
      </c>
    </row>
    <row r="2053" spans="1:1" ht="11.75" customHeight="1">
      <c r="A2053" s="1989">
        <f>IF(D113="Heatpump",K51+D117+D114+M43+H70,IF(D113="Gas",K51+D117+M43+H70))</f>
        <v>132765.64793897627</v>
      </c>
    </row>
    <row r="2054" spans="1:1" ht="11.75" customHeight="1">
      <c r="A2054" s="1989" t="b">
        <f>D113="Heatpump"</f>
        <v>1</v>
      </c>
    </row>
    <row r="2055" spans="1:1" ht="11.75" customHeight="1">
      <c r="A2055" s="1990">
        <f>K51+D117+D114+M43+H70</f>
        <v>132765.64793897627</v>
      </c>
    </row>
    <row r="2056" spans="1:1" ht="11.75" customHeight="1">
      <c r="A2056" s="1989" t="b">
        <f>IF(D113="Gas",K51+D117+M43+H70)</f>
        <v>0</v>
      </c>
    </row>
    <row r="2057" spans="1:1" ht="11.75" customHeight="1">
      <c r="A2057" s="1989">
        <f>SUM(D44:D46)</f>
        <v>0</v>
      </c>
    </row>
    <row r="2058" spans="1:1" ht="11.75" customHeight="1">
      <c r="A2058" s="1990">
        <f>I44+I45</f>
        <v>0</v>
      </c>
    </row>
    <row r="2059" spans="1:1" ht="11.75" customHeight="1">
      <c r="A2059" s="1989">
        <f>H28*0.0373</f>
        <v>0</v>
      </c>
    </row>
    <row r="2060" spans="1:1" ht="11.75" customHeight="1">
      <c r="A2060" s="1989">
        <f>H30*36.72</f>
        <v>0</v>
      </c>
    </row>
    <row r="2061" spans="1:1" ht="11.75" customHeight="1">
      <c r="A2061" s="1990">
        <f>H27-D43</f>
        <v>132765.64793897627</v>
      </c>
    </row>
    <row r="2062" spans="1:1" ht="11.75" customHeight="1">
      <c r="A2062" s="1989" t="b">
        <f>D113="Electricity"</f>
        <v>0</v>
      </c>
    </row>
    <row r="2063" spans="1:1" ht="11.75" customHeight="1">
      <c r="A2063" s="1990">
        <f>I103+K51+D117+M121+I101+I102+M43+SUM(H65:H67)</f>
        <v>265287.6445956853</v>
      </c>
    </row>
    <row r="2064" spans="1:1" ht="11.75" customHeight="1">
      <c r="A2064" s="1990">
        <f>I103+K51+D117+M121+I101+I102+M43</f>
        <v>180897.30859568529</v>
      </c>
    </row>
    <row r="2065" spans="1:1" ht="11.75" customHeight="1">
      <c r="A2065" s="1990">
        <f>I103+K51+D117+M121+I101+I102</f>
        <v>180897.30859568529</v>
      </c>
    </row>
    <row r="2066" spans="1:1" ht="11.75" customHeight="1">
      <c r="A2066" s="1990">
        <f>I103+K51+D117+M121+I101</f>
        <v>164109.06314703665</v>
      </c>
    </row>
    <row r="2067" spans="1:1" ht="11.75" customHeight="1">
      <c r="A2067" s="1990">
        <f>I103+K51+D117+M121</f>
        <v>88005.3704468098</v>
      </c>
    </row>
    <row r="2068" spans="1:1" ht="11.75" customHeight="1">
      <c r="A2068" s="1990">
        <f>I103+K51+D117</f>
        <v>39024.570446809812</v>
      </c>
    </row>
    <row r="2069" spans="1:1" ht="11.75" customHeight="1">
      <c r="A2069" s="1990">
        <f>I103+K51</f>
        <v>36006.531012790423</v>
      </c>
    </row>
    <row r="2070" spans="1:1" ht="11.75" customHeight="1">
      <c r="A2070" s="1989">
        <f>1.21*G108*D20*24/1000*D101</f>
        <v>387079.06311359996</v>
      </c>
    </row>
    <row r="2071" spans="1:1" ht="11.75" customHeight="1">
      <c r="A2071" s="1989">
        <f>1.21*G108*D20*24/1000</f>
        <v>156.29328000000001</v>
      </c>
    </row>
    <row r="2072" spans="1:1" ht="11.75" customHeight="1">
      <c r="A2072" s="1989">
        <f>1.21*G108*D20*24</f>
        <v>156293.28</v>
      </c>
    </row>
    <row r="2073" spans="1:1" ht="11.75" customHeight="1">
      <c r="A2073" s="1989">
        <f>1.21*G108*D20</f>
        <v>6512.22</v>
      </c>
    </row>
    <row r="2074" spans="1:1" ht="11.75" customHeight="1">
      <c r="A2074" s="1989">
        <f>1.21*G108</f>
        <v>1.4157</v>
      </c>
    </row>
    <row r="2075" spans="1:1" ht="11.75" customHeight="1">
      <c r="A2075" s="1989" t="b">
        <f>D108="Measured"</f>
        <v>0</v>
      </c>
    </row>
    <row r="2076" spans="1:1" ht="11.75" customHeight="1">
      <c r="A2076" s="1989">
        <f>G109*D105/D101*3.6</f>
        <v>17.44312813431209</v>
      </c>
    </row>
    <row r="2077" spans="1:1" ht="11.75" customHeight="1">
      <c r="A2077" s="1989">
        <f>G109*D105</f>
        <v>12000</v>
      </c>
    </row>
    <row r="2078" spans="1:1" ht="11.75" customHeight="1">
      <c r="A2078" s="1989">
        <f>D101*3.6</f>
        <v>8915.8319999999985</v>
      </c>
    </row>
    <row r="2079" spans="1:1" ht="11.75" customHeight="1">
      <c r="A2079" s="1989">
        <f>IF(D108="AL-1A",0.89,IF(D108="AL-2A",0.71,IF(D108="AL-3A",0.53,IF(D108="AL-4A",0.35,IF(D108="AL-5A",0.21,IF(D108="AL-1B",1.17,IF(D108="AL-2B",0.98,IF(D108="AL-3B",0.78,IF(D108="AL-4B",0.59,IF(D108="AL-5B",0.39,IF(D108="AL-6B",0.23,IF(D108="PH Classic",0.6*D105/D101*3.6,IF(D108="PH Low",1*D105/D101*3.6,IF(D108="PH+",0.1))))))))))))))</f>
        <v>1.17</v>
      </c>
    </row>
    <row r="2080" spans="1:1" ht="11.75" customHeight="1">
      <c r="A2080" s="1989">
        <f>IF(H20="Present",VLOOKUP(H19,CANADA!A6:K699,9,FALSE),VLOOKUP(H19,CANADA!A6:K699,11,FALSE))</f>
        <v>4600</v>
      </c>
    </row>
    <row r="2081" spans="1:1" ht="11.75" customHeight="1">
      <c r="A2081" s="1989">
        <f>MATCH('NRL50-n-Factors'!D34,'NRL50-n-Factors'!C38:C49,0)</f>
        <v>5</v>
      </c>
    </row>
    <row r="2082" spans="1:1" ht="11.75" customHeight="1">
      <c r="A2082" s="1989">
        <f>MATCH(REPORT!D103,'NRL50-n-Factors'!D37:J37,0)</f>
        <v>2</v>
      </c>
    </row>
    <row r="2083" spans="1:1" ht="11.75" customHeight="1">
      <c r="A2083" s="1989" t="b">
        <f>D51="Gas"</f>
        <v>0</v>
      </c>
    </row>
    <row r="2084" spans="1:1" ht="11.75" customHeight="1">
      <c r="A2084" s="1989">
        <f>D$20*G101*24</f>
        <v>30728.853316304834</v>
      </c>
    </row>
    <row r="2085" spans="1:1" ht="11.75" customHeight="1">
      <c r="A2085" s="1989">
        <f>SUM(H65:H67)</f>
        <v>84390.33600000001</v>
      </c>
    </row>
    <row r="2086" spans="1:1" ht="11.75" customHeight="1">
      <c r="A2086" s="1989">
        <f>IF(D113="Heatpump",K51+D117+D114+M43+H70,IF(D113="Gas",K51+D117+M43+H70))</f>
        <v>132765.64793897627</v>
      </c>
    </row>
    <row r="2087" spans="1:1" ht="11.75" customHeight="1">
      <c r="A2087" s="1989" t="b">
        <f>D113="Heatpump"</f>
        <v>1</v>
      </c>
    </row>
    <row r="2088" spans="1:1" ht="11.75" customHeight="1">
      <c r="A2088" s="1990">
        <f>K51+D117+D114+M43+H70</f>
        <v>132765.64793897627</v>
      </c>
    </row>
    <row r="2089" spans="1:1" ht="11.75" customHeight="1">
      <c r="A2089" s="1989" t="b">
        <f>IF(D113="Gas",K51+D117+M43+H70)</f>
        <v>0</v>
      </c>
    </row>
    <row r="2090" spans="1:1" ht="11.75" customHeight="1">
      <c r="A2090" s="1989">
        <f>SUM(D44:D46)</f>
        <v>0</v>
      </c>
    </row>
    <row r="2091" spans="1:1" ht="11.75" customHeight="1">
      <c r="A2091" s="1990">
        <f>I44+I45</f>
        <v>0</v>
      </c>
    </row>
    <row r="2092" spans="1:1" ht="11.75" customHeight="1">
      <c r="A2092" s="1989">
        <f>H28*0.0373</f>
        <v>0</v>
      </c>
    </row>
    <row r="2093" spans="1:1" ht="11.75" customHeight="1">
      <c r="A2093" s="1989">
        <f>H30*36.72</f>
        <v>0</v>
      </c>
    </row>
    <row r="2094" spans="1:1" ht="11.75" customHeight="1">
      <c r="A2094" s="1990">
        <f>H27-D43</f>
        <v>132765.64793897627</v>
      </c>
    </row>
    <row r="2095" spans="1:1" ht="11.75" customHeight="1">
      <c r="A2095" s="1989" t="b">
        <f>D113="Electricity"</f>
        <v>0</v>
      </c>
    </row>
    <row r="2096" spans="1:1" ht="11.75" customHeight="1">
      <c r="A2096" s="1990">
        <f>I103+K51+D117+M121+I101+I102+M43+SUM(H65:H67)</f>
        <v>265287.6445956853</v>
      </c>
    </row>
    <row r="2097" spans="1:1" ht="11.75" customHeight="1">
      <c r="A2097" s="1990">
        <f>I103+K51+D117+M121+I101+I102+M43</f>
        <v>180897.30859568529</v>
      </c>
    </row>
    <row r="2098" spans="1:1" ht="11.75" customHeight="1">
      <c r="A2098" s="1990">
        <f>I103+K51+D117+M121+I101+I102</f>
        <v>180897.30859568529</v>
      </c>
    </row>
    <row r="2099" spans="1:1" ht="11.75" customHeight="1">
      <c r="A2099" s="1990">
        <f>I103+K51+D117+M121+I101</f>
        <v>164109.06314703665</v>
      </c>
    </row>
    <row r="2100" spans="1:1" ht="11.75" customHeight="1">
      <c r="A2100" s="1990">
        <f>I103+K51+D117+M121</f>
        <v>88005.3704468098</v>
      </c>
    </row>
    <row r="2101" spans="1:1" ht="11.75" customHeight="1">
      <c r="A2101" s="1990">
        <f>I103+K51+D117</f>
        <v>39024.570446809812</v>
      </c>
    </row>
    <row r="2102" spans="1:1" ht="11.75" customHeight="1">
      <c r="A2102" s="1990">
        <f>I103+K51</f>
        <v>36006.531012790423</v>
      </c>
    </row>
    <row r="2103" spans="1:1" ht="11.75" customHeight="1">
      <c r="A2103" s="1989">
        <f>1.21*G108*D20*24/1000*D101</f>
        <v>387079.06311359996</v>
      </c>
    </row>
    <row r="2104" spans="1:1" ht="11.75" customHeight="1">
      <c r="A2104" s="1989">
        <f>1.21*G108*D20*24/1000</f>
        <v>156.29328000000001</v>
      </c>
    </row>
    <row r="2105" spans="1:1" ht="11.75" customHeight="1">
      <c r="A2105" s="1989">
        <f>1.21*G108*D20*24</f>
        <v>156293.28</v>
      </c>
    </row>
    <row r="2106" spans="1:1" ht="11.75" customHeight="1">
      <c r="A2106" s="1989">
        <f>1.21*G108*D20</f>
        <v>6512.22</v>
      </c>
    </row>
    <row r="2107" spans="1:1" ht="11.75" customHeight="1">
      <c r="A2107" s="1989">
        <f>1.21*G108</f>
        <v>1.4157</v>
      </c>
    </row>
    <row r="2108" spans="1:1" ht="11.75" customHeight="1">
      <c r="A2108" s="1989" t="b">
        <f>D108="Measured"</f>
        <v>0</v>
      </c>
    </row>
    <row r="2109" spans="1:1" ht="11.75" customHeight="1">
      <c r="A2109" s="1989">
        <f>G109*D105/D101*3.6</f>
        <v>17.44312813431209</v>
      </c>
    </row>
    <row r="2110" spans="1:1" ht="11.75" customHeight="1">
      <c r="A2110" s="1989">
        <f>G109*D105</f>
        <v>12000</v>
      </c>
    </row>
    <row r="2111" spans="1:1" ht="11.75" customHeight="1">
      <c r="A2111" s="1989">
        <f>D101*3.6</f>
        <v>8915.8319999999985</v>
      </c>
    </row>
    <row r="2112" spans="1:1" ht="11.75" customHeight="1">
      <c r="A2112" s="1989">
        <f>IF(D108="AL-1A",0.89,IF(D108="AL-2A",0.71,IF(D108="AL-3A",0.53,IF(D108="AL-4A",0.35,IF(D108="AL-5A",0.21,IF(D108="AL-1B",1.17,IF(D108="AL-2B",0.98,IF(D108="AL-3B",0.78,IF(D108="AL-4B",0.59,IF(D108="AL-5B",0.39,IF(D108="AL-6B",0.23,IF(D108="PH Classic",0.6*D105/D101*3.6,IF(D108="PH Low",1*D105/D101*3.6,IF(D108="PH+",0.1))))))))))))))</f>
        <v>1.17</v>
      </c>
    </row>
    <row r="2113" spans="1:1" ht="11.75" customHeight="1">
      <c r="A2113" s="1989">
        <f>IF(H20="Present",VLOOKUP(H19,CANADA!A6:K699,9,FALSE),VLOOKUP(H19,CANADA!A6:K699,11,FALSE))</f>
        <v>4600</v>
      </c>
    </row>
    <row r="2114" spans="1:1" ht="11.75" customHeight="1">
      <c r="A2114" s="1989">
        <f>MATCH('NRL50-n-Factors'!D34,'NRL50-n-Factors'!C38:C49,0)</f>
        <v>5</v>
      </c>
    </row>
    <row r="2115" spans="1:1" ht="11.75" customHeight="1">
      <c r="A2115" s="1989">
        <f>MATCH(REPORT!D103,'NRL50-n-Factors'!D37:J37,0)</f>
        <v>2</v>
      </c>
    </row>
    <row r="2116" spans="1:1" ht="11.75" customHeight="1">
      <c r="A2116" s="1989" t="b">
        <f>D51="Gas"</f>
        <v>0</v>
      </c>
    </row>
    <row r="2117" spans="1:1" ht="11.75" customHeight="1">
      <c r="A2117" s="1989">
        <f>D$20*G101*24</f>
        <v>30728.853316304834</v>
      </c>
    </row>
    <row r="2118" spans="1:1" ht="11.75" customHeight="1">
      <c r="A2118" s="1989">
        <f>SUM(H65:H67)</f>
        <v>84390.33600000001</v>
      </c>
    </row>
    <row r="2119" spans="1:1" ht="11.75" customHeight="1">
      <c r="A2119" s="1989">
        <f>IF(D113="Heatpump",K51+D117+D114+M43+H70,IF(D113="Gas",K51+D117+M43+H70))</f>
        <v>132765.64793897627</v>
      </c>
    </row>
    <row r="2120" spans="1:1" ht="11.75" customHeight="1">
      <c r="A2120" s="1989" t="b">
        <f>D113="Heatpump"</f>
        <v>1</v>
      </c>
    </row>
    <row r="2121" spans="1:1" ht="11.75" customHeight="1">
      <c r="A2121" s="1990">
        <f>K51+D117+D114+M43+H70</f>
        <v>132765.64793897627</v>
      </c>
    </row>
    <row r="2122" spans="1:1" ht="11.75" customHeight="1">
      <c r="A2122" s="1989" t="b">
        <f>IF(D113="Gas",K51+D117+M43+H70)</f>
        <v>0</v>
      </c>
    </row>
    <row r="2123" spans="1:1" ht="11.75" customHeight="1">
      <c r="A2123" s="1989">
        <f>SUM(D44:D46)</f>
        <v>0</v>
      </c>
    </row>
    <row r="2124" spans="1:1" ht="11.75" customHeight="1">
      <c r="A2124" s="1990">
        <f>I44+I45</f>
        <v>0</v>
      </c>
    </row>
    <row r="2125" spans="1:1" ht="11.75" customHeight="1">
      <c r="A2125" s="1989">
        <f>H28*0.0373</f>
        <v>0</v>
      </c>
    </row>
    <row r="2126" spans="1:1" ht="11.75" customHeight="1">
      <c r="A2126" s="1989">
        <f>H30*36.72</f>
        <v>0</v>
      </c>
    </row>
    <row r="2127" spans="1:1" ht="11.75" customHeight="1">
      <c r="A2127" s="1990">
        <f>H27-D43</f>
        <v>132765.64793897627</v>
      </c>
    </row>
    <row r="2128" spans="1:1" ht="11.75" customHeight="1">
      <c r="A2128" s="1989" t="b">
        <f>D113="Electricity"</f>
        <v>0</v>
      </c>
    </row>
    <row r="2129" spans="1:1" ht="11.75" customHeight="1">
      <c r="A2129" s="1990">
        <f>I103+K51+D117+M121+I101+I102+M43+SUM(H65:H67)</f>
        <v>265287.6445956853</v>
      </c>
    </row>
    <row r="2130" spans="1:1" ht="11.75" customHeight="1">
      <c r="A2130" s="1990">
        <f>I103+K51+D117+M121+I101+I102+M43</f>
        <v>180897.30859568529</v>
      </c>
    </row>
    <row r="2131" spans="1:1" ht="11.75" customHeight="1">
      <c r="A2131" s="1990">
        <f>I103+K51+D117+M121+I101+I102</f>
        <v>180897.30859568529</v>
      </c>
    </row>
    <row r="2132" spans="1:1" ht="11.75" customHeight="1">
      <c r="A2132" s="1990">
        <f>I103+K51+D117+M121+I101</f>
        <v>164109.06314703665</v>
      </c>
    </row>
    <row r="2133" spans="1:1" ht="11.75" customHeight="1">
      <c r="A2133" s="1990">
        <f>I103+K51+D117+M121</f>
        <v>88005.3704468098</v>
      </c>
    </row>
    <row r="2134" spans="1:1" ht="11.75" customHeight="1">
      <c r="A2134" s="1990">
        <f>I103+K51+D117</f>
        <v>39024.570446809812</v>
      </c>
    </row>
    <row r="2135" spans="1:1" ht="11.75" customHeight="1">
      <c r="A2135" s="1990">
        <f>I103+K51</f>
        <v>36006.531012790423</v>
      </c>
    </row>
    <row r="2136" spans="1:1" ht="11.75" customHeight="1">
      <c r="A2136" s="1989">
        <f>1.21*G108*D20*24/1000*D101</f>
        <v>387079.06311359996</v>
      </c>
    </row>
    <row r="2137" spans="1:1" ht="11.75" customHeight="1">
      <c r="A2137" s="1989">
        <f>1.21*G108*D20*24/1000</f>
        <v>156.29328000000001</v>
      </c>
    </row>
    <row r="2138" spans="1:1" ht="11.75" customHeight="1">
      <c r="A2138" s="1989">
        <f>1.21*G108*D20*24</f>
        <v>156293.28</v>
      </c>
    </row>
    <row r="2139" spans="1:1" ht="11.75" customHeight="1">
      <c r="A2139" s="1989">
        <f>1.21*G108*D20</f>
        <v>6512.22</v>
      </c>
    </row>
    <row r="2140" spans="1:1" ht="11.75" customHeight="1">
      <c r="A2140" s="1989">
        <f>1.21*G108</f>
        <v>1.4157</v>
      </c>
    </row>
    <row r="2141" spans="1:1" ht="11.75" customHeight="1">
      <c r="A2141" s="1989" t="b">
        <f>D108="Measured"</f>
        <v>0</v>
      </c>
    </row>
    <row r="2142" spans="1:1" ht="11.75" customHeight="1">
      <c r="A2142" s="1989">
        <f>G109*D105/D101*3.6</f>
        <v>17.44312813431209</v>
      </c>
    </row>
    <row r="2143" spans="1:1" ht="11.75" customHeight="1">
      <c r="A2143" s="1989">
        <f>G109*D105</f>
        <v>12000</v>
      </c>
    </row>
    <row r="2144" spans="1:1" ht="11.75" customHeight="1">
      <c r="A2144" s="1989">
        <f>D101*3.6</f>
        <v>8915.8319999999985</v>
      </c>
    </row>
    <row r="2145" spans="1:1" ht="11.75" customHeight="1">
      <c r="A2145" s="1989">
        <f>IF(D108="AL-1A",0.89,IF(D108="AL-2A",0.71,IF(D108="AL-3A",0.53,IF(D108="AL-4A",0.35,IF(D108="AL-5A",0.21,IF(D108="AL-1B",1.17,IF(D108="AL-2B",0.98,IF(D108="AL-3B",0.78,IF(D108="AL-4B",0.59,IF(D108="AL-5B",0.39,IF(D108="AL-6B",0.23,IF(D108="PH Classic",0.6*D105/D101*3.6,IF(D108="PH Low",1*D105/D101*3.6,IF(D108="PH+",0.1))))))))))))))</f>
        <v>1.17</v>
      </c>
    </row>
    <row r="2146" spans="1:1" ht="11.75" customHeight="1">
      <c r="A2146" s="1989">
        <f>IF(H20="Present",VLOOKUP(H19,CANADA!A6:K699,9,FALSE),VLOOKUP(H19,CANADA!A6:K699,11,FALSE))</f>
        <v>4600</v>
      </c>
    </row>
    <row r="2147" spans="1:1" ht="11.75" customHeight="1">
      <c r="A2147" s="1989">
        <f>MATCH('NRL50-n-Factors'!D34,'NRL50-n-Factors'!C38:C49,0)</f>
        <v>5</v>
      </c>
    </row>
    <row r="2148" spans="1:1" ht="11.75" customHeight="1">
      <c r="A2148" s="1989">
        <f>MATCH(REPORT!D103,'NRL50-n-Factors'!D37:J37,0)</f>
        <v>2</v>
      </c>
    </row>
    <row r="2149" spans="1:1" ht="11.75" customHeight="1">
      <c r="A2149" s="1989" t="b">
        <f>D51="Gas"</f>
        <v>0</v>
      </c>
    </row>
    <row r="2150" spans="1:1" ht="11.75" customHeight="1">
      <c r="A2150" s="1989">
        <f>D$20*G101*24</f>
        <v>30728.853316304834</v>
      </c>
    </row>
    <row r="2151" spans="1:1" ht="11.75" customHeight="1">
      <c r="A2151" s="1989">
        <f>SUM(H65:H67)</f>
        <v>84390.33600000001</v>
      </c>
    </row>
    <row r="2152" spans="1:1" ht="11.75" customHeight="1">
      <c r="A2152" s="1989">
        <f>IF(D113="Heatpump",K51+D117+D114+M43+H70,IF(D113="Gas",K51+D117+M43+H70))</f>
        <v>132765.64793897627</v>
      </c>
    </row>
    <row r="2153" spans="1:1" ht="11.75" customHeight="1">
      <c r="A2153" s="1989" t="b">
        <f>D113="Heatpump"</f>
        <v>1</v>
      </c>
    </row>
    <row r="2154" spans="1:1" ht="11.75" customHeight="1">
      <c r="A2154" s="1990">
        <f>K51+D117+D114+M43+H70</f>
        <v>132765.64793897627</v>
      </c>
    </row>
    <row r="2155" spans="1:1" ht="11.75" customHeight="1">
      <c r="A2155" s="1989" t="b">
        <f>IF(D113="Gas",K51+D117+M43+H70)</f>
        <v>0</v>
      </c>
    </row>
    <row r="2156" spans="1:1" ht="11.75" customHeight="1">
      <c r="A2156" s="1989">
        <f>SUM(D44:D46)</f>
        <v>0</v>
      </c>
    </row>
    <row r="2157" spans="1:1" ht="11.75" customHeight="1">
      <c r="A2157" s="1990">
        <f>I44+I45</f>
        <v>0</v>
      </c>
    </row>
    <row r="2158" spans="1:1" ht="11.75" customHeight="1">
      <c r="A2158" s="1989">
        <f>H28*0.0373</f>
        <v>0</v>
      </c>
    </row>
    <row r="2159" spans="1:1" ht="11.75" customHeight="1">
      <c r="A2159" s="1989">
        <f>H30*36.72</f>
        <v>0</v>
      </c>
    </row>
    <row r="2160" spans="1:1" ht="11.75" customHeight="1">
      <c r="A2160" s="1990">
        <f>H27-D43</f>
        <v>132765.64793897627</v>
      </c>
    </row>
    <row r="2161" spans="1:1" ht="11.75" customHeight="1">
      <c r="A2161" s="1989" t="b">
        <f>D113="Electricity"</f>
        <v>0</v>
      </c>
    </row>
    <row r="2162" spans="1:1" ht="11.75" customHeight="1">
      <c r="A2162" s="1990">
        <f>I103+K51+D117+M121+I101+I102+M43+SUM(H65:H67)</f>
        <v>265287.6445956853</v>
      </c>
    </row>
    <row r="2163" spans="1:1" ht="11.75" customHeight="1">
      <c r="A2163" s="1990">
        <f>I103+K51+D117+M121+I101+I102+M43</f>
        <v>180897.30859568529</v>
      </c>
    </row>
    <row r="2164" spans="1:1" ht="11.75" customHeight="1">
      <c r="A2164" s="1990">
        <f>I103+K51+D117+M121+I101+I102</f>
        <v>180897.30859568529</v>
      </c>
    </row>
    <row r="2165" spans="1:1" ht="11.75" customHeight="1">
      <c r="A2165" s="1990">
        <f>I103+K51+D117+M121+I101</f>
        <v>164109.06314703665</v>
      </c>
    </row>
    <row r="2166" spans="1:1" ht="11.75" customHeight="1">
      <c r="A2166" s="1990">
        <f>I103+K51+D117+M121</f>
        <v>88005.3704468098</v>
      </c>
    </row>
    <row r="2167" spans="1:1" ht="11.75" customHeight="1">
      <c r="A2167" s="1990">
        <f>I103+K51+D117</f>
        <v>39024.570446809812</v>
      </c>
    </row>
    <row r="2168" spans="1:1" ht="11.75" customHeight="1">
      <c r="A2168" s="1990">
        <f>I103+K51</f>
        <v>36006.531012790423</v>
      </c>
    </row>
    <row r="2169" spans="1:1" ht="11.75" customHeight="1">
      <c r="A2169" s="1989">
        <f>1.21*G108*D20*24/1000*D101</f>
        <v>387079.06311359996</v>
      </c>
    </row>
    <row r="2170" spans="1:1" ht="11.75" customHeight="1">
      <c r="A2170" s="1989">
        <f>1.21*G108*D20*24/1000</f>
        <v>156.29328000000001</v>
      </c>
    </row>
    <row r="2171" spans="1:1" ht="11.75" customHeight="1">
      <c r="A2171" s="1989">
        <f>1.21*G108*D20*24</f>
        <v>156293.28</v>
      </c>
    </row>
    <row r="2172" spans="1:1" ht="11.75" customHeight="1">
      <c r="A2172" s="1989">
        <f>1.21*G108*D20</f>
        <v>6512.22</v>
      </c>
    </row>
    <row r="2173" spans="1:1" ht="11.75" customHeight="1">
      <c r="A2173" s="1989">
        <f>1.21*G108</f>
        <v>1.4157</v>
      </c>
    </row>
    <row r="2174" spans="1:1" ht="11.75" customHeight="1">
      <c r="A2174" s="1989" t="b">
        <f>D108="Measured"</f>
        <v>0</v>
      </c>
    </row>
    <row r="2175" spans="1:1" ht="11.75" customHeight="1">
      <c r="A2175" s="1989">
        <f>G109*D105/D101*3.6</f>
        <v>17.44312813431209</v>
      </c>
    </row>
    <row r="2176" spans="1:1" ht="11.75" customHeight="1">
      <c r="A2176" s="1989">
        <f>G109*D105</f>
        <v>12000</v>
      </c>
    </row>
    <row r="2177" spans="1:1" ht="11.75" customHeight="1">
      <c r="A2177" s="1989">
        <f>D101*3.6</f>
        <v>8915.8319999999985</v>
      </c>
    </row>
    <row r="2178" spans="1:1" ht="11.75" customHeight="1">
      <c r="A2178" s="1989">
        <f>IF(D108="AL-1A",0.89,IF(D108="AL-2A",0.71,IF(D108="AL-3A",0.53,IF(D108="AL-4A",0.35,IF(D108="AL-5A",0.21,IF(D108="AL-1B",1.17,IF(D108="AL-2B",0.98,IF(D108="AL-3B",0.78,IF(D108="AL-4B",0.59,IF(D108="AL-5B",0.39,IF(D108="AL-6B",0.23,IF(D108="PH Classic",0.6*D105/D101*3.6,IF(D108="PH Low",1*D105/D101*3.6,IF(D108="PH+",0.1))))))))))))))</f>
        <v>1.17</v>
      </c>
    </row>
    <row r="2179" spans="1:1" ht="11.75" customHeight="1">
      <c r="A2179" s="1989">
        <f>IF(H20="Present",VLOOKUP(H19,CANADA!A6:K699,9,FALSE),VLOOKUP(H19,CANADA!A6:K699,11,FALSE))</f>
        <v>4600</v>
      </c>
    </row>
    <row r="2180" spans="1:1" ht="11.75" customHeight="1">
      <c r="A2180" s="1989">
        <f>MATCH('NRL50-n-Factors'!D34,'NRL50-n-Factors'!C38:C49,0)</f>
        <v>5</v>
      </c>
    </row>
    <row r="2181" spans="1:1" ht="11.75" customHeight="1">
      <c r="A2181" s="1989">
        <f>MATCH(REPORT!D103,'NRL50-n-Factors'!D37:J37,0)</f>
        <v>2</v>
      </c>
    </row>
    <row r="2182" spans="1:1" ht="11.75" customHeight="1">
      <c r="A2182" s="1989" t="b">
        <f>D51="Gas"</f>
        <v>0</v>
      </c>
    </row>
    <row r="2183" spans="1:1" ht="11.75" customHeight="1">
      <c r="A2183" s="1989">
        <f>D$20*G101*24</f>
        <v>30728.853316304834</v>
      </c>
    </row>
    <row r="2184" spans="1:1" ht="11.75" customHeight="1">
      <c r="A2184" s="1989">
        <f>SUM(H65:H67)</f>
        <v>84390.33600000001</v>
      </c>
    </row>
    <row r="2185" spans="1:1" ht="11.75" customHeight="1">
      <c r="A2185" s="1989">
        <f>IF(D113="Heatpump",K51+D117+D114+M43+H70,IF(D113="Gas",K51+D117+M43+H70))</f>
        <v>132765.64793897627</v>
      </c>
    </row>
    <row r="2186" spans="1:1" ht="11.75" customHeight="1">
      <c r="A2186" s="1989" t="b">
        <f>D113="Heatpump"</f>
        <v>1</v>
      </c>
    </row>
    <row r="2187" spans="1:1" ht="11.75" customHeight="1">
      <c r="A2187" s="1990">
        <f>K51+D117+D114+M43+H70</f>
        <v>132765.64793897627</v>
      </c>
    </row>
    <row r="2188" spans="1:1" ht="11.75" customHeight="1">
      <c r="A2188" s="1989" t="b">
        <f>IF(D113="Gas",K51+D117+M43+H70)</f>
        <v>0</v>
      </c>
    </row>
    <row r="2189" spans="1:1" ht="11.75" customHeight="1">
      <c r="A2189" s="1989">
        <f>SUM(D44:D46)</f>
        <v>0</v>
      </c>
    </row>
    <row r="2190" spans="1:1" ht="11.75" customHeight="1">
      <c r="A2190" s="1990">
        <f>I44+I45</f>
        <v>0</v>
      </c>
    </row>
    <row r="2191" spans="1:1" ht="11.75" customHeight="1">
      <c r="A2191" s="1989">
        <f>H28*0.0373</f>
        <v>0</v>
      </c>
    </row>
    <row r="2192" spans="1:1" ht="11.75" customHeight="1">
      <c r="A2192" s="1989">
        <f>H30*36.72</f>
        <v>0</v>
      </c>
    </row>
    <row r="2193" spans="1:1" ht="11.75" customHeight="1">
      <c r="A2193" s="1990">
        <f>H27-D43</f>
        <v>132765.64793897627</v>
      </c>
    </row>
    <row r="2194" spans="1:1" ht="11.75" customHeight="1">
      <c r="A2194" s="1989" t="b">
        <f>D113="Electricity"</f>
        <v>0</v>
      </c>
    </row>
    <row r="2195" spans="1:1" ht="11.75" customHeight="1">
      <c r="A2195" s="1990">
        <f>I103+K51+D117+M121+I101+I102+M43+SUM(H65:H67)</f>
        <v>265287.6445956853</v>
      </c>
    </row>
    <row r="2196" spans="1:1" ht="11.75" customHeight="1">
      <c r="A2196" s="1990">
        <f>I103+K51+D117+M121+I101+I102+M43</f>
        <v>180897.30859568529</v>
      </c>
    </row>
    <row r="2197" spans="1:1" ht="11.75" customHeight="1">
      <c r="A2197" s="1990">
        <f>I103+K51+D117+M121+I101+I102</f>
        <v>180897.30859568529</v>
      </c>
    </row>
    <row r="2198" spans="1:1" ht="11.75" customHeight="1">
      <c r="A2198" s="1990">
        <f>I103+K51+D117+M121+I101</f>
        <v>164109.06314703665</v>
      </c>
    </row>
    <row r="2199" spans="1:1" ht="11.75" customHeight="1">
      <c r="A2199" s="1990">
        <f>I103+K51+D117+M121</f>
        <v>88005.3704468098</v>
      </c>
    </row>
    <row r="2200" spans="1:1" ht="11.75" customHeight="1">
      <c r="A2200" s="1990">
        <f>I103+K51+D117</f>
        <v>39024.570446809812</v>
      </c>
    </row>
    <row r="2201" spans="1:1" ht="11.75" customHeight="1">
      <c r="A2201" s="1990">
        <f>I103+K51</f>
        <v>36006.531012790423</v>
      </c>
    </row>
    <row r="2202" spans="1:1" ht="11.75" customHeight="1">
      <c r="A2202" s="1989">
        <f>1.21*G108*D20*24/1000*D101</f>
        <v>387079.06311359996</v>
      </c>
    </row>
    <row r="2203" spans="1:1" ht="11.75" customHeight="1">
      <c r="A2203" s="1989">
        <f>1.21*G108*D20*24/1000</f>
        <v>156.29328000000001</v>
      </c>
    </row>
    <row r="2204" spans="1:1" ht="11.75" customHeight="1">
      <c r="A2204" s="1989">
        <f>1.21*G108*D20*24</f>
        <v>156293.28</v>
      </c>
    </row>
    <row r="2205" spans="1:1" ht="11.75" customHeight="1">
      <c r="A2205" s="1989">
        <f>1.21*G108*D20</f>
        <v>6512.22</v>
      </c>
    </row>
    <row r="2206" spans="1:1" ht="11.75" customHeight="1">
      <c r="A2206" s="1989">
        <f>1.21*G108</f>
        <v>1.4157</v>
      </c>
    </row>
    <row r="2207" spans="1:1" ht="11.75" customHeight="1">
      <c r="A2207" s="1989" t="b">
        <f>D108="Measured"</f>
        <v>0</v>
      </c>
    </row>
    <row r="2208" spans="1:1" ht="11.75" customHeight="1">
      <c r="A2208" s="1989">
        <f>G109*D105/D101*3.6</f>
        <v>17.44312813431209</v>
      </c>
    </row>
    <row r="2209" spans="1:1" ht="11.75" customHeight="1">
      <c r="A2209" s="1989">
        <f>G109*D105</f>
        <v>12000</v>
      </c>
    </row>
    <row r="2210" spans="1:1" ht="11.75" customHeight="1">
      <c r="A2210" s="1989">
        <f>D101*3.6</f>
        <v>8915.8319999999985</v>
      </c>
    </row>
    <row r="2211" spans="1:1" ht="11.75" customHeight="1">
      <c r="A2211" s="1989">
        <f>IF(D108="AL-1A",0.89,IF(D108="AL-2A",0.71,IF(D108="AL-3A",0.53,IF(D108="AL-4A",0.35,IF(D108="AL-5A",0.21,IF(D108="AL-1B",1.17,IF(D108="AL-2B",0.98,IF(D108="AL-3B",0.78,IF(D108="AL-4B",0.59,IF(D108="AL-5B",0.39,IF(D108="AL-6B",0.23,IF(D108="PH Classic",0.6*D105/D101*3.6,IF(D108="PH Low",1*D105/D101*3.6,IF(D108="PH+",0.1))))))))))))))</f>
        <v>1.17</v>
      </c>
    </row>
    <row r="2212" spans="1:1" ht="11.75" customHeight="1">
      <c r="A2212" s="1989">
        <f>IF(H20="Present",VLOOKUP(H19,CANADA!A6:K699,9,FALSE),VLOOKUP(H19,CANADA!A6:K699,11,FALSE))</f>
        <v>4600</v>
      </c>
    </row>
    <row r="2213" spans="1:1" ht="11.75" customHeight="1">
      <c r="A2213" s="1989">
        <f>MATCH('NRL50-n-Factors'!D34,'NRL50-n-Factors'!C38:C49,0)</f>
        <v>5</v>
      </c>
    </row>
    <row r="2214" spans="1:1" ht="11.75" customHeight="1">
      <c r="A2214" s="1989">
        <f>MATCH(REPORT!D103,'NRL50-n-Factors'!D37:J37,0)</f>
        <v>2</v>
      </c>
    </row>
    <row r="2215" spans="1:1" ht="11.75" customHeight="1">
      <c r="A2215" s="1989" t="b">
        <f>D51="Gas"</f>
        <v>0</v>
      </c>
    </row>
    <row r="2216" spans="1:1" ht="11.75" customHeight="1">
      <c r="A2216" s="1989">
        <f>D$20*G101*24</f>
        <v>30728.853316304834</v>
      </c>
    </row>
    <row r="2217" spans="1:1" ht="11.75" customHeight="1">
      <c r="A2217" s="1989">
        <f>SUM(H65:H67)</f>
        <v>84390.33600000001</v>
      </c>
    </row>
    <row r="2218" spans="1:1" ht="11.75" customHeight="1">
      <c r="A2218" s="1989">
        <f>IF(D113="Heatpump",K51+D117+D114+M43+H70,IF(D113="Gas",K51+D117+M43+H70))</f>
        <v>132765.64793897627</v>
      </c>
    </row>
    <row r="2219" spans="1:1" ht="11.75" customHeight="1">
      <c r="A2219" s="1989" t="b">
        <f>D113="Heatpump"</f>
        <v>1</v>
      </c>
    </row>
    <row r="2220" spans="1:1" ht="11.75" customHeight="1">
      <c r="A2220" s="1990">
        <f>K51+D117+D114+M43+H70</f>
        <v>132765.64793897627</v>
      </c>
    </row>
    <row r="2221" spans="1:1" ht="11.75" customHeight="1">
      <c r="A2221" s="1989" t="b">
        <f>IF(D113="Gas",K51+D117+M43+H70)</f>
        <v>0</v>
      </c>
    </row>
    <row r="2222" spans="1:1" ht="11.75" customHeight="1">
      <c r="A2222" s="1989">
        <f>SUM(D44:D46)</f>
        <v>0</v>
      </c>
    </row>
    <row r="2223" spans="1:1" ht="11.75" customHeight="1">
      <c r="A2223" s="1990">
        <f>I44+I45</f>
        <v>0</v>
      </c>
    </row>
    <row r="2224" spans="1:1" ht="11.75" customHeight="1">
      <c r="A2224" s="1989">
        <f>H28*0.0373</f>
        <v>0</v>
      </c>
    </row>
    <row r="2225" spans="1:1" ht="11.75" customHeight="1">
      <c r="A2225" s="1989">
        <f>H30*36.72</f>
        <v>0</v>
      </c>
    </row>
    <row r="2226" spans="1:1" ht="11.75" customHeight="1">
      <c r="A2226" s="1990">
        <f>H27-D43</f>
        <v>132765.64793897627</v>
      </c>
    </row>
    <row r="2227" spans="1:1" ht="11.75" customHeight="1">
      <c r="A2227" s="1989" t="b">
        <f>D113="Electricity"</f>
        <v>0</v>
      </c>
    </row>
    <row r="2228" spans="1:1" ht="11.75" customHeight="1">
      <c r="A2228" s="1990">
        <f>I103+K51+D117+M121+I101+I102+M43+SUM(H65:H67)</f>
        <v>265287.6445956853</v>
      </c>
    </row>
    <row r="2229" spans="1:1" ht="11.75" customHeight="1">
      <c r="A2229" s="1990">
        <f>I103+K51+D117+M121+I101+I102+M43</f>
        <v>180897.30859568529</v>
      </c>
    </row>
    <row r="2230" spans="1:1" ht="11.75" customHeight="1">
      <c r="A2230" s="1990">
        <f>I103+K51+D117+M121+I101+I102</f>
        <v>180897.30859568529</v>
      </c>
    </row>
    <row r="2231" spans="1:1" ht="11.75" customHeight="1">
      <c r="A2231" s="1990">
        <f>I103+K51+D117+M121+I101</f>
        <v>164109.06314703665</v>
      </c>
    </row>
    <row r="2232" spans="1:1" ht="11.75" customHeight="1">
      <c r="A2232" s="1990">
        <f>I103+K51+D117+M121</f>
        <v>88005.3704468098</v>
      </c>
    </row>
    <row r="2233" spans="1:1" ht="11.75" customHeight="1">
      <c r="A2233" s="1990">
        <f>I103+K51+D117</f>
        <v>39024.570446809812</v>
      </c>
    </row>
    <row r="2234" spans="1:1" ht="11.75" customHeight="1">
      <c r="A2234" s="1990">
        <f>I103+K51</f>
        <v>36006.531012790423</v>
      </c>
    </row>
    <row r="2235" spans="1:1" ht="11.75" customHeight="1">
      <c r="A2235" s="1989">
        <f>1.21*G108*D20*24/1000*D101</f>
        <v>387079.06311359996</v>
      </c>
    </row>
    <row r="2236" spans="1:1" ht="11.75" customHeight="1">
      <c r="A2236" s="1989">
        <f>1.21*G108*D20*24/1000</f>
        <v>156.29328000000001</v>
      </c>
    </row>
    <row r="2237" spans="1:1" ht="11.75" customHeight="1">
      <c r="A2237" s="1989">
        <f>1.21*G108*D20*24</f>
        <v>156293.28</v>
      </c>
    </row>
    <row r="2238" spans="1:1" ht="11.75" customHeight="1">
      <c r="A2238" s="1989">
        <f>1.21*G108*D20</f>
        <v>6512.22</v>
      </c>
    </row>
    <row r="2239" spans="1:1" ht="11.75" customHeight="1">
      <c r="A2239" s="1989">
        <f>1.21*G108</f>
        <v>1.4157</v>
      </c>
    </row>
    <row r="2240" spans="1:1" ht="11.75" customHeight="1">
      <c r="A2240" s="1989" t="b">
        <f>D108="Measured"</f>
        <v>0</v>
      </c>
    </row>
    <row r="2241" spans="1:1" ht="11.75" customHeight="1">
      <c r="A2241" s="1989">
        <f>G109*D105/D101*3.6</f>
        <v>17.44312813431209</v>
      </c>
    </row>
    <row r="2242" spans="1:1" ht="11.75" customHeight="1">
      <c r="A2242" s="1989">
        <f>G109*D105</f>
        <v>12000</v>
      </c>
    </row>
    <row r="2243" spans="1:1" ht="11.75" customHeight="1">
      <c r="A2243" s="1989">
        <f>D101*3.6</f>
        <v>8915.8319999999985</v>
      </c>
    </row>
    <row r="2244" spans="1:1" ht="11.75" customHeight="1">
      <c r="A2244" s="1989">
        <f>IF(D108="AL-1A",0.89,IF(D108="AL-2A",0.71,IF(D108="AL-3A",0.53,IF(D108="AL-4A",0.35,IF(D108="AL-5A",0.21,IF(D108="AL-1B",1.17,IF(D108="AL-2B",0.98,IF(D108="AL-3B",0.78,IF(D108="AL-4B",0.59,IF(D108="AL-5B",0.39,IF(D108="AL-6B",0.23,IF(D108="PH Classic",0.6*D105/D101*3.6,IF(D108="PH Low",1*D105/D101*3.6,IF(D108="PH+",0.1))))))))))))))</f>
        <v>1.17</v>
      </c>
    </row>
    <row r="2245" spans="1:1" ht="11.75" customHeight="1">
      <c r="A2245" s="1989">
        <f>IF(H20="Present",VLOOKUP(H19,CANADA!A6:K699,9,FALSE),VLOOKUP(H19,CANADA!A6:K699,11,FALSE))</f>
        <v>4600</v>
      </c>
    </row>
    <row r="2246" spans="1:1" ht="11.75" customHeight="1">
      <c r="A2246" s="1989">
        <f>MATCH('NRL50-n-Factors'!D34,'NRL50-n-Factors'!C38:C49,0)</f>
        <v>5</v>
      </c>
    </row>
    <row r="2247" spans="1:1" ht="11.75" customHeight="1">
      <c r="A2247" s="1989">
        <f>MATCH(REPORT!D103,'NRL50-n-Factors'!D37:J37,0)</f>
        <v>2</v>
      </c>
    </row>
    <row r="2248" spans="1:1" ht="11.75" customHeight="1">
      <c r="A2248" s="1989" t="b">
        <f>D51="Gas"</f>
        <v>0</v>
      </c>
    </row>
    <row r="2249" spans="1:1" ht="11.75" customHeight="1">
      <c r="A2249" s="1989">
        <f>D$20*G101*24</f>
        <v>30728.853316304834</v>
      </c>
    </row>
    <row r="2250" spans="1:1" ht="11.75" customHeight="1">
      <c r="A2250" s="1989">
        <f>SUM(H65:H67)</f>
        <v>84390.33600000001</v>
      </c>
    </row>
    <row r="2251" spans="1:1" ht="11.75" customHeight="1">
      <c r="A2251" s="1989">
        <f>IF(D113="Heatpump",K51+D117+D114+M43+H70,IF(D113="Gas",K51+D117+M43+H70))</f>
        <v>132765.64793897627</v>
      </c>
    </row>
    <row r="2252" spans="1:1" ht="11.75" customHeight="1">
      <c r="A2252" s="1989" t="b">
        <f>D113="Heatpump"</f>
        <v>1</v>
      </c>
    </row>
    <row r="2253" spans="1:1" ht="11.75" customHeight="1">
      <c r="A2253" s="1990">
        <f>K51+D117+D114+M43+H70</f>
        <v>132765.64793897627</v>
      </c>
    </row>
    <row r="2254" spans="1:1" ht="11.75" customHeight="1">
      <c r="A2254" s="1989" t="b">
        <f>IF(D113="Gas",K51+D117+M43+H70)</f>
        <v>0</v>
      </c>
    </row>
    <row r="2255" spans="1:1" ht="11.75" customHeight="1">
      <c r="A2255" s="1989">
        <f>SUM(D44:D46)</f>
        <v>0</v>
      </c>
    </row>
    <row r="2256" spans="1:1" ht="11.75" customHeight="1">
      <c r="A2256" s="1990">
        <f>I44+I45</f>
        <v>0</v>
      </c>
    </row>
    <row r="2257" spans="1:1" ht="11.75" customHeight="1">
      <c r="A2257" s="1989">
        <f>H28*0.0373</f>
        <v>0</v>
      </c>
    </row>
    <row r="2258" spans="1:1" ht="11.75" customHeight="1">
      <c r="A2258" s="1989">
        <f>H30*36.72</f>
        <v>0</v>
      </c>
    </row>
    <row r="2259" spans="1:1" ht="11.75" customHeight="1">
      <c r="A2259" s="1990">
        <f>H27-D43</f>
        <v>132765.64793897627</v>
      </c>
    </row>
    <row r="2260" spans="1:1" ht="11.75" customHeight="1">
      <c r="A2260" s="1989" t="b">
        <f>D113="Electricity"</f>
        <v>0</v>
      </c>
    </row>
    <row r="2261" spans="1:1" ht="11.75" customHeight="1">
      <c r="A2261" s="1990">
        <f>I103+K51+D117+M121+I101+I102+M43+SUM(H65:H67)</f>
        <v>265287.6445956853</v>
      </c>
    </row>
    <row r="2262" spans="1:1" ht="11.75" customHeight="1">
      <c r="A2262" s="1990">
        <f>I103+K51+D117+M121+I101+I102+M43</f>
        <v>180897.30859568529</v>
      </c>
    </row>
    <row r="2263" spans="1:1" ht="11.75" customHeight="1">
      <c r="A2263" s="1990">
        <f>I103+K51+D117+M121+I101+I102</f>
        <v>180897.30859568529</v>
      </c>
    </row>
    <row r="2264" spans="1:1" ht="11.75" customHeight="1">
      <c r="A2264" s="1990">
        <f>I103+K51+D117+M121+I101</f>
        <v>164109.06314703665</v>
      </c>
    </row>
    <row r="2265" spans="1:1" ht="11.75" customHeight="1">
      <c r="A2265" s="1990">
        <f>I103+K51+D117+M121</f>
        <v>88005.3704468098</v>
      </c>
    </row>
    <row r="2266" spans="1:1" ht="11.75" customHeight="1">
      <c r="A2266" s="1990">
        <f>I103+K51+D117</f>
        <v>39024.570446809812</v>
      </c>
    </row>
    <row r="2267" spans="1:1" ht="11.75" customHeight="1">
      <c r="A2267" s="1990">
        <f>I103+K51</f>
        <v>36006.531012790423</v>
      </c>
    </row>
    <row r="2268" spans="1:1" ht="11.75" customHeight="1">
      <c r="A2268" s="1989">
        <f>1.21*G108*D20*24/1000*D101</f>
        <v>387079.06311359996</v>
      </c>
    </row>
    <row r="2269" spans="1:1" ht="11.75" customHeight="1">
      <c r="A2269" s="1989">
        <f>1.21*G108*D20*24/1000</f>
        <v>156.29328000000001</v>
      </c>
    </row>
    <row r="2270" spans="1:1" ht="11.75" customHeight="1">
      <c r="A2270" s="1989">
        <f>1.21*G108*D20*24</f>
        <v>156293.28</v>
      </c>
    </row>
    <row r="2271" spans="1:1" ht="11.75" customHeight="1">
      <c r="A2271" s="1989">
        <f>1.21*G108*D20</f>
        <v>6512.22</v>
      </c>
    </row>
    <row r="2272" spans="1:1" ht="11.75" customHeight="1">
      <c r="A2272" s="1989">
        <f>1.21*G108</f>
        <v>1.4157</v>
      </c>
    </row>
    <row r="2273" spans="1:1" ht="11.75" customHeight="1">
      <c r="A2273" s="1989" t="b">
        <f>D108="Measured"</f>
        <v>0</v>
      </c>
    </row>
    <row r="2274" spans="1:1" ht="11.75" customHeight="1">
      <c r="A2274" s="1989">
        <f>G109*D105/D101*3.6</f>
        <v>17.44312813431209</v>
      </c>
    </row>
    <row r="2275" spans="1:1" ht="11.75" customHeight="1">
      <c r="A2275" s="1989">
        <f>G109*D105</f>
        <v>12000</v>
      </c>
    </row>
    <row r="2276" spans="1:1" ht="11.75" customHeight="1">
      <c r="A2276" s="1989">
        <f>D101*3.6</f>
        <v>8915.8319999999985</v>
      </c>
    </row>
    <row r="2277" spans="1:1" ht="11.75" customHeight="1">
      <c r="A2277" s="1989">
        <f>IF(D108="AL-1A",0.89,IF(D108="AL-2A",0.71,IF(D108="AL-3A",0.53,IF(D108="AL-4A",0.35,IF(D108="AL-5A",0.21,IF(D108="AL-1B",1.17,IF(D108="AL-2B",0.98,IF(D108="AL-3B",0.78,IF(D108="AL-4B",0.59,IF(D108="AL-5B",0.39,IF(D108="AL-6B",0.23,IF(D108="PH Classic",0.6*D105/D101*3.6,IF(D108="PH Low",1*D105/D101*3.6,IF(D108="PH+",0.1))))))))))))))</f>
        <v>1.17</v>
      </c>
    </row>
    <row r="2278" spans="1:1" ht="11.75" customHeight="1">
      <c r="A2278" s="1989" t="b">
        <f>D108="AL-1A"</f>
        <v>0</v>
      </c>
    </row>
    <row r="2279" spans="1:1" ht="11.75" customHeight="1">
      <c r="A2279" s="1989">
        <f>IF(D108="AL-2A",0.71,IF(D108="AL-3A",0.53,IF(D108="AL-4A",0.35,IF(D108="AL-5A",0.21,IF(D108="AL-1B",1.17,IF(D108="AL-2B",0.98,IF(D108="AL-3B",0.78,IF(D108="AL-4B",0.59,IF(D108="AL-5B",0.39,IF(D108="AL-6B",0.23,IF(D108="PH Classic",0.6*D105/D101*3.6,IF(D108="PH Low",1*D105/D101*3.6,IF(D108="PH+",0.1)))))))))))))</f>
        <v>1.17</v>
      </c>
    </row>
    <row r="2280" spans="1:1" ht="11.75" customHeight="1">
      <c r="A2280" s="1989">
        <f>IF(H20="Present",VLOOKUP(H19,CANADA!A6:K699,9,FALSE),VLOOKUP(H19,CANADA!A6:K699,11,FALSE))</f>
        <v>4600</v>
      </c>
    </row>
    <row r="2281" spans="1:1" ht="11.75" customHeight="1">
      <c r="A2281" s="1989">
        <f>MATCH('NRL50-n-Factors'!D34,'NRL50-n-Factors'!C38:C49,0)</f>
        <v>5</v>
      </c>
    </row>
    <row r="2282" spans="1:1" ht="11.75" customHeight="1">
      <c r="A2282" s="1989">
        <f>MATCH(REPORT!D103,'NRL50-n-Factors'!D37:J37,0)</f>
        <v>2</v>
      </c>
    </row>
    <row r="2283" spans="1:1" ht="11.75" customHeight="1">
      <c r="A2283" s="1989" t="b">
        <f>D51="Gas"</f>
        <v>0</v>
      </c>
    </row>
    <row r="2284" spans="1:1" ht="11.75" customHeight="1">
      <c r="A2284" s="1989">
        <f>D$20*G101*24</f>
        <v>30728.853316304834</v>
      </c>
    </row>
    <row r="2285" spans="1:1" ht="11.75" customHeight="1">
      <c r="A2285" s="1989">
        <f>SUM(H65:H67)</f>
        <v>84390.33600000001</v>
      </c>
    </row>
    <row r="2286" spans="1:1" ht="11.75" customHeight="1">
      <c r="A2286" s="1989">
        <f>IF(D113="Heatpump",K51+D117+D114+M43+H70,IF(D113="Gas",K51+D117+M43+H70))</f>
        <v>132765.64793897627</v>
      </c>
    </row>
    <row r="2287" spans="1:1" ht="11.75" customHeight="1">
      <c r="A2287" s="1989" t="b">
        <f>D113="Heatpump"</f>
        <v>1</v>
      </c>
    </row>
    <row r="2288" spans="1:1" ht="11.75" customHeight="1">
      <c r="A2288" s="1990">
        <f>K51+D117+D114+M43+H70</f>
        <v>132765.64793897627</v>
      </c>
    </row>
    <row r="2289" spans="1:1" ht="11.75" customHeight="1">
      <c r="A2289" s="1989" t="b">
        <f>IF(D113="Gas",K51+D117+M43+H70)</f>
        <v>0</v>
      </c>
    </row>
    <row r="2290" spans="1:1" ht="11.75" customHeight="1">
      <c r="A2290" s="1989">
        <f>SUM(D44:D46)</f>
        <v>0</v>
      </c>
    </row>
    <row r="2291" spans="1:1" ht="11.75" customHeight="1">
      <c r="A2291" s="1990">
        <f>I44+I45</f>
        <v>0</v>
      </c>
    </row>
    <row r="2292" spans="1:1" ht="11.75" customHeight="1">
      <c r="A2292" s="1989">
        <f>H28*0.0373</f>
        <v>0</v>
      </c>
    </row>
    <row r="2293" spans="1:1" ht="11.75" customHeight="1">
      <c r="A2293" s="1989">
        <f>H30*36.72</f>
        <v>0</v>
      </c>
    </row>
    <row r="2294" spans="1:1" ht="11.75" customHeight="1">
      <c r="A2294" s="1990">
        <f>H27-D43</f>
        <v>132765.64793897627</v>
      </c>
    </row>
    <row r="2295" spans="1:1" ht="11.75" customHeight="1">
      <c r="A2295" s="1989" t="b">
        <f>D113="Electricity"</f>
        <v>0</v>
      </c>
    </row>
    <row r="2296" spans="1:1" ht="11.75" customHeight="1">
      <c r="A2296" s="1990">
        <f>I103+K51+D117+M121+I101+I102+M43+SUM(H65:H67)</f>
        <v>265287.6445956853</v>
      </c>
    </row>
    <row r="2297" spans="1:1" ht="11.75" customHeight="1">
      <c r="A2297" s="1990">
        <f>I103+K51+D117+M121+I101+I102+M43</f>
        <v>180897.30859568529</v>
      </c>
    </row>
    <row r="2298" spans="1:1" ht="11.75" customHeight="1">
      <c r="A2298" s="1990">
        <f>I103+K51+D117+M121+I101+I102</f>
        <v>180897.30859568529</v>
      </c>
    </row>
    <row r="2299" spans="1:1" ht="11.75" customHeight="1">
      <c r="A2299" s="1990">
        <f>I103+K51+D117+M121+I101</f>
        <v>164109.06314703665</v>
      </c>
    </row>
    <row r="2300" spans="1:1" ht="11.75" customHeight="1">
      <c r="A2300" s="1990">
        <f>I103+K51+D117+M121</f>
        <v>88005.3704468098</v>
      </c>
    </row>
    <row r="2301" spans="1:1" ht="11.75" customHeight="1">
      <c r="A2301" s="1990">
        <f>I103+K51+D117</f>
        <v>39024.570446809812</v>
      </c>
    </row>
    <row r="2302" spans="1:1" ht="11.75" customHeight="1">
      <c r="A2302" s="1990">
        <f>I103+K51</f>
        <v>36006.531012790423</v>
      </c>
    </row>
    <row r="2303" spans="1:1" ht="11.75" customHeight="1">
      <c r="A2303" s="1989">
        <f>1.21*G108*D20*24/1000*D101</f>
        <v>387079.06311359996</v>
      </c>
    </row>
    <row r="2304" spans="1:1" ht="11.75" customHeight="1">
      <c r="A2304" s="1989">
        <f>1.21*G108*D20*24/1000</f>
        <v>156.29328000000001</v>
      </c>
    </row>
    <row r="2305" spans="1:1" ht="11.75" customHeight="1">
      <c r="A2305" s="1989">
        <f>1.21*G108*D20*24</f>
        <v>156293.28</v>
      </c>
    </row>
    <row r="2306" spans="1:1" ht="11.75" customHeight="1">
      <c r="A2306" s="1989">
        <f>1.21*G108*D20</f>
        <v>6512.22</v>
      </c>
    </row>
    <row r="2307" spans="1:1" ht="11.75" customHeight="1">
      <c r="A2307" s="1989">
        <f>1.21*G108</f>
        <v>1.4157</v>
      </c>
    </row>
    <row r="2308" spans="1:1" ht="11.75" customHeight="1">
      <c r="A2308" s="1989" t="b">
        <f>D108="Measured"</f>
        <v>0</v>
      </c>
    </row>
    <row r="2309" spans="1:1" ht="11.75" customHeight="1">
      <c r="A2309" s="1989">
        <f>G109*D105/D101*3.6</f>
        <v>17.44312813431209</v>
      </c>
    </row>
    <row r="2310" spans="1:1" ht="11.75" customHeight="1">
      <c r="A2310" s="1989">
        <f>G109*D105</f>
        <v>12000</v>
      </c>
    </row>
    <row r="2311" spans="1:1" ht="11.75" customHeight="1">
      <c r="A2311" s="1989">
        <f>D101*3.6</f>
        <v>8915.8319999999985</v>
      </c>
    </row>
    <row r="2312" spans="1:1" ht="11.75" customHeight="1">
      <c r="A2312" s="1989">
        <f>IF(D108="AL-1A",0.89,IF(D108="AL-2A",0.71,IF(D108="AL-3A",0.53,IF(D108="AL-4A",0.35,IF(D108="AL-5A",0.21,IF(D108="AL-1B",1.17,IF(D108="AL-2B",0.98,IF(D108="AL-3B",0.78,IF(D108="AL-4B",0.59,IF(D108="AL-5B",0.39,IF(D108="AL-6B",0.23,IF(D108="PH Classic",0.6*D105/D101*3.6,IF(D108="PH Low",1*D105/D101*3.6,IF(D108="PH+",0.1))))))))))))))</f>
        <v>1.17</v>
      </c>
    </row>
    <row r="2313" spans="1:1" ht="11.75" customHeight="1">
      <c r="A2313" s="1989" t="b">
        <f>D108="AL-1A"</f>
        <v>0</v>
      </c>
    </row>
    <row r="2314" spans="1:1" ht="11.75" customHeight="1">
      <c r="A2314" s="1989">
        <f>IF(D108="AL-2A",0.71,IF(D108="AL-3A",0.53,IF(D108="AL-4A",0.35,IF(D108="AL-5A",0.21,IF(D108="AL-1B",1.17,IF(D108="AL-2B",0.98,IF(D108="AL-3B",0.78,IF(D108="AL-4B",0.59,IF(D108="AL-5B",0.39,IF(D108="AL-6B",0.23,IF(D108="PH Classic",0.6*D105/D101*3.6,IF(D108="PH Low",1*D105/D101*3.6,IF(D108="PH+",0.1)))))))))))))</f>
        <v>1.17</v>
      </c>
    </row>
    <row r="2315" spans="1:1" ht="11.75" customHeight="1">
      <c r="A2315" s="1989">
        <f>IF(H20="Present",VLOOKUP(H19,CANADA!A6:K699,9,FALSE),VLOOKUP(H19,CANADA!A6:K699,11,FALSE))</f>
        <v>4600</v>
      </c>
    </row>
    <row r="2316" spans="1:1" ht="11.75" customHeight="1">
      <c r="A2316" s="1989">
        <f>MATCH('NRL50-n-Factors'!D34,'NRL50-n-Factors'!C38:C49,0)</f>
        <v>5</v>
      </c>
    </row>
    <row r="2317" spans="1:1" ht="11.75" customHeight="1">
      <c r="A2317" s="1989">
        <f>MATCH(REPORT!D103,'NRL50-n-Factors'!D37:J37,0)</f>
        <v>2</v>
      </c>
    </row>
    <row r="2318" spans="1:1" ht="11.75" customHeight="1">
      <c r="A2318" s="1989" t="b">
        <f>D51="Gas"</f>
        <v>0</v>
      </c>
    </row>
    <row r="2319" spans="1:1" ht="11.75" customHeight="1">
      <c r="A2319" s="1989">
        <f>D$20*G101*24</f>
        <v>30728.853316304834</v>
      </c>
    </row>
    <row r="2320" spans="1:1" ht="11.75" customHeight="1">
      <c r="A2320" s="1989">
        <f>SUM(H65:H67)</f>
        <v>84390.33600000001</v>
      </c>
    </row>
    <row r="2321" spans="1:1" ht="11.75" customHeight="1">
      <c r="A2321" s="1989">
        <f>IF(D113="Heatpump",K51+D117+D114+M43+H70,IF(D113="Gas",K51+D117+M43+H70))</f>
        <v>132765.64793897627</v>
      </c>
    </row>
    <row r="2322" spans="1:1" ht="11.75" customHeight="1">
      <c r="A2322" s="1989" t="b">
        <f>D113="Heatpump"</f>
        <v>1</v>
      </c>
    </row>
    <row r="2323" spans="1:1" ht="11.75" customHeight="1">
      <c r="A2323" s="1990">
        <f>K51+D117+D114+M43+H70</f>
        <v>132765.64793897627</v>
      </c>
    </row>
    <row r="2324" spans="1:1" ht="11.75" customHeight="1">
      <c r="A2324" s="1989" t="b">
        <f>IF(D113="Gas",K51+D117+M43+H70)</f>
        <v>0</v>
      </c>
    </row>
    <row r="2325" spans="1:1" ht="11.75" customHeight="1">
      <c r="A2325" s="1989">
        <f>SUM(D44:D46)</f>
        <v>0</v>
      </c>
    </row>
    <row r="2326" spans="1:1" ht="11.75" customHeight="1">
      <c r="A2326" s="1990">
        <f>I44+I45</f>
        <v>0</v>
      </c>
    </row>
    <row r="2327" spans="1:1" ht="11.75" customHeight="1">
      <c r="A2327" s="1989">
        <f>H28*0.0373</f>
        <v>0</v>
      </c>
    </row>
    <row r="2328" spans="1:1" ht="11.75" customHeight="1">
      <c r="A2328" s="1989">
        <f>H30*36.72</f>
        <v>0</v>
      </c>
    </row>
    <row r="2329" spans="1:1" ht="11.75" customHeight="1">
      <c r="A2329" s="1990">
        <f>H27-D43</f>
        <v>132765.64793897627</v>
      </c>
    </row>
    <row r="2330" spans="1:1" ht="11.75" customHeight="1">
      <c r="A2330" s="1989" t="b">
        <f>D113="Electricity"</f>
        <v>0</v>
      </c>
    </row>
    <row r="2331" spans="1:1" ht="11.75" customHeight="1">
      <c r="A2331" s="1990">
        <f>I103+K51+D117+M121+I101+I102+M43+SUM(H65:H67)</f>
        <v>265287.6445956853</v>
      </c>
    </row>
    <row r="2332" spans="1:1" ht="11.75" customHeight="1">
      <c r="A2332" s="1990">
        <f>I103+K51+D117+M121+I101+I102+M43</f>
        <v>180897.30859568529</v>
      </c>
    </row>
    <row r="2333" spans="1:1" ht="11.75" customHeight="1">
      <c r="A2333" s="1990">
        <f>I103+K51+D117+M121+I101+I102</f>
        <v>180897.30859568529</v>
      </c>
    </row>
    <row r="2334" spans="1:1" ht="11.75" customHeight="1">
      <c r="A2334" s="1990">
        <f>I103+K51+D117+M121+I101</f>
        <v>164109.06314703665</v>
      </c>
    </row>
    <row r="2335" spans="1:1" ht="11.75" customHeight="1">
      <c r="A2335" s="1990">
        <f>I103+K51+D117+M121</f>
        <v>88005.3704468098</v>
      </c>
    </row>
    <row r="2336" spans="1:1" ht="11.75" customHeight="1">
      <c r="A2336" s="1990">
        <f>I103+K51+D117</f>
        <v>39024.570446809812</v>
      </c>
    </row>
    <row r="2337" spans="1:1" ht="11.75" customHeight="1">
      <c r="A2337" s="1990">
        <f>I103+K51</f>
        <v>36006.531012790423</v>
      </c>
    </row>
    <row r="2338" spans="1:1" ht="11.75" customHeight="1">
      <c r="A2338" s="1989">
        <f>1.21*G108*D20*24/1000*D101</f>
        <v>387079.06311359996</v>
      </c>
    </row>
    <row r="2339" spans="1:1" ht="11.75" customHeight="1">
      <c r="A2339" s="1989">
        <f>1.21*G108*D20*24/1000</f>
        <v>156.29328000000001</v>
      </c>
    </row>
    <row r="2340" spans="1:1" ht="11.75" customHeight="1">
      <c r="A2340" s="1989">
        <f>1.21*G108*D20*24</f>
        <v>156293.28</v>
      </c>
    </row>
    <row r="2341" spans="1:1" ht="11.75" customHeight="1">
      <c r="A2341" s="1989">
        <f>1.21*G108*D20</f>
        <v>6512.22</v>
      </c>
    </row>
    <row r="2342" spans="1:1" ht="11.75" customHeight="1">
      <c r="A2342" s="1989">
        <f>1.21*G108</f>
        <v>1.4157</v>
      </c>
    </row>
    <row r="2343" spans="1:1" ht="11.75" customHeight="1">
      <c r="A2343" s="1989" t="b">
        <f>D108="Measured"</f>
        <v>0</v>
      </c>
    </row>
    <row r="2344" spans="1:1" ht="11.75" customHeight="1">
      <c r="A2344" s="1989">
        <f>G109*D105/D101*3.6</f>
        <v>17.44312813431209</v>
      </c>
    </row>
    <row r="2345" spans="1:1" ht="11.75" customHeight="1">
      <c r="A2345" s="1989">
        <f>G109*D105</f>
        <v>12000</v>
      </c>
    </row>
    <row r="2346" spans="1:1" ht="11.75" customHeight="1">
      <c r="A2346" s="1989">
        <f>D101*3.6</f>
        <v>8915.8319999999985</v>
      </c>
    </row>
    <row r="2347" spans="1:1" ht="11.75" customHeight="1">
      <c r="A2347" s="1989">
        <f>IF(D108="AL-1A",0.89,IF(D108="AL-2A",0.71,IF(D108="AL-3A",0.53,IF(D108="AL-4A",0.35,IF(D108="AL-5A",0.21,IF(D108="AL-1B",1.17,IF(D108="AL-2B",0.98,IF(D108="AL-3B",0.78,IF(D108="AL-4B",0.59,IF(D108="AL-5B",0.39,IF(D108="AL-6B",0.23,IF(D108="PH Classic",0.6*D105/D101*3.6,IF(D108="PH Low",1*D105/D101*3.6,IF(D108="PH+",0.1))))))))))))))</f>
        <v>1.17</v>
      </c>
    </row>
    <row r="2348" spans="1:1" ht="11.75" customHeight="1">
      <c r="A2348" s="1989" t="b">
        <f>D108="AL-1A"</f>
        <v>0</v>
      </c>
    </row>
    <row r="2349" spans="1:1" ht="11.75" customHeight="1">
      <c r="A2349" s="1989">
        <f>IF(D108="AL-2A",0.71,IF(D108="AL-3A",0.53,IF(D108="AL-4A",0.35,IF(D108="AL-5A",0.21,IF(D108="AL-1B",1.17,IF(D108="AL-2B",0.98,IF(D108="AL-3B",0.78,IF(D108="AL-4B",0.59,IF(D108="AL-5B",0.39,IF(D108="AL-6B",0.23,IF(D108="PH Classic",0.6*D105/D101*3.6,IF(D108="PH Low",1*D105/D101*3.6,IF(D108="PH+",0.1)))))))))))))</f>
        <v>1.17</v>
      </c>
    </row>
    <row r="2350" spans="1:1" ht="11.75" customHeight="1">
      <c r="A2350" s="1989">
        <f>IF(H20="Present",VLOOKUP(H19,CANADA!A6:K699,9,FALSE),VLOOKUP(H19,CANADA!A6:K699,11,FALSE))</f>
        <v>4600</v>
      </c>
    </row>
    <row r="2351" spans="1:1" ht="11.75" customHeight="1">
      <c r="A2351" s="1989">
        <f>MATCH('NRL50-n-Factors'!D34,'NRL50-n-Factors'!C38:C49,0)</f>
        <v>5</v>
      </c>
    </row>
    <row r="2352" spans="1:1" ht="11.75" customHeight="1">
      <c r="A2352" s="1989">
        <f>MATCH(REPORT!D103,'NRL50-n-Factors'!D37:J37,0)</f>
        <v>2</v>
      </c>
    </row>
    <row r="2353" spans="1:1" ht="11.75" customHeight="1">
      <c r="A2353" s="1989" t="b">
        <f>D51="Gas"</f>
        <v>0</v>
      </c>
    </row>
    <row r="2354" spans="1:1" ht="11.75" customHeight="1">
      <c r="A2354" s="1989">
        <f>D$20*G101*24</f>
        <v>30728.853316304834</v>
      </c>
    </row>
    <row r="2355" spans="1:1" ht="11.75" customHeight="1">
      <c r="A2355" s="1989">
        <f>SUM(H65:H67)</f>
        <v>84390.33600000001</v>
      </c>
    </row>
    <row r="2356" spans="1:1" ht="11.75" customHeight="1">
      <c r="A2356" s="1989">
        <f>IF(D113="Heatpump",K51+D117+D114+M43+H70,IF(D113="Gas",K51+D117+M43+H70))</f>
        <v>132765.64793897627</v>
      </c>
    </row>
    <row r="2357" spans="1:1" ht="11.75" customHeight="1">
      <c r="A2357" s="1989" t="b">
        <f>D113="Heatpump"</f>
        <v>1</v>
      </c>
    </row>
    <row r="2358" spans="1:1" ht="11.75" customHeight="1">
      <c r="A2358" s="1990">
        <f>K51+D117+D114+M43+H70</f>
        <v>132765.64793897627</v>
      </c>
    </row>
    <row r="2359" spans="1:1" ht="11.75" customHeight="1">
      <c r="A2359" s="1989" t="b">
        <f>IF(D113="Gas",K51+D117+M43+H70)</f>
        <v>0</v>
      </c>
    </row>
    <row r="2360" spans="1:1" ht="11.75" customHeight="1">
      <c r="A2360" s="1989">
        <f>SUM(D44:D46)</f>
        <v>0</v>
      </c>
    </row>
    <row r="2361" spans="1:1" ht="11.75" customHeight="1">
      <c r="A2361" s="1990">
        <f>I44+I45</f>
        <v>0</v>
      </c>
    </row>
    <row r="2362" spans="1:1" ht="11.75" customHeight="1">
      <c r="A2362" s="1989">
        <f>H28*0.0373</f>
        <v>0</v>
      </c>
    </row>
    <row r="2363" spans="1:1" ht="11.75" customHeight="1">
      <c r="A2363" s="1989">
        <f>H30*36.72</f>
        <v>0</v>
      </c>
    </row>
    <row r="2364" spans="1:1" ht="11.75" customHeight="1">
      <c r="A2364" s="1990">
        <f>H27-D43</f>
        <v>132765.64793897627</v>
      </c>
    </row>
    <row r="2365" spans="1:1" ht="11.75" customHeight="1">
      <c r="A2365" s="1989" t="b">
        <f>D113="Electricity"</f>
        <v>0</v>
      </c>
    </row>
    <row r="2366" spans="1:1" ht="11.75" customHeight="1">
      <c r="A2366" s="1990">
        <f>I103+K51+D117+M121+I101+I102+M43+SUM(H65:H67)</f>
        <v>265287.6445956853</v>
      </c>
    </row>
    <row r="2367" spans="1:1" ht="11.75" customHeight="1">
      <c r="A2367" s="1990">
        <f>I103+K51+D117+M121+I101+I102+M43</f>
        <v>180897.30859568529</v>
      </c>
    </row>
    <row r="2368" spans="1:1" ht="11.75" customHeight="1">
      <c r="A2368" s="1990">
        <f>I103+K51+D117+M121+I101+I102</f>
        <v>180897.30859568529</v>
      </c>
    </row>
    <row r="2369" spans="1:1" ht="11.75" customHeight="1">
      <c r="A2369" s="1990">
        <f>I103+K51+D117+M121+I101</f>
        <v>164109.06314703665</v>
      </c>
    </row>
    <row r="2370" spans="1:1" ht="11.75" customHeight="1">
      <c r="A2370" s="1990">
        <f>I103+K51+D117+M121</f>
        <v>88005.3704468098</v>
      </c>
    </row>
    <row r="2371" spans="1:1" ht="11.75" customHeight="1">
      <c r="A2371" s="1990">
        <f>I103+K51+D117</f>
        <v>39024.570446809812</v>
      </c>
    </row>
    <row r="2372" spans="1:1" ht="11.75" customHeight="1">
      <c r="A2372" s="1990">
        <f>I103+K51</f>
        <v>36006.531012790423</v>
      </c>
    </row>
    <row r="2373" spans="1:1" ht="11.75" customHeight="1">
      <c r="A2373" s="1989">
        <f>1.21*G108*D20*24/1000*D101</f>
        <v>387079.06311359996</v>
      </c>
    </row>
    <row r="2374" spans="1:1" ht="11.75" customHeight="1">
      <c r="A2374" s="1989">
        <f>1.21*G108*D20*24/1000</f>
        <v>156.29328000000001</v>
      </c>
    </row>
    <row r="2375" spans="1:1" ht="11.75" customHeight="1">
      <c r="A2375" s="1989">
        <f>1.21*G108*D20*24</f>
        <v>156293.28</v>
      </c>
    </row>
    <row r="2376" spans="1:1" ht="11.75" customHeight="1">
      <c r="A2376" s="1989">
        <f>1.21*G108*D20</f>
        <v>6512.22</v>
      </c>
    </row>
    <row r="2377" spans="1:1" ht="11.75" customHeight="1">
      <c r="A2377" s="1989">
        <f>1.21*G108</f>
        <v>1.4157</v>
      </c>
    </row>
    <row r="2378" spans="1:1" ht="11.75" customHeight="1">
      <c r="A2378" s="1989" t="b">
        <f>D108="Measured"</f>
        <v>0</v>
      </c>
    </row>
    <row r="2379" spans="1:1" ht="11.75" customHeight="1">
      <c r="A2379" s="1989">
        <f>G109*D105/D101*3.6</f>
        <v>17.44312813431209</v>
      </c>
    </row>
    <row r="2380" spans="1:1" ht="11.75" customHeight="1">
      <c r="A2380" s="1989">
        <f>G109*D105</f>
        <v>12000</v>
      </c>
    </row>
    <row r="2381" spans="1:1" ht="11.75" customHeight="1">
      <c r="A2381" s="1989">
        <f>D101*3.6</f>
        <v>8915.8319999999985</v>
      </c>
    </row>
    <row r="2382" spans="1:1" ht="11.75" customHeight="1">
      <c r="A2382" s="1989">
        <f>IF(D108="AL-1A",0.89,IF(D108="AL-2A",0.71,IF(D108="AL-3A",0.53,IF(D108="AL-4A",0.35,IF(D108="AL-5A",0.21,IF(D108="AL-1B",1.17,IF(D108="AL-2B",0.98,IF(D108="AL-3B",0.78,IF(D108="AL-4B",0.59,IF(D108="AL-5B",0.39,IF(D108="AL-6B",0.23,IF(D108="PH Classic",0.6*D105/D101*3.6,IF(D108="PH Low",1*D105/D101*3.6,IF(D108="PH+",0.1))))))))))))))</f>
        <v>1.17</v>
      </c>
    </row>
    <row r="2383" spans="1:1" ht="11.75" customHeight="1">
      <c r="A2383" s="1989" t="b">
        <f>D108="AL-1A"</f>
        <v>0</v>
      </c>
    </row>
    <row r="2384" spans="1:1" ht="11.75" customHeight="1">
      <c r="A2384" s="1989">
        <f>IF(D108="AL-2A",0.71,IF(D108="AL-3A",0.53,IF(D108="AL-4A",0.35,IF(D108="AL-5A",0.21,IF(D108="AL-1B",1.17,IF(D108="AL-2B",0.98,IF(D108="AL-3B",0.78,IF(D108="AL-4B",0.59,IF(D108="AL-5B",0.39,IF(D108="AL-6B",0.23,IF(D108="PH Classic",0.6*D105/D101*3.6,IF(D108="PH Low",1*D105/D101*3.6,IF(D108="PH+",0.1)))))))))))))</f>
        <v>1.17</v>
      </c>
    </row>
    <row r="2385" spans="1:1" ht="11.75" customHeight="1">
      <c r="A2385" s="1989" t="b">
        <f>D108="AL-2A"</f>
        <v>0</v>
      </c>
    </row>
    <row r="2386" spans="1:1" ht="11.75" customHeight="1">
      <c r="A2386" s="1989">
        <f>IF(D108="AL-3A",0.53,IF(D108="AL-4A",0.35,IF(D108="AL-5A",0.21,IF(D108="AL-1B",1.17,IF(D108="AL-2B",0.98,IF(D108="AL-3B",0.78,IF(D108="AL-4B",0.59,IF(D108="AL-5B",0.39,IF(D108="AL-6B",0.23,IF(D108="PH Classic",0.6*D105/D101*3.6,IF(D108="PH Low",1*D105/D101*3.6,IF(D108="PH+",0.1))))))))))))</f>
        <v>1.17</v>
      </c>
    </row>
    <row r="2387" spans="1:1" ht="11.75" customHeight="1">
      <c r="A2387" s="1989">
        <f>IF(H20="Present",VLOOKUP(H19,CANADA!A6:K699,9,FALSE),VLOOKUP(H19,CANADA!A6:K699,11,FALSE))</f>
        <v>4600</v>
      </c>
    </row>
    <row r="2388" spans="1:1" ht="11.75" customHeight="1">
      <c r="A2388" s="1989">
        <f>MATCH('NRL50-n-Factors'!D34,'NRL50-n-Factors'!C38:C49,0)</f>
        <v>5</v>
      </c>
    </row>
    <row r="2389" spans="1:1" ht="11.75" customHeight="1">
      <c r="A2389" s="1989">
        <f>MATCH(REPORT!D103,'NRL50-n-Factors'!D37:J37,0)</f>
        <v>2</v>
      </c>
    </row>
    <row r="2390" spans="1:1" ht="11.75" customHeight="1">
      <c r="A2390" s="1989" t="b">
        <f>D51="Gas"</f>
        <v>0</v>
      </c>
    </row>
    <row r="2391" spans="1:1" ht="11.75" customHeight="1">
      <c r="A2391" s="1989">
        <f>D$20*G101*24</f>
        <v>30728.853316304834</v>
      </c>
    </row>
    <row r="2392" spans="1:1" ht="11.75" customHeight="1">
      <c r="A2392" s="1989">
        <f>SUM(H65:H67)</f>
        <v>84390.33600000001</v>
      </c>
    </row>
    <row r="2393" spans="1:1" ht="11.75" customHeight="1">
      <c r="A2393" s="1989">
        <f>IF(D113="Heatpump",K51+D117+D114+M43+H70,IF(D113="Gas",K51+D117+M43+H70))</f>
        <v>132765.64793897627</v>
      </c>
    </row>
    <row r="2394" spans="1:1" ht="11.75" customHeight="1">
      <c r="A2394" s="1989" t="b">
        <f>D113="Heatpump"</f>
        <v>1</v>
      </c>
    </row>
    <row r="2395" spans="1:1" ht="11.75" customHeight="1">
      <c r="A2395" s="1990">
        <f>K51+D117+D114+M43+H70</f>
        <v>132765.64793897627</v>
      </c>
    </row>
    <row r="2396" spans="1:1" ht="11.75" customHeight="1">
      <c r="A2396" s="1989" t="b">
        <f>IF(D113="Gas",K51+D117+M43+H70)</f>
        <v>0</v>
      </c>
    </row>
    <row r="2397" spans="1:1" ht="11.75" customHeight="1">
      <c r="A2397" s="1989">
        <f>SUM(D44:D46)</f>
        <v>0</v>
      </c>
    </row>
    <row r="2398" spans="1:1" ht="11.75" customHeight="1">
      <c r="A2398" s="1990">
        <f>I44+I45</f>
        <v>0</v>
      </c>
    </row>
    <row r="2399" spans="1:1" ht="11.75" customHeight="1">
      <c r="A2399" s="1989">
        <f>H28*0.0373</f>
        <v>0</v>
      </c>
    </row>
    <row r="2400" spans="1:1" ht="11.75" customHeight="1">
      <c r="A2400" s="1989">
        <f>H30*36.72</f>
        <v>0</v>
      </c>
    </row>
    <row r="2401" spans="1:1" ht="11.75" customHeight="1">
      <c r="A2401" s="1990">
        <f>H27-D43</f>
        <v>132765.64793897627</v>
      </c>
    </row>
    <row r="2402" spans="1:1" ht="11.75" customHeight="1">
      <c r="A2402" s="1989" t="b">
        <f>D113="Electricity"</f>
        <v>0</v>
      </c>
    </row>
    <row r="2403" spans="1:1" ht="11.75" customHeight="1">
      <c r="A2403" s="1990">
        <f>I103+K51+D117+M121+I101+I102+M43+SUM(H65:H67)</f>
        <v>265287.6445956853</v>
      </c>
    </row>
    <row r="2404" spans="1:1" ht="11.75" customHeight="1">
      <c r="A2404" s="1990">
        <f>I103+K51+D117+M121+I101+I102+M43</f>
        <v>180897.30859568529</v>
      </c>
    </row>
    <row r="2405" spans="1:1" ht="11.75" customHeight="1">
      <c r="A2405" s="1990">
        <f>I103+K51+D117+M121+I101+I102</f>
        <v>180897.30859568529</v>
      </c>
    </row>
    <row r="2406" spans="1:1" ht="11.75" customHeight="1">
      <c r="A2406" s="1990">
        <f>I103+K51+D117+M121+I101</f>
        <v>164109.06314703665</v>
      </c>
    </row>
    <row r="2407" spans="1:1" ht="11.75" customHeight="1">
      <c r="A2407" s="1990">
        <f>I103+K51+D117+M121</f>
        <v>88005.3704468098</v>
      </c>
    </row>
    <row r="2408" spans="1:1" ht="11.75" customHeight="1">
      <c r="A2408" s="1990">
        <f>I103+K51+D117</f>
        <v>39024.570446809812</v>
      </c>
    </row>
    <row r="2409" spans="1:1" ht="11.75" customHeight="1">
      <c r="A2409" s="1990">
        <f>I103+K51</f>
        <v>36006.531012790423</v>
      </c>
    </row>
    <row r="2410" spans="1:1" ht="11.75" customHeight="1">
      <c r="A2410" s="1989">
        <f>1.21*G108*D20*24/1000*D101</f>
        <v>387079.06311359996</v>
      </c>
    </row>
    <row r="2411" spans="1:1" ht="11.75" customHeight="1">
      <c r="A2411" s="1989">
        <f>1.21*G108*D20*24/1000</f>
        <v>156.29328000000001</v>
      </c>
    </row>
    <row r="2412" spans="1:1" ht="11.75" customHeight="1">
      <c r="A2412" s="1989">
        <f>1.21*G108*D20*24</f>
        <v>156293.28</v>
      </c>
    </row>
    <row r="2413" spans="1:1" ht="11.75" customHeight="1">
      <c r="A2413" s="1989">
        <f>1.21*G108*D20</f>
        <v>6512.22</v>
      </c>
    </row>
    <row r="2414" spans="1:1" ht="11.75" customHeight="1">
      <c r="A2414" s="1989">
        <f>1.21*G108</f>
        <v>1.4157</v>
      </c>
    </row>
    <row r="2415" spans="1:1" ht="11.75" customHeight="1">
      <c r="A2415" s="1989" t="b">
        <f>D108="Measured"</f>
        <v>0</v>
      </c>
    </row>
    <row r="2416" spans="1:1" ht="11.75" customHeight="1">
      <c r="A2416" s="1989">
        <f>G109*D105/D101*3.6</f>
        <v>17.44312813431209</v>
      </c>
    </row>
    <row r="2417" spans="1:1" ht="11.75" customHeight="1">
      <c r="A2417" s="1989">
        <f>G109*D105</f>
        <v>12000</v>
      </c>
    </row>
    <row r="2418" spans="1:1" ht="11.75" customHeight="1">
      <c r="A2418" s="1989">
        <f>D101*3.6</f>
        <v>8915.8319999999985</v>
      </c>
    </row>
    <row r="2419" spans="1:1" ht="11.75" customHeight="1">
      <c r="A2419" s="1989">
        <f>IF(D108="AL-1A",0.89,IF(D108="AL-2A",0.71,IF(D108="AL-3A",0.53,IF(D108="AL-4A",0.35,IF(D108="AL-5A",0.21,IF(D108="AL-1B",1.17,IF(D108="AL-2B",0.98,IF(D108="AL-3B",0.78,IF(D108="AL-4B",0.59,IF(D108="AL-5B",0.39,IF(D108="AL-6B",0.23,IF(D108="PH Classic",0.6*D105/D101*3.6,IF(D108="PH Low",1*D105/D101*3.6,IF(D108="PH+",0.1))))))))))))))</f>
        <v>1.17</v>
      </c>
    </row>
    <row r="2420" spans="1:1" ht="11.75" customHeight="1">
      <c r="A2420" s="1989" t="b">
        <f>D108="AL-1A"</f>
        <v>0</v>
      </c>
    </row>
    <row r="2421" spans="1:1" ht="11.75" customHeight="1">
      <c r="A2421" s="1989">
        <f>IF(D108="AL-2A",0.71,IF(D108="AL-3A",0.53,IF(D108="AL-4A",0.35,IF(D108="AL-5A",0.21,IF(D108="AL-1B",1.17,IF(D108="AL-2B",0.98,IF(D108="AL-3B",0.78,IF(D108="AL-4B",0.59,IF(D108="AL-5B",0.39,IF(D108="AL-6B",0.23,IF(D108="PH Classic",0.6*D105/D101*3.6,IF(D108="PH Low",1*D105/D101*3.6,IF(D108="PH+",0.1)))))))))))))</f>
        <v>1.17</v>
      </c>
    </row>
    <row r="2422" spans="1:1" ht="11.75" customHeight="1">
      <c r="A2422" s="1989" t="b">
        <f>D108="AL-2A"</f>
        <v>0</v>
      </c>
    </row>
    <row r="2423" spans="1:1" ht="11.75" customHeight="1">
      <c r="A2423" s="1989">
        <f>IF(D108="AL-3A",0.53,IF(D108="AL-4A",0.35,IF(D108="AL-5A",0.21,IF(D108="AL-1B",1.17,IF(D108="AL-2B",0.98,IF(D108="AL-3B",0.78,IF(D108="AL-4B",0.59,IF(D108="AL-5B",0.39,IF(D108="AL-6B",0.23,IF(D108="PH Classic",0.6*D105/D101*3.6,IF(D108="PH Low",1*D105/D101*3.6,IF(D108="PH+",0.1))))))))))))</f>
        <v>1.17</v>
      </c>
    </row>
    <row r="2424" spans="1:1" ht="11.75" customHeight="1">
      <c r="A2424" s="1989">
        <f>IF(H20="Present",VLOOKUP(H19,CANADA!A6:K699,9,FALSE),VLOOKUP(H19,CANADA!A6:K699,11,FALSE))</f>
        <v>4600</v>
      </c>
    </row>
    <row r="2425" spans="1:1" ht="11.75" customHeight="1">
      <c r="A2425" s="1989">
        <f>MATCH('NRL50-n-Factors'!D34,'NRL50-n-Factors'!C38:C49,0)</f>
        <v>5</v>
      </c>
    </row>
    <row r="2426" spans="1:1" ht="11.75" customHeight="1">
      <c r="A2426" s="1989">
        <f>MATCH(REPORT!D103,'NRL50-n-Factors'!D37:J37,0)</f>
        <v>2</v>
      </c>
    </row>
    <row r="2427" spans="1:1" ht="11.75" customHeight="1">
      <c r="A2427" s="1989" t="b">
        <f>D51="Gas"</f>
        <v>0</v>
      </c>
    </row>
    <row r="2428" spans="1:1" ht="11.75" customHeight="1">
      <c r="A2428" s="1989">
        <f>D$20*G101*24</f>
        <v>30728.853316304834</v>
      </c>
    </row>
    <row r="2429" spans="1:1" ht="11.75" customHeight="1">
      <c r="A2429" s="1989">
        <f>SUM(H65:H67)</f>
        <v>84390.33600000001</v>
      </c>
    </row>
    <row r="2430" spans="1:1" ht="11.75" customHeight="1">
      <c r="A2430" s="1989">
        <f>IF(D113="Heatpump",K51+D117+D114+M43+H70,IF(D113="Gas",K51+D117+M43+H70))</f>
        <v>132765.64793897627</v>
      </c>
    </row>
    <row r="2431" spans="1:1" ht="11.75" customHeight="1">
      <c r="A2431" s="1989" t="b">
        <f>D113="Heatpump"</f>
        <v>1</v>
      </c>
    </row>
    <row r="2432" spans="1:1" ht="11.75" customHeight="1">
      <c r="A2432" s="1990">
        <f>K51+D117+D114+M43+H70</f>
        <v>132765.64793897627</v>
      </c>
    </row>
    <row r="2433" spans="1:1" ht="11.75" customHeight="1">
      <c r="A2433" s="1989" t="b">
        <f>IF(D113="Gas",K51+D117+M43+H70)</f>
        <v>0</v>
      </c>
    </row>
    <row r="2434" spans="1:1" ht="11.75" customHeight="1">
      <c r="A2434" s="1989">
        <f>SUM(D44:D46)</f>
        <v>0</v>
      </c>
    </row>
    <row r="2435" spans="1:1" ht="11.75" customHeight="1">
      <c r="A2435" s="1990">
        <f>I44+I45</f>
        <v>0</v>
      </c>
    </row>
    <row r="2436" spans="1:1" ht="11.75" customHeight="1">
      <c r="A2436" s="1989">
        <f>H28*0.0373</f>
        <v>0</v>
      </c>
    </row>
    <row r="2437" spans="1:1" ht="11.75" customHeight="1">
      <c r="A2437" s="1989">
        <f>H30*36.72</f>
        <v>0</v>
      </c>
    </row>
    <row r="2438" spans="1:1" ht="11.75" customHeight="1">
      <c r="A2438" s="1990">
        <f>H27-D43</f>
        <v>132765.64793897627</v>
      </c>
    </row>
    <row r="2439" spans="1:1" ht="11.75" customHeight="1">
      <c r="A2439" s="1989" t="b">
        <f>D113="Electricity"</f>
        <v>0</v>
      </c>
    </row>
    <row r="2440" spans="1:1" ht="11.75" customHeight="1">
      <c r="A2440" s="1990">
        <f>I103+K51+D117+M121+I101+I102+M43+SUM(H65:H67)</f>
        <v>265287.6445956853</v>
      </c>
    </row>
    <row r="2441" spans="1:1" ht="11.75" customHeight="1">
      <c r="A2441" s="1990">
        <f>I103+K51+D117+M121+I101+I102+M43</f>
        <v>180897.30859568529</v>
      </c>
    </row>
    <row r="2442" spans="1:1" ht="11.75" customHeight="1">
      <c r="A2442" s="1990">
        <f>I103+K51+D117+M121+I101+I102</f>
        <v>180897.30859568529</v>
      </c>
    </row>
    <row r="2443" spans="1:1" ht="11.75" customHeight="1">
      <c r="A2443" s="1990">
        <f>I103+K51+D117+M121+I101</f>
        <v>164109.06314703665</v>
      </c>
    </row>
    <row r="2444" spans="1:1" ht="11.75" customHeight="1">
      <c r="A2444" s="1990">
        <f>I103+K51+D117+M121</f>
        <v>88005.3704468098</v>
      </c>
    </row>
    <row r="2445" spans="1:1" ht="11.75" customHeight="1">
      <c r="A2445" s="1990">
        <f>I103+K51+D117</f>
        <v>39024.570446809812</v>
      </c>
    </row>
    <row r="2446" spans="1:1" ht="11.75" customHeight="1">
      <c r="A2446" s="1990">
        <f>I103+K51</f>
        <v>36006.531012790423</v>
      </c>
    </row>
    <row r="2447" spans="1:1" ht="11.75" customHeight="1">
      <c r="A2447" s="1989">
        <f>1.21*G108*D20*24/1000*D101</f>
        <v>387079.06311359996</v>
      </c>
    </row>
    <row r="2448" spans="1:1" ht="11.75" customHeight="1">
      <c r="A2448" s="1989">
        <f>1.21*G108*D20*24/1000</f>
        <v>156.29328000000001</v>
      </c>
    </row>
    <row r="2449" spans="1:1" ht="11.75" customHeight="1">
      <c r="A2449" s="1989">
        <f>1.21*G108*D20*24</f>
        <v>156293.28</v>
      </c>
    </row>
    <row r="2450" spans="1:1" ht="11.75" customHeight="1">
      <c r="A2450" s="1989">
        <f>1.21*G108*D20</f>
        <v>6512.22</v>
      </c>
    </row>
    <row r="2451" spans="1:1" ht="11.75" customHeight="1">
      <c r="A2451" s="1989">
        <f>1.21*G108</f>
        <v>1.4157</v>
      </c>
    </row>
    <row r="2452" spans="1:1" ht="11.75" customHeight="1">
      <c r="A2452" s="1989" t="b">
        <f>D108="Measured"</f>
        <v>0</v>
      </c>
    </row>
    <row r="2453" spans="1:1" ht="11.75" customHeight="1">
      <c r="A2453" s="1989">
        <f>G109*D105/D101*3.6</f>
        <v>17.44312813431209</v>
      </c>
    </row>
    <row r="2454" spans="1:1" ht="11.75" customHeight="1">
      <c r="A2454" s="1989">
        <f>G109*D105</f>
        <v>12000</v>
      </c>
    </row>
    <row r="2455" spans="1:1" ht="11.75" customHeight="1">
      <c r="A2455" s="1989">
        <f>D101*3.6</f>
        <v>8915.8319999999985</v>
      </c>
    </row>
    <row r="2456" spans="1:1" ht="11.75" customHeight="1">
      <c r="A2456" s="1989">
        <f>IF(D108="AL-1A",0.89,IF(D108="AL-2A",0.71,IF(D108="AL-3A",0.53,IF(D108="AL-4A",0.35,IF(D108="AL-5A",0.21,IF(D108="AL-1B",1.17,IF(D108="AL-2B",0.98,IF(D108="AL-3B",0.78,IF(D108="AL-4B",0.59,IF(D108="AL-5B",0.39,IF(D108="AL-6B",0.23,IF(D108="PH Classic",0.6*D105/D101*3.6,IF(D108="PH Low",1*D105/D101*3.6,IF(D108="PH+",0.1))))))))))))))</f>
        <v>1.17</v>
      </c>
    </row>
    <row r="2457" spans="1:1" ht="11.75" customHeight="1">
      <c r="A2457" s="1989" t="b">
        <f>D108="AL-1A"</f>
        <v>0</v>
      </c>
    </row>
    <row r="2458" spans="1:1" ht="11.75" customHeight="1">
      <c r="A2458" s="1989">
        <f>IF(D108="AL-2A",0.71,IF(D108="AL-3A",0.53,IF(D108="AL-4A",0.35,IF(D108="AL-5A",0.21,IF(D108="AL-1B",1.17,IF(D108="AL-2B",0.98,IF(D108="AL-3B",0.78,IF(D108="AL-4B",0.59,IF(D108="AL-5B",0.39,IF(D108="AL-6B",0.23,IF(D108="PH Classic",0.6*D105/D101*3.6,IF(D108="PH Low",1*D105/D101*3.6,IF(D108="PH+",0.1)))))))))))))</f>
        <v>1.17</v>
      </c>
    </row>
    <row r="2459" spans="1:1" ht="11.75" customHeight="1">
      <c r="A2459" s="1989" t="b">
        <f>D108="AL-2A"</f>
        <v>0</v>
      </c>
    </row>
    <row r="2460" spans="1:1" ht="11.75" customHeight="1">
      <c r="A2460" s="1989">
        <f>IF(D108="AL-3A",0.53,IF(D108="AL-4A",0.35,IF(D108="AL-5A",0.21,IF(D108="AL-1B",1.17,IF(D108="AL-2B",0.98,IF(D108="AL-3B",0.78,IF(D108="AL-4B",0.59,IF(D108="AL-5B",0.39,IF(D108="AL-6B",0.23,IF(D108="PH Classic",0.6*D105/D101*3.6,IF(D108="PH Low",1*D105/D101*3.6,IF(D108="PH+",0.1))))))))))))</f>
        <v>1.17</v>
      </c>
    </row>
    <row r="2461" spans="1:1" ht="11.75" customHeight="1">
      <c r="A2461" s="1989">
        <f>IF(H20="Present",VLOOKUP(H19,CANADA!A6:K699,9,FALSE),VLOOKUP(H19,CANADA!A6:K699,11,FALSE))</f>
        <v>4600</v>
      </c>
    </row>
    <row r="2462" spans="1:1" ht="11.75" customHeight="1">
      <c r="A2462" s="1989">
        <f>MATCH('NRL50-n-Factors'!D34,'NRL50-n-Factors'!C38:C49,0)</f>
        <v>5</v>
      </c>
    </row>
    <row r="2463" spans="1:1" ht="11.75" customHeight="1">
      <c r="A2463" s="1989">
        <f>MATCH(REPORT!D103,'NRL50-n-Factors'!D37:J37,0)</f>
        <v>2</v>
      </c>
    </row>
    <row r="2464" spans="1:1" ht="11.75" customHeight="1">
      <c r="A2464" s="1989" t="b">
        <f>D51="Gas"</f>
        <v>0</v>
      </c>
    </row>
    <row r="2465" spans="1:1" ht="11.75" customHeight="1">
      <c r="A2465" s="1989">
        <f>D$20*G101*24</f>
        <v>30728.853316304834</v>
      </c>
    </row>
    <row r="2466" spans="1:1" ht="11.75" customHeight="1">
      <c r="A2466" s="1989">
        <f>SUM(H65:H67)</f>
        <v>84390.33600000001</v>
      </c>
    </row>
    <row r="2467" spans="1:1" ht="11.75" customHeight="1">
      <c r="A2467" s="1989">
        <f>IF(D113="Heatpump",K51+D117+D114+M43+H70,IF(D113="Gas",K51+D117+M43+H70))</f>
        <v>132765.64793897627</v>
      </c>
    </row>
    <row r="2468" spans="1:1" ht="11.75" customHeight="1">
      <c r="A2468" s="1989" t="b">
        <f>D113="Heatpump"</f>
        <v>1</v>
      </c>
    </row>
    <row r="2469" spans="1:1" ht="11.75" customHeight="1">
      <c r="A2469" s="1990">
        <f>K51+D117+D114+M43+H70</f>
        <v>132765.64793897627</v>
      </c>
    </row>
    <row r="2470" spans="1:1" ht="11.75" customHeight="1">
      <c r="A2470" s="1989" t="b">
        <f>IF(D113="Gas",K51+D117+M43+H70)</f>
        <v>0</v>
      </c>
    </row>
    <row r="2471" spans="1:1" ht="11.75" customHeight="1">
      <c r="A2471" s="1989">
        <f>SUM(D44:D46)</f>
        <v>0</v>
      </c>
    </row>
    <row r="2472" spans="1:1" ht="11.75" customHeight="1">
      <c r="A2472" s="1990">
        <f>I44+I45</f>
        <v>0</v>
      </c>
    </row>
    <row r="2473" spans="1:1" ht="11.75" customHeight="1">
      <c r="A2473" s="1989">
        <f>H28*0.0373</f>
        <v>0</v>
      </c>
    </row>
    <row r="2474" spans="1:1" ht="11.75" customHeight="1">
      <c r="A2474" s="1989">
        <f>H30*36.72</f>
        <v>0</v>
      </c>
    </row>
    <row r="2475" spans="1:1" ht="11.75" customHeight="1">
      <c r="A2475" s="1990">
        <f>H27-D43</f>
        <v>132765.64793897627</v>
      </c>
    </row>
    <row r="2476" spans="1:1" ht="11.75" customHeight="1">
      <c r="A2476" s="1989" t="b">
        <f>D113="Electricity"</f>
        <v>0</v>
      </c>
    </row>
    <row r="2477" spans="1:1" ht="11.75" customHeight="1">
      <c r="A2477" s="1990">
        <f>I103+K51+D117+M121+I101+I102+M43+SUM(H65:H67)</f>
        <v>265287.6445956853</v>
      </c>
    </row>
    <row r="2478" spans="1:1" ht="11.75" customHeight="1">
      <c r="A2478" s="1990">
        <f>I103+K51+D117+M121+I101+I102+M43</f>
        <v>180897.30859568529</v>
      </c>
    </row>
    <row r="2479" spans="1:1" ht="11.75" customHeight="1">
      <c r="A2479" s="1990">
        <f>I103+K51+D117+M121+I101+I102</f>
        <v>180897.30859568529</v>
      </c>
    </row>
    <row r="2480" spans="1:1" ht="11.75" customHeight="1">
      <c r="A2480" s="1990">
        <f>I103+K51+D117+M121+I101</f>
        <v>164109.06314703665</v>
      </c>
    </row>
    <row r="2481" spans="1:1" ht="11.75" customHeight="1">
      <c r="A2481" s="1990">
        <f>I103+K51+D117+M121</f>
        <v>88005.3704468098</v>
      </c>
    </row>
    <row r="2482" spans="1:1" ht="11.75" customHeight="1">
      <c r="A2482" s="1990">
        <f>I103+K51+D117</f>
        <v>39024.570446809812</v>
      </c>
    </row>
    <row r="2483" spans="1:1" ht="11.75" customHeight="1">
      <c r="A2483" s="1990">
        <f>I103+K51</f>
        <v>36006.531012790423</v>
      </c>
    </row>
    <row r="2484" spans="1:1" ht="11.75" customHeight="1">
      <c r="A2484" s="1989">
        <f>1.21*G108*D20*24/1000*D101</f>
        <v>387079.06311359996</v>
      </c>
    </row>
    <row r="2485" spans="1:1" ht="11.75" customHeight="1">
      <c r="A2485" s="1989">
        <f>1.21*G108*D20*24/1000</f>
        <v>156.29328000000001</v>
      </c>
    </row>
    <row r="2486" spans="1:1" ht="11.75" customHeight="1">
      <c r="A2486" s="1989">
        <f>1.21*G108*D20*24</f>
        <v>156293.28</v>
      </c>
    </row>
    <row r="2487" spans="1:1" ht="11.75" customHeight="1">
      <c r="A2487" s="1989">
        <f>1.21*G108*D20</f>
        <v>6512.22</v>
      </c>
    </row>
    <row r="2488" spans="1:1" ht="11.75" customHeight="1">
      <c r="A2488" s="1989">
        <f>1.21*G108</f>
        <v>1.4157</v>
      </c>
    </row>
    <row r="2489" spans="1:1" ht="11.75" customHeight="1">
      <c r="A2489" s="1989" t="b">
        <f>D108="Measured"</f>
        <v>0</v>
      </c>
    </row>
    <row r="2490" spans="1:1" ht="11.75" customHeight="1">
      <c r="A2490" s="1989">
        <f>G109*D105/D101*3.6</f>
        <v>17.44312813431209</v>
      </c>
    </row>
    <row r="2491" spans="1:1" ht="11.75" customHeight="1">
      <c r="A2491" s="1989">
        <f>G109*D105</f>
        <v>12000</v>
      </c>
    </row>
    <row r="2492" spans="1:1" ht="11.75" customHeight="1">
      <c r="A2492" s="1989">
        <f>D101*3.6</f>
        <v>8915.8319999999985</v>
      </c>
    </row>
    <row r="2493" spans="1:1" ht="11.75" customHeight="1">
      <c r="A2493" s="1989">
        <f>IF(D108="AL-1A",0.89,IF(D108="AL-2A",0.71,IF(D108="AL-3A",0.53,IF(D108="AL-4A",0.35,IF(D108="AL-5A",0.21,IF(D108="AL-1B",1.17,IF(D108="AL-2B",0.98,IF(D108="AL-3B",0.78,IF(D108="AL-4B",0.59,IF(D108="AL-5B",0.39,IF(D108="AL-6B",0.23,IF(D108="PH Classic",0.6*D105/D101*3.6,IF(D108="PH Low",1*D105/D101*3.6,IF(D108="PH+",0.1))))))))))))))</f>
        <v>1.17</v>
      </c>
    </row>
    <row r="2494" spans="1:1" ht="11.75" customHeight="1">
      <c r="A2494" s="1989" t="b">
        <f>D108="AL-1A"</f>
        <v>0</v>
      </c>
    </row>
    <row r="2495" spans="1:1" ht="11.75" customHeight="1">
      <c r="A2495" s="1989">
        <f>IF(D108="AL-2A",0.71,IF(D108="AL-3A",0.53,IF(D108="AL-4A",0.35,IF(D108="AL-5A",0.21,IF(D108="AL-1B",1.17,IF(D108="AL-2B",0.98,IF(D108="AL-3B",0.78,IF(D108="AL-4B",0.59,IF(D108="AL-5B",0.39,IF(D108="AL-6B",0.23,IF(D108="PH Classic",0.6*D105/D101*3.6,IF(D108="PH Low",1*D105/D101*3.6,IF(D108="PH+",0.1)))))))))))))</f>
        <v>1.17</v>
      </c>
    </row>
    <row r="2496" spans="1:1" ht="11.75" customHeight="1">
      <c r="A2496" s="1989" t="b">
        <f>D108="AL-2A"</f>
        <v>0</v>
      </c>
    </row>
    <row r="2497" spans="1:1" ht="11.75" customHeight="1">
      <c r="A2497" s="1989">
        <f>IF(D108="AL-3A",0.53,IF(D108="AL-4A",0.35,IF(D108="AL-5A",0.21,IF(D108="AL-1B",1.17,IF(D108="AL-2B",0.98,IF(D108="AL-3B",0.78,IF(D108="AL-4B",0.59,IF(D108="AL-5B",0.39,IF(D108="AL-6B",0.23,IF(D108="PH Classic",0.6*D105/D101*3.6,IF(D108="PH Low",1*D105/D101*3.6,IF(D108="PH+",0.1))))))))))))</f>
        <v>1.17</v>
      </c>
    </row>
    <row r="2498" spans="1:1" ht="11.75" customHeight="1">
      <c r="A2498" s="1989" t="b">
        <f>D108="AL-3A"</f>
        <v>0</v>
      </c>
    </row>
    <row r="2499" spans="1:1" ht="11.75" customHeight="1">
      <c r="A2499" s="1989">
        <f>IF(D108="AL-4A",0.35,IF(D108="AL-5A",0.21,IF(D108="AL-1B",1.17,IF(D108="AL-2B",0.98,IF(D108="AL-3B",0.78,IF(D108="AL-4B",0.59,IF(D108="AL-5B",0.39,IF(D108="AL-6B",0.23,IF(D108="PH Classic",0.6*D105/D101*3.6,IF(D108="PH Low",1*D105/D101*3.6,IF(D108="PH+",0.1)))))))))))</f>
        <v>1.17</v>
      </c>
    </row>
    <row r="2500" spans="1:1" ht="11.75" customHeight="1">
      <c r="A2500" s="1989">
        <f>IF(H20="Present",VLOOKUP(H19,CANADA!A6:K699,9,FALSE),VLOOKUP(H19,CANADA!A6:K699,11,FALSE))</f>
        <v>4600</v>
      </c>
    </row>
    <row r="2501" spans="1:1" ht="11.75" customHeight="1">
      <c r="A2501" s="1989">
        <f>MATCH('NRL50-n-Factors'!D34,'NRL50-n-Factors'!C38:C49,0)</f>
        <v>5</v>
      </c>
    </row>
    <row r="2502" spans="1:1" ht="11.75" customHeight="1">
      <c r="A2502" s="1989">
        <f>MATCH(REPORT!D103,'NRL50-n-Factors'!D37:J37,0)</f>
        <v>2</v>
      </c>
    </row>
    <row r="2503" spans="1:1" ht="11.75" customHeight="1">
      <c r="A2503" s="1989" t="b">
        <f>D51="Gas"</f>
        <v>0</v>
      </c>
    </row>
    <row r="2504" spans="1:1" ht="11.75" customHeight="1">
      <c r="A2504" s="1989">
        <f>D$20*G101*24</f>
        <v>30728.853316304834</v>
      </c>
    </row>
    <row r="2505" spans="1:1" ht="11.75" customHeight="1">
      <c r="A2505" s="1989">
        <f>SUM(H65:H67)</f>
        <v>84390.33600000001</v>
      </c>
    </row>
    <row r="2506" spans="1:1" ht="11.75" customHeight="1">
      <c r="A2506" s="1989">
        <f>IF(D113="Heatpump",K51+D117+D114+M43+H70,IF(D113="Gas",K51+D117+M43+H70))</f>
        <v>132765.64793897627</v>
      </c>
    </row>
    <row r="2507" spans="1:1" ht="11.75" customHeight="1">
      <c r="A2507" s="1989" t="b">
        <f>D113="Heatpump"</f>
        <v>1</v>
      </c>
    </row>
    <row r="2508" spans="1:1" ht="11.75" customHeight="1">
      <c r="A2508" s="1990">
        <f>K51+D117+D114+M43+H70</f>
        <v>132765.64793897627</v>
      </c>
    </row>
    <row r="2509" spans="1:1" ht="11.75" customHeight="1">
      <c r="A2509" s="1989" t="b">
        <f>IF(D113="Gas",K51+D117+M43+H70)</f>
        <v>0</v>
      </c>
    </row>
    <row r="2510" spans="1:1" ht="11.75" customHeight="1">
      <c r="A2510" s="1989">
        <f>SUM(D44:D46)</f>
        <v>0</v>
      </c>
    </row>
    <row r="2511" spans="1:1" ht="11.75" customHeight="1">
      <c r="A2511" s="1990">
        <f>I44+I45</f>
        <v>0</v>
      </c>
    </row>
    <row r="2512" spans="1:1" ht="11.75" customHeight="1">
      <c r="A2512" s="1989">
        <f>H28*0.0373</f>
        <v>0</v>
      </c>
    </row>
    <row r="2513" spans="1:1" ht="11.75" customHeight="1">
      <c r="A2513" s="1989">
        <f>H30*36.72</f>
        <v>0</v>
      </c>
    </row>
    <row r="2514" spans="1:1" ht="11.75" customHeight="1">
      <c r="A2514" s="1990">
        <f>H27-D43</f>
        <v>132765.64793897627</v>
      </c>
    </row>
    <row r="2515" spans="1:1" ht="11.75" customHeight="1">
      <c r="A2515" s="1989" t="b">
        <f>D113="Electricity"</f>
        <v>0</v>
      </c>
    </row>
    <row r="2516" spans="1:1" ht="11.75" customHeight="1">
      <c r="A2516" s="1990">
        <f>I103+K51+D117+M121+I101+I102+M43+SUM(H65:H67)</f>
        <v>265287.6445956853</v>
      </c>
    </row>
    <row r="2517" spans="1:1" ht="11.75" customHeight="1">
      <c r="A2517" s="1990">
        <f>I103+K51+D117+M121+I101+I102+M43</f>
        <v>180897.30859568529</v>
      </c>
    </row>
    <row r="2518" spans="1:1" ht="11.75" customHeight="1">
      <c r="A2518" s="1990">
        <f>I103+K51+D117+M121+I101+I102</f>
        <v>180897.30859568529</v>
      </c>
    </row>
    <row r="2519" spans="1:1" ht="11.75" customHeight="1">
      <c r="A2519" s="1990">
        <f>I103+K51+D117+M121+I101</f>
        <v>164109.06314703665</v>
      </c>
    </row>
    <row r="2520" spans="1:1" ht="11.75" customHeight="1">
      <c r="A2520" s="1990">
        <f>I103+K51+D117+M121</f>
        <v>88005.3704468098</v>
      </c>
    </row>
    <row r="2521" spans="1:1" ht="11.75" customHeight="1">
      <c r="A2521" s="1990">
        <f>I103+K51+D117</f>
        <v>39024.570446809812</v>
      </c>
    </row>
    <row r="2522" spans="1:1" ht="11.75" customHeight="1">
      <c r="A2522" s="1990">
        <f>I103+K51</f>
        <v>36006.531012790423</v>
      </c>
    </row>
    <row r="2523" spans="1:1" ht="11.75" customHeight="1">
      <c r="A2523" s="1989">
        <f>1.21*G108*D20*24/1000*D101</f>
        <v>387079.06311359996</v>
      </c>
    </row>
    <row r="2524" spans="1:1" ht="11.75" customHeight="1">
      <c r="A2524" s="1989">
        <f>1.21*G108*D20*24/1000</f>
        <v>156.29328000000001</v>
      </c>
    </row>
    <row r="2525" spans="1:1" ht="11.75" customHeight="1">
      <c r="A2525" s="1989">
        <f>1.21*G108*D20*24</f>
        <v>156293.28</v>
      </c>
    </row>
    <row r="2526" spans="1:1" ht="11.75" customHeight="1">
      <c r="A2526" s="1989">
        <f>1.21*G108*D20</f>
        <v>6512.22</v>
      </c>
    </row>
    <row r="2527" spans="1:1" ht="11.75" customHeight="1">
      <c r="A2527" s="1989">
        <f>1.21*G108</f>
        <v>1.4157</v>
      </c>
    </row>
    <row r="2528" spans="1:1" ht="11.75" customHeight="1">
      <c r="A2528" s="1989" t="b">
        <f>D108="Measured"</f>
        <v>0</v>
      </c>
    </row>
    <row r="2529" spans="1:1" ht="11.75" customHeight="1">
      <c r="A2529" s="1989">
        <f>G109*D105/D101*3.6</f>
        <v>17.44312813431209</v>
      </c>
    </row>
    <row r="2530" spans="1:1" ht="11.75" customHeight="1">
      <c r="A2530" s="1989">
        <f>G109*D105</f>
        <v>12000</v>
      </c>
    </row>
    <row r="2531" spans="1:1" ht="11.75" customHeight="1">
      <c r="A2531" s="1989">
        <f>D101*3.6</f>
        <v>8915.8319999999985</v>
      </c>
    </row>
    <row r="2532" spans="1:1" ht="11.75" customHeight="1">
      <c r="A2532" s="1989">
        <f>IF(D108="AL-1A",0.89,IF(D108="AL-2A",0.71,IF(D108="AL-3A",0.53,IF(D108="AL-4A",0.35,IF(D108="AL-5A",0.21,IF(D108="AL-1B",1.17,IF(D108="AL-2B",0.98,IF(D108="AL-3B",0.78,IF(D108="AL-4B",0.59,IF(D108="AL-5B",0.39,IF(D108="AL-6B",0.23,IF(D108="PH Classic",0.6*D105/D101*3.6,IF(D108="PH Low",1*D105/D101*3.6,IF(D108="PH+",0.1))))))))))))))</f>
        <v>1.17</v>
      </c>
    </row>
    <row r="2533" spans="1:1" ht="11.75" customHeight="1">
      <c r="A2533" s="1989" t="b">
        <f>D108="AL-1A"</f>
        <v>0</v>
      </c>
    </row>
    <row r="2534" spans="1:1" ht="11.75" customHeight="1">
      <c r="A2534" s="1989">
        <f>IF(D108="AL-2A",0.71,IF(D108="AL-3A",0.53,IF(D108="AL-4A",0.35,IF(D108="AL-5A",0.21,IF(D108="AL-1B",1.17,IF(D108="AL-2B",0.98,IF(D108="AL-3B",0.78,IF(D108="AL-4B",0.59,IF(D108="AL-5B",0.39,IF(D108="AL-6B",0.23,IF(D108="PH Classic",0.6*D105/D101*3.6,IF(D108="PH Low",1*D105/D101*3.6,IF(D108="PH+",0.1)))))))))))))</f>
        <v>1.17</v>
      </c>
    </row>
    <row r="2535" spans="1:1" ht="11.75" customHeight="1">
      <c r="A2535" s="1989" t="b">
        <f>D108="AL-2A"</f>
        <v>0</v>
      </c>
    </row>
    <row r="2536" spans="1:1" ht="11.75" customHeight="1">
      <c r="A2536" s="1989">
        <f>IF(D108="AL-3A",0.53,IF(D108="AL-4A",0.35,IF(D108="AL-5A",0.21,IF(D108="AL-1B",1.17,IF(D108="AL-2B",0.98,IF(D108="AL-3B",0.78,IF(D108="AL-4B",0.59,IF(D108="AL-5B",0.39,IF(D108="AL-6B",0.23,IF(D108="PH Classic",0.6*D105/D101*3.6,IF(D108="PH Low",1*D105/D101*3.6,IF(D108="PH+",0.1))))))))))))</f>
        <v>1.17</v>
      </c>
    </row>
    <row r="2537" spans="1:1" ht="11.75" customHeight="1">
      <c r="A2537" s="1989" t="b">
        <f>D108="AL-3A"</f>
        <v>0</v>
      </c>
    </row>
    <row r="2538" spans="1:1" ht="11.75" customHeight="1">
      <c r="A2538" s="1989">
        <f>IF(D108="AL-4A",0.35,IF(D108="AL-5A",0.21,IF(D108="AL-1B",1.17,IF(D108="AL-2B",0.98,IF(D108="AL-3B",0.78,IF(D108="AL-4B",0.59,IF(D108="AL-5B",0.39,IF(D108="AL-6B",0.23,IF(D108="PH Classic",0.6*D105/D101*3.6,IF(D108="PH Low",1*D105/D101*3.6,IF(D108="PH+",0.1)))))))))))</f>
        <v>1.17</v>
      </c>
    </row>
    <row r="2539" spans="1:1" ht="11.75" customHeight="1">
      <c r="A2539" s="1989">
        <f>IF(H20="Present",VLOOKUP(H19,CANADA!A6:K699,9,FALSE),VLOOKUP(H19,CANADA!A6:K699,11,FALSE))</f>
        <v>4600</v>
      </c>
    </row>
    <row r="2540" spans="1:1" ht="11.75" customHeight="1">
      <c r="A2540" s="1989">
        <f>MATCH('NRL50-n-Factors'!D34,'NRL50-n-Factors'!C38:C49,0)</f>
        <v>5</v>
      </c>
    </row>
    <row r="2541" spans="1:1" ht="11.75" customHeight="1">
      <c r="A2541" s="1989">
        <f>MATCH(REPORT!D103,'NRL50-n-Factors'!D37:J37,0)</f>
        <v>2</v>
      </c>
    </row>
    <row r="2542" spans="1:1" ht="11.75" customHeight="1">
      <c r="A2542" s="1989" t="b">
        <f>D51="Gas"</f>
        <v>0</v>
      </c>
    </row>
    <row r="2543" spans="1:1" ht="11.75" customHeight="1">
      <c r="A2543" s="1989">
        <f>D$20*G101*24</f>
        <v>30728.853316304834</v>
      </c>
    </row>
    <row r="2544" spans="1:1" ht="11.75" customHeight="1">
      <c r="A2544" s="1989">
        <f>SUM(H65:H67)</f>
        <v>84390.33600000001</v>
      </c>
    </row>
    <row r="2545" spans="1:1" ht="11.75" customHeight="1">
      <c r="A2545" s="1989">
        <f>IF(D113="Heatpump",K51+D117+D114+M43+H70,IF(D113="Gas",K51+D117+M43+H70))</f>
        <v>132765.64793897627</v>
      </c>
    </row>
    <row r="2546" spans="1:1" ht="11.75" customHeight="1">
      <c r="A2546" s="1989" t="b">
        <f>D113="Heatpump"</f>
        <v>1</v>
      </c>
    </row>
    <row r="2547" spans="1:1" ht="11.75" customHeight="1">
      <c r="A2547" s="1990">
        <f>K51+D117+D114+M43+H70</f>
        <v>132765.64793897627</v>
      </c>
    </row>
    <row r="2548" spans="1:1" ht="11.75" customHeight="1">
      <c r="A2548" s="1989" t="b">
        <f>IF(D113="Gas",K51+D117+M43+H70)</f>
        <v>0</v>
      </c>
    </row>
    <row r="2549" spans="1:1" ht="11.75" customHeight="1">
      <c r="A2549" s="1989">
        <f>SUM(D44:D46)</f>
        <v>0</v>
      </c>
    </row>
    <row r="2550" spans="1:1" ht="11.75" customHeight="1">
      <c r="A2550" s="1990">
        <f>I44+I45</f>
        <v>0</v>
      </c>
    </row>
    <row r="2551" spans="1:1" ht="11.75" customHeight="1">
      <c r="A2551" s="1989">
        <f>H28*0.0373</f>
        <v>0</v>
      </c>
    </row>
    <row r="2552" spans="1:1" ht="11.75" customHeight="1">
      <c r="A2552" s="1989">
        <f>H30*36.72</f>
        <v>0</v>
      </c>
    </row>
    <row r="2553" spans="1:1" ht="11.75" customHeight="1">
      <c r="A2553" s="1990">
        <f>H27-D43</f>
        <v>132765.64793897627</v>
      </c>
    </row>
    <row r="2554" spans="1:1" ht="11.75" customHeight="1">
      <c r="A2554" s="1989" t="b">
        <f>D113="Electricity"</f>
        <v>0</v>
      </c>
    </row>
    <row r="2555" spans="1:1" ht="11.75" customHeight="1">
      <c r="A2555" s="1990">
        <f>I103+K51+D117+M121+I101+I102+M43+SUM(H65:H67)</f>
        <v>265287.6445956853</v>
      </c>
    </row>
    <row r="2556" spans="1:1" ht="11.75" customHeight="1">
      <c r="A2556" s="1990">
        <f>I103+K51+D117+M121+I101+I102+M43</f>
        <v>180897.30859568529</v>
      </c>
    </row>
    <row r="2557" spans="1:1" ht="11.75" customHeight="1">
      <c r="A2557" s="1990">
        <f>I103+K51+D117+M121+I101+I102</f>
        <v>180897.30859568529</v>
      </c>
    </row>
    <row r="2558" spans="1:1" ht="11.75" customHeight="1">
      <c r="A2558" s="1990">
        <f>I103+K51+D117+M121+I101</f>
        <v>164109.06314703665</v>
      </c>
    </row>
    <row r="2559" spans="1:1" ht="11.75" customHeight="1">
      <c r="A2559" s="1990">
        <f>I103+K51+D117+M121</f>
        <v>88005.3704468098</v>
      </c>
    </row>
    <row r="2560" spans="1:1" ht="11.75" customHeight="1">
      <c r="A2560" s="1990">
        <f>I103+K51+D117</f>
        <v>39024.570446809812</v>
      </c>
    </row>
    <row r="2561" spans="1:1" ht="11.75" customHeight="1">
      <c r="A2561" s="1990">
        <f>I103+K51</f>
        <v>36006.531012790423</v>
      </c>
    </row>
    <row r="2562" spans="1:1" ht="11.75" customHeight="1">
      <c r="A2562" s="1989">
        <f>1.21*G108*D20*24/1000*D101</f>
        <v>387079.06311359996</v>
      </c>
    </row>
    <row r="2563" spans="1:1" ht="11.75" customHeight="1">
      <c r="A2563" s="1989">
        <f>1.21*G108*D20*24/1000</f>
        <v>156.29328000000001</v>
      </c>
    </row>
    <row r="2564" spans="1:1" ht="11.75" customHeight="1">
      <c r="A2564" s="1989">
        <f>1.21*G108*D20*24</f>
        <v>156293.28</v>
      </c>
    </row>
    <row r="2565" spans="1:1" ht="11.75" customHeight="1">
      <c r="A2565" s="1989">
        <f>1.21*G108*D20</f>
        <v>6512.22</v>
      </c>
    </row>
    <row r="2566" spans="1:1" ht="11.75" customHeight="1">
      <c r="A2566" s="1989">
        <f>1.21*G108</f>
        <v>1.4157</v>
      </c>
    </row>
    <row r="2567" spans="1:1" ht="11.75" customHeight="1">
      <c r="A2567" s="1989" t="b">
        <f>D108="Measured"</f>
        <v>0</v>
      </c>
    </row>
    <row r="2568" spans="1:1" ht="11.75" customHeight="1">
      <c r="A2568" s="1989">
        <f>G109*D105/D101*3.6</f>
        <v>17.44312813431209</v>
      </c>
    </row>
    <row r="2569" spans="1:1" ht="11.75" customHeight="1">
      <c r="A2569" s="1989">
        <f>G109*D105</f>
        <v>12000</v>
      </c>
    </row>
    <row r="2570" spans="1:1" ht="11.75" customHeight="1">
      <c r="A2570" s="1989">
        <f>D101*3.6</f>
        <v>8915.8319999999985</v>
      </c>
    </row>
    <row r="2571" spans="1:1" ht="11.75" customHeight="1">
      <c r="A2571" s="1989">
        <f>IF(D108="AL-1A",0.89,IF(D108="AL-2A",0.71,IF(D108="AL-3A",0.53,IF(D108="AL-4A",0.35,IF(D108="AL-5A",0.21,IF(D108="AL-1B",1.17,IF(D108="AL-2B",0.98,IF(D108="AL-3B",0.78,IF(D108="AL-4B",0.59,IF(D108="AL-5B",0.39,IF(D108="AL-6B",0.23,IF(D108="PH Classic",0.6*D105/D101*3.6,IF(D108="PH Low",1*D105/D101*3.6,IF(D108="PH+",0.1))))))))))))))</f>
        <v>1.17</v>
      </c>
    </row>
    <row r="2572" spans="1:1" ht="11.75" customHeight="1">
      <c r="A2572" s="1989" t="b">
        <f>D108="AL-1A"</f>
        <v>0</v>
      </c>
    </row>
    <row r="2573" spans="1:1" ht="11.75" customHeight="1">
      <c r="A2573" s="1989">
        <f>IF(D108="AL-2A",0.71,IF(D108="AL-3A",0.53,IF(D108="AL-4A",0.35,IF(D108="AL-5A",0.21,IF(D108="AL-1B",1.17,IF(D108="AL-2B",0.98,IF(D108="AL-3B",0.78,IF(D108="AL-4B",0.59,IF(D108="AL-5B",0.39,IF(D108="AL-6B",0.23,IF(D108="PH Classic",0.6*D105/D101*3.6,IF(D108="PH Low",1*D105/D101*3.6,IF(D108="PH+",0.1)))))))))))))</f>
        <v>1.17</v>
      </c>
    </row>
    <row r="2574" spans="1:1" ht="11.75" customHeight="1">
      <c r="A2574" s="1989" t="b">
        <f>D108="AL-2A"</f>
        <v>0</v>
      </c>
    </row>
    <row r="2575" spans="1:1" ht="11.75" customHeight="1">
      <c r="A2575" s="1989">
        <f>IF(D108="AL-3A",0.53,IF(D108="AL-4A",0.35,IF(D108="AL-5A",0.21,IF(D108="AL-1B",1.17,IF(D108="AL-2B",0.98,IF(D108="AL-3B",0.78,IF(D108="AL-4B",0.59,IF(D108="AL-5B",0.39,IF(D108="AL-6B",0.23,IF(D108="PH Classic",0.6*D105/D101*3.6,IF(D108="PH Low",1*D105/D101*3.6,IF(D108="PH+",0.1))))))))))))</f>
        <v>1.17</v>
      </c>
    </row>
    <row r="2576" spans="1:1" ht="11.75" customHeight="1">
      <c r="A2576" s="1989" t="b">
        <f>D108="AL-3A"</f>
        <v>0</v>
      </c>
    </row>
    <row r="2577" spans="1:1" ht="11.75" customHeight="1">
      <c r="A2577" s="1989">
        <f>IF(D108="AL-4A",0.35,IF(D108="AL-5A",0.21,IF(D108="AL-1B",1.17,IF(D108="AL-2B",0.98,IF(D108="AL-3B",0.78,IF(D108="AL-4B",0.59,IF(D108="AL-5B",0.39,IF(D108="AL-6B",0.23,IF(D108="PH Classic",0.6*D105/D101*3.6,IF(D108="PH Low",1*D105/D101*3.6,IF(D108="PH+",0.1)))))))))))</f>
        <v>1.17</v>
      </c>
    </row>
    <row r="2578" spans="1:1" ht="11.75" customHeight="1">
      <c r="A2578" s="1989">
        <f>IF(H20="Present",VLOOKUP(H19,CANADA!A6:K699,9,FALSE),VLOOKUP(H19,CANADA!A6:K699,11,FALSE))</f>
        <v>4600</v>
      </c>
    </row>
    <row r="2579" spans="1:1" ht="11.75" customHeight="1">
      <c r="A2579" s="1989">
        <f>MATCH('NRL50-n-Factors'!D34,'NRL50-n-Factors'!C38:C49,0)</f>
        <v>5</v>
      </c>
    </row>
    <row r="2580" spans="1:1" ht="11.75" customHeight="1">
      <c r="A2580" s="1989">
        <f>MATCH(REPORT!D103,'NRL50-n-Factors'!D37:J37,0)</f>
        <v>2</v>
      </c>
    </row>
    <row r="2581" spans="1:1" ht="11.75" customHeight="1">
      <c r="A2581" s="1989" t="b">
        <f>D51="Gas"</f>
        <v>0</v>
      </c>
    </row>
    <row r="2582" spans="1:1" ht="11.75" customHeight="1">
      <c r="A2582" s="1989">
        <f>D$20*G101*24</f>
        <v>30728.853316304834</v>
      </c>
    </row>
    <row r="2583" spans="1:1" ht="11.75" customHeight="1">
      <c r="A2583" s="1989">
        <f>SUM(H65:H67)</f>
        <v>84390.33600000001</v>
      </c>
    </row>
    <row r="2584" spans="1:1" ht="11.75" customHeight="1">
      <c r="A2584" s="1989">
        <f>IF(D113="Heatpump",K51+D117+D114+M43+H70,IF(D113="Gas",K51+D117+M43+H70))</f>
        <v>132765.64793897627</v>
      </c>
    </row>
    <row r="2585" spans="1:1" ht="11.75" customHeight="1">
      <c r="A2585" s="1989" t="b">
        <f>D113="Heatpump"</f>
        <v>1</v>
      </c>
    </row>
    <row r="2586" spans="1:1" ht="11.75" customHeight="1">
      <c r="A2586" s="1990">
        <f>K51+D117+D114+M43+H70</f>
        <v>132765.64793897627</v>
      </c>
    </row>
    <row r="2587" spans="1:1" ht="11.75" customHeight="1">
      <c r="A2587" s="1989" t="b">
        <f>IF(D113="Gas",K51+D117+M43+H70)</f>
        <v>0</v>
      </c>
    </row>
    <row r="2588" spans="1:1" ht="11.75" customHeight="1">
      <c r="A2588" s="1989">
        <f>SUM(D44:D46)</f>
        <v>0</v>
      </c>
    </row>
    <row r="2589" spans="1:1" ht="11.75" customHeight="1">
      <c r="A2589" s="1990">
        <f>I44+I45</f>
        <v>0</v>
      </c>
    </row>
    <row r="2590" spans="1:1" ht="11.75" customHeight="1">
      <c r="A2590" s="1989">
        <f>H28*0.0373</f>
        <v>0</v>
      </c>
    </row>
    <row r="2591" spans="1:1" ht="11.75" customHeight="1">
      <c r="A2591" s="1989">
        <f>H30*36.72</f>
        <v>0</v>
      </c>
    </row>
    <row r="2592" spans="1:1" ht="11.75" customHeight="1">
      <c r="A2592" s="1990">
        <f>H27-D43</f>
        <v>132765.64793897627</v>
      </c>
    </row>
    <row r="2593" spans="1:1" ht="11.75" customHeight="1">
      <c r="A2593" s="1989" t="b">
        <f>D113="Electricity"</f>
        <v>0</v>
      </c>
    </row>
    <row r="2594" spans="1:1" ht="11.75" customHeight="1">
      <c r="A2594" s="1990">
        <f>I103+K51+D117+M121+I101+I102+M43+SUM(H65:H67)</f>
        <v>265287.6445956853</v>
      </c>
    </row>
    <row r="2595" spans="1:1" ht="11.75" customHeight="1">
      <c r="A2595" s="1990">
        <f>I103+K51+D117+M121+I101+I102+M43</f>
        <v>180897.30859568529</v>
      </c>
    </row>
    <row r="2596" spans="1:1" ht="11.75" customHeight="1">
      <c r="A2596" s="1990">
        <f>I103+K51+D117+M121+I101+I102</f>
        <v>180897.30859568529</v>
      </c>
    </row>
    <row r="2597" spans="1:1" ht="11.75" customHeight="1">
      <c r="A2597" s="1990">
        <f>I103+K51+D117+M121+I101</f>
        <v>164109.06314703665</v>
      </c>
    </row>
    <row r="2598" spans="1:1" ht="11.75" customHeight="1">
      <c r="A2598" s="1990">
        <f>I103+K51+D117+M121</f>
        <v>88005.3704468098</v>
      </c>
    </row>
    <row r="2599" spans="1:1" ht="11.75" customHeight="1">
      <c r="A2599" s="1990">
        <f>I103+K51+D117</f>
        <v>39024.570446809812</v>
      </c>
    </row>
    <row r="2600" spans="1:1" ht="11.75" customHeight="1">
      <c r="A2600" s="1990">
        <f>I103+K51</f>
        <v>36006.531012790423</v>
      </c>
    </row>
    <row r="2601" spans="1:1" ht="11.75" customHeight="1">
      <c r="A2601" s="1989">
        <f>1.21*G108*D20*24/1000*D101</f>
        <v>387079.06311359996</v>
      </c>
    </row>
    <row r="2602" spans="1:1" ht="11.75" customHeight="1">
      <c r="A2602" s="1989">
        <f>1.21*G108*D20*24/1000</f>
        <v>156.29328000000001</v>
      </c>
    </row>
    <row r="2603" spans="1:1" ht="11.75" customHeight="1">
      <c r="A2603" s="1989">
        <f>1.21*G108*D20*24</f>
        <v>156293.28</v>
      </c>
    </row>
    <row r="2604" spans="1:1" ht="11.75" customHeight="1">
      <c r="A2604" s="1989">
        <f>1.21*G108*D20</f>
        <v>6512.22</v>
      </c>
    </row>
    <row r="2605" spans="1:1" ht="11.75" customHeight="1">
      <c r="A2605" s="1989">
        <f>1.21*G108</f>
        <v>1.4157</v>
      </c>
    </row>
    <row r="2606" spans="1:1" ht="11.75" customHeight="1">
      <c r="A2606" s="1989" t="b">
        <f>D108="Measured"</f>
        <v>0</v>
      </c>
    </row>
    <row r="2607" spans="1:1" ht="11.75" customHeight="1">
      <c r="A2607" s="1989">
        <f>G109*D105/D101*3.6</f>
        <v>17.44312813431209</v>
      </c>
    </row>
    <row r="2608" spans="1:1" ht="11.75" customHeight="1">
      <c r="A2608" s="1989">
        <f>G109*D105</f>
        <v>12000</v>
      </c>
    </row>
    <row r="2609" spans="1:1" ht="11.75" customHeight="1">
      <c r="A2609" s="1989">
        <f>D101*3.6</f>
        <v>8915.8319999999985</v>
      </c>
    </row>
    <row r="2610" spans="1:1" ht="11.75" customHeight="1">
      <c r="A2610" s="1989">
        <f>IF(D108="AL-1A",0.89,IF(D108="AL-2A",0.71,IF(D108="AL-3A",0.53,IF(D108="AL-4A",0.35,IF(D108="AL-5A",0.21,IF(D108="AL-1B",1.17,IF(D108="AL-2B",0.98,IF(D108="AL-3B",0.78,IF(D108="AL-4B",0.59,IF(D108="AL-5B",0.39,IF(D108="AL-6B",0.23,IF(D108="PH Classic",0.6*D105/D101*3.6,IF(D108="PH Low",1*D105/D101*3.6,IF(D108="PH+",0.1))))))))))))))</f>
        <v>1.17</v>
      </c>
    </row>
    <row r="2611" spans="1:1" ht="11.75" customHeight="1">
      <c r="A2611" s="1989" t="b">
        <f>D108="AL-1A"</f>
        <v>0</v>
      </c>
    </row>
    <row r="2612" spans="1:1" ht="11.75" customHeight="1">
      <c r="A2612" s="1989">
        <f>IF(D108="AL-2A",0.71,IF(D108="AL-3A",0.53,IF(D108="AL-4A",0.35,IF(D108="AL-5A",0.21,IF(D108="AL-1B",1.17,IF(D108="AL-2B",0.98,IF(D108="AL-3B",0.78,IF(D108="AL-4B",0.59,IF(D108="AL-5B",0.39,IF(D108="AL-6B",0.23,IF(D108="PH Classic",0.6*D105/D101*3.6,IF(D108="PH Low",1*D105/D101*3.6,IF(D108="PH+",0.1)))))))))))))</f>
        <v>1.17</v>
      </c>
    </row>
    <row r="2613" spans="1:1" ht="11.75" customHeight="1">
      <c r="A2613" s="1989" t="b">
        <f>D108="AL-2A"</f>
        <v>0</v>
      </c>
    </row>
    <row r="2614" spans="1:1" ht="11.75" customHeight="1">
      <c r="A2614" s="1989">
        <f>IF(D108="AL-3A",0.53,IF(D108="AL-4A",0.35,IF(D108="AL-5A",0.21,IF(D108="AL-1B",1.17,IF(D108="AL-2B",0.98,IF(D108="AL-3B",0.78,IF(D108="AL-4B",0.59,IF(D108="AL-5B",0.39,IF(D108="AL-6B",0.23,IF(D108="PH Classic",0.6*D105/D101*3.6,IF(D108="PH Low",1*D105/D101*3.6,IF(D108="PH+",0.1))))))))))))</f>
        <v>1.17</v>
      </c>
    </row>
    <row r="2615" spans="1:1" ht="11.75" customHeight="1">
      <c r="A2615" s="1989" t="b">
        <f>D108="AL-3A"</f>
        <v>0</v>
      </c>
    </row>
    <row r="2616" spans="1:1" ht="11.75" customHeight="1">
      <c r="A2616" s="1989">
        <f>IF(D108="AL-4A",0.35,IF(D108="AL-5A",0.21,IF(D108="AL-1B",1.17,IF(D108="AL-2B",0.98,IF(D108="AL-3B",0.78,IF(D108="AL-4B",0.59,IF(D108="AL-5B",0.39,IF(D108="AL-6B",0.23,IF(D108="PH Classic",0.6*D105/D101*3.6,IF(D108="PH Low",1*D105/D101*3.6,IF(D108="PH+",0.1)))))))))))</f>
        <v>1.17</v>
      </c>
    </row>
    <row r="2617" spans="1:1" ht="11.75" customHeight="1">
      <c r="A2617" s="1989" t="b">
        <f>D108="AL-4A"</f>
        <v>0</v>
      </c>
    </row>
    <row r="2618" spans="1:1" ht="11.75" customHeight="1">
      <c r="A2618" s="1989">
        <f>IF(D108="AL-5A",0.21,IF(D108="AL-1B",1.17,IF(D108="AL-2B",0.98,IF(D108="AL-3B",0.78,IF(D108="AL-4B",0.59,IF(D108="AL-5B",0.39,IF(D108="AL-6B",0.23,IF(D108="PH Classic",0.6*D105/D101*3.6,IF(D108="PH Low",1*D105/D101*3.6,IF(D108="PH+",0.1))))))))))</f>
        <v>1.17</v>
      </c>
    </row>
    <row r="2619" spans="1:1" ht="11.75" customHeight="1">
      <c r="A2619" s="1989">
        <f>IF(H20="Present",VLOOKUP(H19,CANADA!A6:K699,9,FALSE),VLOOKUP(H19,CANADA!A6:K699,11,FALSE))</f>
        <v>4600</v>
      </c>
    </row>
    <row r="2620" spans="1:1" ht="11.75" customHeight="1">
      <c r="A2620" s="1989">
        <f>MATCH('NRL50-n-Factors'!D34,'NRL50-n-Factors'!C38:C49,0)</f>
        <v>5</v>
      </c>
    </row>
    <row r="2621" spans="1:1" ht="11.75" customHeight="1">
      <c r="A2621" s="1989">
        <f>MATCH(REPORT!D103,'NRL50-n-Factors'!D37:J37,0)</f>
        <v>2</v>
      </c>
    </row>
    <row r="2622" spans="1:1" ht="11.75" customHeight="1">
      <c r="A2622" s="1989" t="b">
        <f>D51="Gas"</f>
        <v>0</v>
      </c>
    </row>
    <row r="2623" spans="1:1" ht="11.75" customHeight="1">
      <c r="A2623" s="1989">
        <f>D$20*G101*24</f>
        <v>30728.853316304834</v>
      </c>
    </row>
    <row r="2624" spans="1:1" ht="11.75" customHeight="1">
      <c r="A2624" s="1989">
        <f>SUM(H65:H67)</f>
        <v>84390.33600000001</v>
      </c>
    </row>
    <row r="2625" spans="1:1" ht="11.75" customHeight="1">
      <c r="A2625" s="1989">
        <f>IF(D113="Heatpump",K51+D117+D114+M43+H70,IF(D113="Gas",K51+D117+M43+H70))</f>
        <v>132765.64793897627</v>
      </c>
    </row>
    <row r="2626" spans="1:1" ht="11.75" customHeight="1">
      <c r="A2626" s="1989" t="b">
        <f>D113="Heatpump"</f>
        <v>1</v>
      </c>
    </row>
    <row r="2627" spans="1:1" ht="11.75" customHeight="1">
      <c r="A2627" s="1990">
        <f>K51+D117+D114+M43+H70</f>
        <v>132765.64793897627</v>
      </c>
    </row>
    <row r="2628" spans="1:1" ht="11.75" customHeight="1">
      <c r="A2628" s="1989" t="b">
        <f>IF(D113="Gas",K51+D117+M43+H70)</f>
        <v>0</v>
      </c>
    </row>
    <row r="2629" spans="1:1" ht="11.75" customHeight="1">
      <c r="A2629" s="1989">
        <f>SUM(D44:D46)</f>
        <v>0</v>
      </c>
    </row>
    <row r="2630" spans="1:1" ht="11.75" customHeight="1">
      <c r="A2630" s="1990">
        <f>I44+I45</f>
        <v>0</v>
      </c>
    </row>
    <row r="2631" spans="1:1" ht="11.75" customHeight="1">
      <c r="A2631" s="1989">
        <f>H28*0.0373</f>
        <v>0</v>
      </c>
    </row>
    <row r="2632" spans="1:1" ht="11.75" customHeight="1">
      <c r="A2632" s="1989">
        <f>H30*36.72</f>
        <v>0</v>
      </c>
    </row>
    <row r="2633" spans="1:1" ht="11.75" customHeight="1">
      <c r="A2633" s="1990">
        <f>H27-D43</f>
        <v>132765.64793897627</v>
      </c>
    </row>
    <row r="2634" spans="1:1" ht="11.75" customHeight="1">
      <c r="A2634" s="1989" t="b">
        <f>D113="Electricity"</f>
        <v>0</v>
      </c>
    </row>
    <row r="2635" spans="1:1" ht="11.75" customHeight="1">
      <c r="A2635" s="1990">
        <f>I103+K51+D117+M121+I101+I102+M43+SUM(H65:H67)</f>
        <v>265287.6445956853</v>
      </c>
    </row>
    <row r="2636" spans="1:1" ht="11.75" customHeight="1">
      <c r="A2636" s="1990">
        <f>I103+K51+D117+M121+I101+I102+M43</f>
        <v>180897.30859568529</v>
      </c>
    </row>
    <row r="2637" spans="1:1" ht="11.75" customHeight="1">
      <c r="A2637" s="1990">
        <f>I103+K51+D117+M121+I101+I102</f>
        <v>180897.30859568529</v>
      </c>
    </row>
    <row r="2638" spans="1:1" ht="11.75" customHeight="1">
      <c r="A2638" s="1990">
        <f>I103+K51+D117+M121+I101</f>
        <v>164109.06314703665</v>
      </c>
    </row>
    <row r="2639" spans="1:1" ht="11.75" customHeight="1">
      <c r="A2639" s="1990">
        <f>I103+K51+D117+M121</f>
        <v>88005.3704468098</v>
      </c>
    </row>
    <row r="2640" spans="1:1" ht="11.75" customHeight="1">
      <c r="A2640" s="1990">
        <f>I103+K51+D117</f>
        <v>39024.570446809812</v>
      </c>
    </row>
    <row r="2641" spans="1:1" ht="11.75" customHeight="1">
      <c r="A2641" s="1990">
        <f>I103+K51</f>
        <v>36006.531012790423</v>
      </c>
    </row>
    <row r="2642" spans="1:1" ht="11.75" customHeight="1">
      <c r="A2642" s="1989">
        <f>1.21*G108*D20*24/1000*D101</f>
        <v>387079.06311359996</v>
      </c>
    </row>
    <row r="2643" spans="1:1" ht="11.75" customHeight="1">
      <c r="A2643" s="1989">
        <f>1.21*G108*D20*24/1000</f>
        <v>156.29328000000001</v>
      </c>
    </row>
    <row r="2644" spans="1:1" ht="11.75" customHeight="1">
      <c r="A2644" s="1989">
        <f>1.21*G108*D20*24</f>
        <v>156293.28</v>
      </c>
    </row>
    <row r="2645" spans="1:1" ht="11.75" customHeight="1">
      <c r="A2645" s="1989">
        <f>1.21*G108*D20</f>
        <v>6512.22</v>
      </c>
    </row>
    <row r="2646" spans="1:1" ht="11.75" customHeight="1">
      <c r="A2646" s="1989">
        <f>1.21*G108</f>
        <v>1.4157</v>
      </c>
    </row>
    <row r="2647" spans="1:1" ht="11.75" customHeight="1">
      <c r="A2647" s="1989" t="b">
        <f>D108="Measured"</f>
        <v>0</v>
      </c>
    </row>
    <row r="2648" spans="1:1" ht="11.75" customHeight="1">
      <c r="A2648" s="1989">
        <f>G109*D105/D101*3.6</f>
        <v>17.44312813431209</v>
      </c>
    </row>
    <row r="2649" spans="1:1" ht="11.75" customHeight="1">
      <c r="A2649" s="1989">
        <f>G109*D105</f>
        <v>12000</v>
      </c>
    </row>
    <row r="2650" spans="1:1" ht="11.75" customHeight="1">
      <c r="A2650" s="1989">
        <f>D101*3.6</f>
        <v>8915.8319999999985</v>
      </c>
    </row>
    <row r="2651" spans="1:1" ht="11.75" customHeight="1">
      <c r="A2651" s="1989">
        <f>IF(D108="AL-1A",0.89,IF(D108="AL-2A",0.71,IF(D108="AL-3A",0.53,IF(D108="AL-4A",0.35,IF(D108="AL-5A",0.21,IF(D108="AL-1B",1.17,IF(D108="AL-2B",0.98,IF(D108="AL-3B",0.78,IF(D108="AL-4B",0.59,IF(D108="AL-5B",0.39,IF(D108="AL-6B",0.23,IF(D108="PH Classic",0.6*D105/D101*3.6,IF(D108="PH Low",1*D105/D101*3.6,IF(D108="PH+",0.1))))))))))))))</f>
        <v>1.17</v>
      </c>
    </row>
    <row r="2652" spans="1:1" ht="11.75" customHeight="1">
      <c r="A2652" s="1989" t="b">
        <f>D108="AL-1A"</f>
        <v>0</v>
      </c>
    </row>
    <row r="2653" spans="1:1" ht="11.75" customHeight="1">
      <c r="A2653" s="1989">
        <f>IF(D108="AL-2A",0.71,IF(D108="AL-3A",0.53,IF(D108="AL-4A",0.35,IF(D108="AL-5A",0.21,IF(D108="AL-1B",1.17,IF(D108="AL-2B",0.98,IF(D108="AL-3B",0.78,IF(D108="AL-4B",0.59,IF(D108="AL-5B",0.39,IF(D108="AL-6B",0.23,IF(D108="PH Classic",0.6*D105/D101*3.6,IF(D108="PH Low",1*D105/D101*3.6,IF(D108="PH+",0.1)))))))))))))</f>
        <v>1.17</v>
      </c>
    </row>
    <row r="2654" spans="1:1" ht="11.75" customHeight="1">
      <c r="A2654" s="1989" t="b">
        <f>D108="AL-2A"</f>
        <v>0</v>
      </c>
    </row>
    <row r="2655" spans="1:1" ht="11.75" customHeight="1">
      <c r="A2655" s="1989">
        <f>IF(D108="AL-3A",0.53,IF(D108="AL-4A",0.35,IF(D108="AL-5A",0.21,IF(D108="AL-1B",1.17,IF(D108="AL-2B",0.98,IF(D108="AL-3B",0.78,IF(D108="AL-4B",0.59,IF(D108="AL-5B",0.39,IF(D108="AL-6B",0.23,IF(D108="PH Classic",0.6*D105/D101*3.6,IF(D108="PH Low",1*D105/D101*3.6,IF(D108="PH+",0.1))))))))))))</f>
        <v>1.17</v>
      </c>
    </row>
    <row r="2656" spans="1:1" ht="11.75" customHeight="1">
      <c r="A2656" s="1989" t="b">
        <f>D108="AL-3A"</f>
        <v>0</v>
      </c>
    </row>
    <row r="2657" spans="1:1" ht="11.75" customHeight="1">
      <c r="A2657" s="1989">
        <f>IF(D108="AL-4A",0.35,IF(D108="AL-5A",0.21,IF(D108="AL-1B",1.17,IF(D108="AL-2B",0.98,IF(D108="AL-3B",0.78,IF(D108="AL-4B",0.59,IF(D108="AL-5B",0.39,IF(D108="AL-6B",0.23,IF(D108="PH Classic",0.6*D105/D101*3.6,IF(D108="PH Low",1*D105/D101*3.6,IF(D108="PH+",0.1)))))))))))</f>
        <v>1.17</v>
      </c>
    </row>
    <row r="2658" spans="1:1" ht="11.75" customHeight="1">
      <c r="A2658" s="1989" t="b">
        <f>D108="AL-4A"</f>
        <v>0</v>
      </c>
    </row>
    <row r="2659" spans="1:1" ht="11.75" customHeight="1">
      <c r="A2659" s="1989">
        <f>IF(D108="AL-5A",0.21,IF(D108="AL-1B",1.17,IF(D108="AL-2B",0.98,IF(D108="AL-3B",0.78,IF(D108="AL-4B",0.59,IF(D108="AL-5B",0.39,IF(D108="AL-6B",0.23,IF(D108="PH Classic",0.6*D105/D101*3.6,IF(D108="PH Low",1*D105/D101*3.6,IF(D108="PH+",0.1))))))))))</f>
        <v>1.17</v>
      </c>
    </row>
    <row r="2660" spans="1:1" ht="11.75" customHeight="1">
      <c r="A2660" s="1989">
        <f>IF(H20="Present",VLOOKUP(H19,CANADA!A6:K699,9,FALSE),VLOOKUP(H19,CANADA!A6:K699,11,FALSE))</f>
        <v>4600</v>
      </c>
    </row>
    <row r="2661" spans="1:1" ht="11.75" customHeight="1">
      <c r="A2661" s="1989">
        <f>MATCH('NRL50-n-Factors'!D34,'NRL50-n-Factors'!C38:C49,0)</f>
        <v>5</v>
      </c>
    </row>
    <row r="2662" spans="1:1" ht="11.75" customHeight="1">
      <c r="A2662" s="1989">
        <f>MATCH(REPORT!D103,'NRL50-n-Factors'!D37:J37,0)</f>
        <v>2</v>
      </c>
    </row>
    <row r="2663" spans="1:1" ht="11.75" customHeight="1">
      <c r="A2663" s="1989" t="b">
        <f>D51="Gas"</f>
        <v>0</v>
      </c>
    </row>
    <row r="2664" spans="1:1" ht="11.75" customHeight="1">
      <c r="A2664" s="1989">
        <f>D$20*G101*24</f>
        <v>30728.853316304834</v>
      </c>
    </row>
    <row r="2665" spans="1:1" ht="11.75" customHeight="1">
      <c r="A2665" s="1989">
        <f>SUM(H65:H67)</f>
        <v>84390.33600000001</v>
      </c>
    </row>
    <row r="2666" spans="1:1" ht="11.75" customHeight="1">
      <c r="A2666" s="1989">
        <f>IF(D113="Heatpump",K51+D117+D114+M43+H70,IF(D113="Gas",K51+D117+M43+H70))</f>
        <v>132765.64793897627</v>
      </c>
    </row>
    <row r="2667" spans="1:1" ht="11.75" customHeight="1">
      <c r="A2667" s="1989" t="b">
        <f>D113="Heatpump"</f>
        <v>1</v>
      </c>
    </row>
    <row r="2668" spans="1:1" ht="11.75" customHeight="1">
      <c r="A2668" s="1990">
        <f>K51+D117+D114+M43+H70</f>
        <v>132765.64793897627</v>
      </c>
    </row>
    <row r="2669" spans="1:1" ht="11.75" customHeight="1">
      <c r="A2669" s="1989" t="b">
        <f>IF(D113="Gas",K51+D117+M43+H70)</f>
        <v>0</v>
      </c>
    </row>
    <row r="2670" spans="1:1" ht="11.75" customHeight="1">
      <c r="A2670" s="1989">
        <f>SUM(D44:D46)</f>
        <v>0</v>
      </c>
    </row>
    <row r="2671" spans="1:1" ht="11.75" customHeight="1">
      <c r="A2671" s="1990">
        <f>I44+I45</f>
        <v>0</v>
      </c>
    </row>
    <row r="2672" spans="1:1" ht="11.75" customHeight="1">
      <c r="A2672" s="1989">
        <f>H28*0.0373</f>
        <v>0</v>
      </c>
    </row>
    <row r="2673" spans="1:1" ht="11.75" customHeight="1">
      <c r="A2673" s="1989">
        <f>H30*36.72</f>
        <v>0</v>
      </c>
    </row>
    <row r="2674" spans="1:1" ht="11.75" customHeight="1">
      <c r="A2674" s="1990">
        <f>H27-D43</f>
        <v>132765.64793897627</v>
      </c>
    </row>
    <row r="2675" spans="1:1" ht="11.75" customHeight="1">
      <c r="A2675" s="1989" t="b">
        <f>D113="Electricity"</f>
        <v>0</v>
      </c>
    </row>
    <row r="2676" spans="1:1" ht="11.75" customHeight="1">
      <c r="A2676" s="1990">
        <f>I103+K51+D117+M121+I101+I102+M43+SUM(H65:H67)</f>
        <v>265287.6445956853</v>
      </c>
    </row>
    <row r="2677" spans="1:1" ht="11.75" customHeight="1">
      <c r="A2677" s="1990">
        <f>I103+K51+D117+M121+I101+I102+M43</f>
        <v>180897.30859568529</v>
      </c>
    </row>
    <row r="2678" spans="1:1" ht="11.75" customHeight="1">
      <c r="A2678" s="1990">
        <f>I103+K51+D117+M121+I101+I102</f>
        <v>180897.30859568529</v>
      </c>
    </row>
    <row r="2679" spans="1:1" ht="11.75" customHeight="1">
      <c r="A2679" s="1990">
        <f>I103+K51+D117+M121+I101</f>
        <v>164109.06314703665</v>
      </c>
    </row>
    <row r="2680" spans="1:1" ht="11.75" customHeight="1">
      <c r="A2680" s="1990">
        <f>I103+K51+D117+M121</f>
        <v>88005.3704468098</v>
      </c>
    </row>
    <row r="2681" spans="1:1" ht="11.75" customHeight="1">
      <c r="A2681" s="1990">
        <f>I103+K51+D117</f>
        <v>39024.570446809812</v>
      </c>
    </row>
    <row r="2682" spans="1:1" ht="11.75" customHeight="1">
      <c r="A2682" s="1990">
        <f>I103+K51</f>
        <v>36006.531012790423</v>
      </c>
    </row>
    <row r="2683" spans="1:1" ht="11.75" customHeight="1">
      <c r="A2683" s="1989">
        <f>1.21*G108*D20*24/1000*D101</f>
        <v>387079.06311359996</v>
      </c>
    </row>
    <row r="2684" spans="1:1" ht="11.75" customHeight="1">
      <c r="A2684" s="1989">
        <f>1.21*G108*D20*24/1000</f>
        <v>156.29328000000001</v>
      </c>
    </row>
    <row r="2685" spans="1:1" ht="11.75" customHeight="1">
      <c r="A2685" s="1989">
        <f>1.21*G108*D20*24</f>
        <v>156293.28</v>
      </c>
    </row>
    <row r="2686" spans="1:1" ht="11.75" customHeight="1">
      <c r="A2686" s="1989">
        <f>1.21*G108*D20</f>
        <v>6512.22</v>
      </c>
    </row>
    <row r="2687" spans="1:1" ht="11.75" customHeight="1">
      <c r="A2687" s="1989">
        <f>1.21*G108</f>
        <v>1.4157</v>
      </c>
    </row>
    <row r="2688" spans="1:1" ht="11.75" customHeight="1">
      <c r="A2688" s="1989" t="b">
        <f>D108="Measured"</f>
        <v>0</v>
      </c>
    </row>
    <row r="2689" spans="1:1" ht="11.75" customHeight="1">
      <c r="A2689" s="1989">
        <f>G109*D105/D101*3.6</f>
        <v>17.44312813431209</v>
      </c>
    </row>
    <row r="2690" spans="1:1" ht="11.75" customHeight="1">
      <c r="A2690" s="1989">
        <f>G109*D105</f>
        <v>12000</v>
      </c>
    </row>
    <row r="2691" spans="1:1" ht="11.75" customHeight="1">
      <c r="A2691" s="1989">
        <f>D101*3.6</f>
        <v>8915.8319999999985</v>
      </c>
    </row>
    <row r="2692" spans="1:1" ht="11.75" customHeight="1">
      <c r="A2692" s="1989">
        <f>IF(D108="AL-1A",0.89,IF(D108="AL-2A",0.71,IF(D108="AL-3A",0.53,IF(D108="AL-4A",0.35,IF(D108="AL-5A",0.21,IF(D108="AL-1B",1.17,IF(D108="AL-2B",0.98,IF(D108="AL-3B",0.78,IF(D108="AL-4B",0.59,IF(D108="AL-5B",0.39,IF(D108="AL-6B",0.23,IF(D108="PH Classic",0.6*D105/D101*3.6,IF(D108="PH Low",1*D105/D101*3.6,IF(D108="PH+",0.1))))))))))))))</f>
        <v>1.17</v>
      </c>
    </row>
    <row r="2693" spans="1:1" ht="11.75" customHeight="1">
      <c r="A2693" s="1989" t="b">
        <f>D108="AL-1A"</f>
        <v>0</v>
      </c>
    </row>
    <row r="2694" spans="1:1" ht="11.75" customHeight="1">
      <c r="A2694" s="1989">
        <f>IF(D108="AL-2A",0.71,IF(D108="AL-3A",0.53,IF(D108="AL-4A",0.35,IF(D108="AL-5A",0.21,IF(D108="AL-1B",1.17,IF(D108="AL-2B",0.98,IF(D108="AL-3B",0.78,IF(D108="AL-4B",0.59,IF(D108="AL-5B",0.39,IF(D108="AL-6B",0.23,IF(D108="PH Classic",0.6*D105/D101*3.6,IF(D108="PH Low",1*D105/D101*3.6,IF(D108="PH+",0.1)))))))))))))</f>
        <v>1.17</v>
      </c>
    </row>
    <row r="2695" spans="1:1" ht="11.75" customHeight="1">
      <c r="A2695" s="1989" t="b">
        <f>D108="AL-2A"</f>
        <v>0</v>
      </c>
    </row>
    <row r="2696" spans="1:1" ht="11.75" customHeight="1">
      <c r="A2696" s="1989">
        <f>IF(D108="AL-3A",0.53,IF(D108="AL-4A",0.35,IF(D108="AL-5A",0.21,IF(D108="AL-1B",1.17,IF(D108="AL-2B",0.98,IF(D108="AL-3B",0.78,IF(D108="AL-4B",0.59,IF(D108="AL-5B",0.39,IF(D108="AL-6B",0.23,IF(D108="PH Classic",0.6*D105/D101*3.6,IF(D108="PH Low",1*D105/D101*3.6,IF(D108="PH+",0.1))))))))))))</f>
        <v>1.17</v>
      </c>
    </row>
    <row r="2697" spans="1:1" ht="11.75" customHeight="1">
      <c r="A2697" s="1989" t="b">
        <f>D108="AL-3A"</f>
        <v>0</v>
      </c>
    </row>
    <row r="2698" spans="1:1" ht="11.75" customHeight="1">
      <c r="A2698" s="1989">
        <f>IF(D108="AL-4A",0.35,IF(D108="AL-5A",0.21,IF(D108="AL-1B",1.17,IF(D108="AL-2B",0.98,IF(D108="AL-3B",0.78,IF(D108="AL-4B",0.59,IF(D108="AL-5B",0.39,IF(D108="AL-6B",0.23,IF(D108="PH Classic",0.6*D105/D101*3.6,IF(D108="PH Low",1*D105/D101*3.6,IF(D108="PH+",0.1)))))))))))</f>
        <v>1.17</v>
      </c>
    </row>
    <row r="2699" spans="1:1" ht="11.75" customHeight="1">
      <c r="A2699" s="1989" t="b">
        <f>D108="AL-4A"</f>
        <v>0</v>
      </c>
    </row>
    <row r="2700" spans="1:1" ht="11.75" customHeight="1">
      <c r="A2700" s="1989">
        <f>IF(D108="AL-5A",0.21,IF(D108="AL-1B",1.17,IF(D108="AL-2B",0.98,IF(D108="AL-3B",0.78,IF(D108="AL-4B",0.59,IF(D108="AL-5B",0.39,IF(D108="AL-6B",0.23,IF(D108="PH Classic",0.6*D105/D101*3.6,IF(D108="PH Low",1*D105/D101*3.6,IF(D108="PH+",0.1))))))))))</f>
        <v>1.17</v>
      </c>
    </row>
    <row r="2701" spans="1:1" ht="11.75" customHeight="1">
      <c r="A2701" s="1989">
        <f>IF(H20="Present",VLOOKUP(H19,CANADA!A6:K699,9,FALSE),VLOOKUP(H19,CANADA!A6:K699,11,FALSE))</f>
        <v>4600</v>
      </c>
    </row>
    <row r="2702" spans="1:1" ht="11.75" customHeight="1">
      <c r="A2702" s="1989">
        <f>MATCH('NRL50-n-Factors'!D34,'NRL50-n-Factors'!C38:C49,0)</f>
        <v>5</v>
      </c>
    </row>
    <row r="2703" spans="1:1" ht="11.75" customHeight="1">
      <c r="A2703" s="1989">
        <f>MATCH(REPORT!D103,'NRL50-n-Factors'!D37:J37,0)</f>
        <v>2</v>
      </c>
    </row>
    <row r="2704" spans="1:1" ht="11.75" customHeight="1">
      <c r="A2704" s="1989" t="b">
        <f>D51="Gas"</f>
        <v>0</v>
      </c>
    </row>
    <row r="2705" spans="1:1" ht="11.75" customHeight="1">
      <c r="A2705" s="1989">
        <f>D$20*G101*24</f>
        <v>30728.853316304834</v>
      </c>
    </row>
    <row r="2706" spans="1:1" ht="11.75" customHeight="1">
      <c r="A2706" s="1989">
        <f>SUM(H65:H67)</f>
        <v>84390.33600000001</v>
      </c>
    </row>
    <row r="2707" spans="1:1" ht="11.75" customHeight="1">
      <c r="A2707" s="1989">
        <f>IF(D113="Heatpump",K51+D117+D114+M43+H70,IF(D113="Gas",K51+D117+M43+H70))</f>
        <v>132765.64793897627</v>
      </c>
    </row>
    <row r="2708" spans="1:1" ht="11.75" customHeight="1">
      <c r="A2708" s="1989" t="b">
        <f>D113="Heatpump"</f>
        <v>1</v>
      </c>
    </row>
    <row r="2709" spans="1:1" ht="11.75" customHeight="1">
      <c r="A2709" s="1990">
        <f>K51+D117+D114+M43+H70</f>
        <v>132765.64793897627</v>
      </c>
    </row>
    <row r="2710" spans="1:1" ht="11.75" customHeight="1">
      <c r="A2710" s="1989" t="b">
        <f>IF(D113="Gas",K51+D117+M43+H70)</f>
        <v>0</v>
      </c>
    </row>
    <row r="2711" spans="1:1" ht="11.75" customHeight="1">
      <c r="A2711" s="1989">
        <f>SUM(D44:D46)</f>
        <v>0</v>
      </c>
    </row>
    <row r="2712" spans="1:1" ht="11.75" customHeight="1">
      <c r="A2712" s="1990">
        <f>I44+I45</f>
        <v>0</v>
      </c>
    </row>
    <row r="2713" spans="1:1" ht="11.75" customHeight="1">
      <c r="A2713" s="1989">
        <f>H28*0.0373</f>
        <v>0</v>
      </c>
    </row>
    <row r="2714" spans="1:1" ht="11.75" customHeight="1">
      <c r="A2714" s="1989">
        <f>H30*36.72</f>
        <v>0</v>
      </c>
    </row>
    <row r="2715" spans="1:1" ht="11.75" customHeight="1">
      <c r="A2715" s="1990">
        <f>H27-D43</f>
        <v>132765.64793897627</v>
      </c>
    </row>
    <row r="2716" spans="1:1" ht="11.75" customHeight="1">
      <c r="A2716" s="1989" t="b">
        <f>D113="Electricity"</f>
        <v>0</v>
      </c>
    </row>
    <row r="2717" spans="1:1" ht="11.75" customHeight="1">
      <c r="A2717" s="1990">
        <f>I103+K51+D117+M121+I101+I102+M43+SUM(H65:H67)</f>
        <v>265287.6445956853</v>
      </c>
    </row>
    <row r="2718" spans="1:1" ht="11.75" customHeight="1">
      <c r="A2718" s="1990">
        <f>I103+K51+D117+M121+I101+I102+M43</f>
        <v>180897.30859568529</v>
      </c>
    </row>
    <row r="2719" spans="1:1" ht="11.75" customHeight="1">
      <c r="A2719" s="1990">
        <f>I103+K51+D117+M121+I101+I102</f>
        <v>180897.30859568529</v>
      </c>
    </row>
    <row r="2720" spans="1:1" ht="11.75" customHeight="1">
      <c r="A2720" s="1990">
        <f>I103+K51+D117+M121+I101</f>
        <v>164109.06314703665</v>
      </c>
    </row>
    <row r="2721" spans="1:1" ht="11.75" customHeight="1">
      <c r="A2721" s="1990">
        <f>I103+K51+D117+M121</f>
        <v>88005.3704468098</v>
      </c>
    </row>
    <row r="2722" spans="1:1" ht="11.75" customHeight="1">
      <c r="A2722" s="1990">
        <f>I103+K51+D117</f>
        <v>39024.570446809812</v>
      </c>
    </row>
    <row r="2723" spans="1:1" ht="11.75" customHeight="1">
      <c r="A2723" s="1990">
        <f>I103+K51</f>
        <v>36006.531012790423</v>
      </c>
    </row>
    <row r="2724" spans="1:1" ht="11.75" customHeight="1">
      <c r="A2724" s="1989">
        <f>1.21*G108*D20*24/1000*D101</f>
        <v>387079.06311359996</v>
      </c>
    </row>
    <row r="2725" spans="1:1" ht="11.75" customHeight="1">
      <c r="A2725" s="1989">
        <f>1.21*G108*D20*24/1000</f>
        <v>156.29328000000001</v>
      </c>
    </row>
    <row r="2726" spans="1:1" ht="11.75" customHeight="1">
      <c r="A2726" s="1989">
        <f>1.21*G108*D20*24</f>
        <v>156293.28</v>
      </c>
    </row>
    <row r="2727" spans="1:1" ht="11.75" customHeight="1">
      <c r="A2727" s="1989">
        <f>1.21*G108*D20</f>
        <v>6512.22</v>
      </c>
    </row>
    <row r="2728" spans="1:1" ht="11.75" customHeight="1">
      <c r="A2728" s="1989">
        <f>1.21*G108</f>
        <v>1.4157</v>
      </c>
    </row>
    <row r="2729" spans="1:1" ht="11.75" customHeight="1">
      <c r="A2729" s="1989" t="b">
        <f>D108="Measured"</f>
        <v>0</v>
      </c>
    </row>
    <row r="2730" spans="1:1" ht="11.75" customHeight="1">
      <c r="A2730" s="1989">
        <f>G109*D105/D101*3.6</f>
        <v>17.44312813431209</v>
      </c>
    </row>
    <row r="2731" spans="1:1" ht="11.75" customHeight="1">
      <c r="A2731" s="1989">
        <f>G109*D105</f>
        <v>12000</v>
      </c>
    </row>
    <row r="2732" spans="1:1" ht="11.75" customHeight="1">
      <c r="A2732" s="1989">
        <f>D101*3.6</f>
        <v>8915.8319999999985</v>
      </c>
    </row>
    <row r="2733" spans="1:1" ht="11.75" customHeight="1">
      <c r="A2733" s="1989">
        <f>IF(D108="AL-1A",0.89,IF(D108="AL-2A",0.71,IF(D108="AL-3A",0.53,IF(D108="AL-4A",0.35,IF(D108="AL-5A",0.21,IF(D108="AL-1B",1.17,IF(D108="AL-2B",0.98,IF(D108="AL-3B",0.78,IF(D108="AL-4B",0.59,IF(D108="AL-5B",0.39,IF(D108="AL-6B",0.23,IF(D108="PH Classic",0.6*D105/D101*3.6,IF(D108="PH Low",1*D105/D101*3.6,IF(D108="PH+",0.1))))))))))))))</f>
        <v>1.17</v>
      </c>
    </row>
    <row r="2734" spans="1:1" ht="11.75" customHeight="1">
      <c r="A2734" s="1989" t="b">
        <f>D108="AL-1A"</f>
        <v>0</v>
      </c>
    </row>
    <row r="2735" spans="1:1" ht="11.75" customHeight="1">
      <c r="A2735" s="1989">
        <f>IF(D108="AL-2A",0.71,IF(D108="AL-3A",0.53,IF(D108="AL-4A",0.35,IF(D108="AL-5A",0.21,IF(D108="AL-1B",1.17,IF(D108="AL-2B",0.98,IF(D108="AL-3B",0.78,IF(D108="AL-4B",0.59,IF(D108="AL-5B",0.39,IF(D108="AL-6B",0.23,IF(D108="PH Classic",0.6*D105/D101*3.6,IF(D108="PH Low",1*D105/D101*3.6,IF(D108="PH+",0.1)))))))))))))</f>
        <v>1.17</v>
      </c>
    </row>
    <row r="2736" spans="1:1" ht="11.75" customHeight="1">
      <c r="A2736" s="1989" t="b">
        <f>D108="AL-2A"</f>
        <v>0</v>
      </c>
    </row>
    <row r="2737" spans="1:1" ht="11.75" customHeight="1">
      <c r="A2737" s="1989">
        <f>IF(D108="AL-3A",0.53,IF(D108="AL-4A",0.35,IF(D108="AL-5A",0.21,IF(D108="AL-1B",1.17,IF(D108="AL-2B",0.98,IF(D108="AL-3B",0.78,IF(D108="AL-4B",0.59,IF(D108="AL-5B",0.39,IF(D108="AL-6B",0.23,IF(D108="PH Classic",0.6*D105/D101*3.6,IF(D108="PH Low",1*D105/D101*3.6,IF(D108="PH+",0.1))))))))))))</f>
        <v>1.17</v>
      </c>
    </row>
    <row r="2738" spans="1:1" ht="11.75" customHeight="1">
      <c r="A2738" s="1989" t="b">
        <f>D108="AL-3A"</f>
        <v>0</v>
      </c>
    </row>
    <row r="2739" spans="1:1" ht="11.75" customHeight="1">
      <c r="A2739" s="1989">
        <f>IF(D108="AL-4A",0.35,IF(D108="AL-5A",0.21,IF(D108="AL-1B",1.17,IF(D108="AL-2B",0.98,IF(D108="AL-3B",0.78,IF(D108="AL-4B",0.59,IF(D108="AL-5B",0.39,IF(D108="AL-6B",0.23,IF(D108="PH Classic",0.6*D105/D101*3.6,IF(D108="PH Low",1*D105/D101*3.6,IF(D108="PH+",0.1)))))))))))</f>
        <v>1.17</v>
      </c>
    </row>
    <row r="2740" spans="1:1" ht="11.75" customHeight="1">
      <c r="A2740" s="1989" t="b">
        <f>D108="AL-4A"</f>
        <v>0</v>
      </c>
    </row>
    <row r="2741" spans="1:1" ht="11.75" customHeight="1">
      <c r="A2741" s="1989">
        <f>IF(D108="AL-5A",0.21,IF(D108="AL-1B",1.17,IF(D108="AL-2B",0.98,IF(D108="AL-3B",0.78,IF(D108="AL-4B",0.59,IF(D108="AL-5B",0.39,IF(D108="AL-6B",0.23,IF(D108="PH Classic",0.6*D105/D101*3.6,IF(D108="PH Low",1*D105/D101*3.6,IF(D108="PH+",0.1))))))))))</f>
        <v>1.17</v>
      </c>
    </row>
    <row r="2742" spans="1:1" ht="11.75" customHeight="1">
      <c r="A2742" s="1989" t="b">
        <f>D108="AL-5A"</f>
        <v>0</v>
      </c>
    </row>
    <row r="2743" spans="1:1" ht="11.75" customHeight="1">
      <c r="A2743" s="1989">
        <f>IF(D108="AL-1B",1.17,IF(D108="AL-2B",0.98,IF(D108="AL-3B",0.78,IF(D108="AL-4B",0.59,IF(D108="AL-5B",0.39,IF(D108="AL-6B",0.23,IF(D108="PH Classic",0.6*D105/D101*3.6,IF(D108="PH Low",1*D105/D101*3.6,IF(D108="PH+",0.1)))))))))</f>
        <v>1.17</v>
      </c>
    </row>
    <row r="2744" spans="1:1" ht="11.75" customHeight="1">
      <c r="A2744" s="1989">
        <f>IF(H20="Present",VLOOKUP(H19,CANADA!A6:K699,9,FALSE),VLOOKUP(H19,CANADA!A6:K699,11,FALSE))</f>
        <v>4600</v>
      </c>
    </row>
    <row r="2745" spans="1:1" ht="11.75" customHeight="1">
      <c r="A2745" s="1989">
        <f>MATCH('NRL50-n-Factors'!D34,'NRL50-n-Factors'!C38:C49,0)</f>
        <v>5</v>
      </c>
    </row>
    <row r="2746" spans="1:1" ht="11.75" customHeight="1">
      <c r="A2746" s="1989">
        <f>MATCH(REPORT!D103,'NRL50-n-Factors'!D37:J37,0)</f>
        <v>2</v>
      </c>
    </row>
    <row r="2747" spans="1:1" ht="11.75" customHeight="1">
      <c r="A2747" s="1989" t="b">
        <f>D51="Gas"</f>
        <v>0</v>
      </c>
    </row>
    <row r="2748" spans="1:1" ht="11.75" customHeight="1">
      <c r="A2748" s="1989">
        <f>D$20*G101*24</f>
        <v>30728.853316304834</v>
      </c>
    </row>
    <row r="2749" spans="1:1" ht="11.75" customHeight="1">
      <c r="A2749" s="1989">
        <f>SUM(H65:H67)</f>
        <v>84390.33600000001</v>
      </c>
    </row>
    <row r="2750" spans="1:1" ht="11.75" customHeight="1">
      <c r="A2750" s="1989">
        <f>IF(D113="Heatpump",K51+D117+D114+M43+H70,IF(D113="Gas",K51+D117+M43+H70))</f>
        <v>132765.64793897627</v>
      </c>
    </row>
    <row r="2751" spans="1:1" ht="11.75" customHeight="1">
      <c r="A2751" s="1989" t="b">
        <f>D113="Heatpump"</f>
        <v>1</v>
      </c>
    </row>
    <row r="2752" spans="1:1" ht="11.75" customHeight="1">
      <c r="A2752" s="1990">
        <f>K51+D117+D114+M43+H70</f>
        <v>132765.64793897627</v>
      </c>
    </row>
    <row r="2753" spans="1:1" ht="11.75" customHeight="1">
      <c r="A2753" s="1989" t="b">
        <f>IF(D113="Gas",K51+D117+M43+H70)</f>
        <v>0</v>
      </c>
    </row>
    <row r="2754" spans="1:1" ht="11.75" customHeight="1">
      <c r="A2754" s="1989">
        <f>SUM(D44:D46)</f>
        <v>0</v>
      </c>
    </row>
    <row r="2755" spans="1:1" ht="11.75" customHeight="1">
      <c r="A2755" s="1990">
        <f>I44+I45</f>
        <v>0</v>
      </c>
    </row>
    <row r="2756" spans="1:1" ht="11.75" customHeight="1">
      <c r="A2756" s="1989">
        <f>H28*0.0373</f>
        <v>0</v>
      </c>
    </row>
    <row r="2757" spans="1:1" ht="11.75" customHeight="1">
      <c r="A2757" s="1989">
        <f>H30*36.72</f>
        <v>0</v>
      </c>
    </row>
    <row r="2758" spans="1:1" ht="11.75" customHeight="1">
      <c r="A2758" s="1990">
        <f>H27-D43</f>
        <v>132765.64793897627</v>
      </c>
    </row>
    <row r="2759" spans="1:1" ht="11.75" customHeight="1">
      <c r="A2759" s="1989" t="b">
        <f>D113="Electricity"</f>
        <v>0</v>
      </c>
    </row>
    <row r="2760" spans="1:1" ht="11.75" customHeight="1">
      <c r="A2760" s="1990">
        <f>I103+K51+D117+M121+I101+I102+M43+SUM(H65:H67)</f>
        <v>265287.6445956853</v>
      </c>
    </row>
    <row r="2761" spans="1:1" ht="11.75" customHeight="1">
      <c r="A2761" s="1990">
        <f>I103+K51+D117+M121+I101+I102+M43</f>
        <v>180897.30859568529</v>
      </c>
    </row>
    <row r="2762" spans="1:1" ht="11.75" customHeight="1">
      <c r="A2762" s="1990">
        <f>I103+K51+D117+M121+I101+I102</f>
        <v>180897.30859568529</v>
      </c>
    </row>
    <row r="2763" spans="1:1" ht="11.75" customHeight="1">
      <c r="A2763" s="1990">
        <f>I103+K51+D117+M121+I101</f>
        <v>164109.06314703665</v>
      </c>
    </row>
    <row r="2764" spans="1:1" ht="11.75" customHeight="1">
      <c r="A2764" s="1990">
        <f>I103+K51+D117+M121</f>
        <v>88005.3704468098</v>
      </c>
    </row>
    <row r="2765" spans="1:1" ht="11.75" customHeight="1">
      <c r="A2765" s="1990">
        <f>I103+K51+D117</f>
        <v>39024.570446809812</v>
      </c>
    </row>
    <row r="2766" spans="1:1" ht="11.75" customHeight="1">
      <c r="A2766" s="1990">
        <f>I103+K51</f>
        <v>36006.531012790423</v>
      </c>
    </row>
    <row r="2767" spans="1:1" ht="11.75" customHeight="1">
      <c r="A2767" s="1989">
        <f>1.21*G108*D20*24/1000*D101</f>
        <v>387079.06311359996</v>
      </c>
    </row>
    <row r="2768" spans="1:1" ht="11.75" customHeight="1">
      <c r="A2768" s="1989">
        <f>1.21*G108*D20*24/1000</f>
        <v>156.29328000000001</v>
      </c>
    </row>
    <row r="2769" spans="1:1" ht="11.75" customHeight="1">
      <c r="A2769" s="1989">
        <f>1.21*G108*D20*24</f>
        <v>156293.28</v>
      </c>
    </row>
    <row r="2770" spans="1:1" ht="11.75" customHeight="1">
      <c r="A2770" s="1989">
        <f>1.21*G108*D20</f>
        <v>6512.22</v>
      </c>
    </row>
    <row r="2771" spans="1:1" ht="11.75" customHeight="1">
      <c r="A2771" s="1989">
        <f>1.21*G108</f>
        <v>1.4157</v>
      </c>
    </row>
    <row r="2772" spans="1:1" ht="11.75" customHeight="1">
      <c r="A2772" s="1989" t="b">
        <f>D108="Measured"</f>
        <v>0</v>
      </c>
    </row>
    <row r="2773" spans="1:1" ht="11.75" customHeight="1">
      <c r="A2773" s="1989">
        <f>G109*D105/D101*3.6</f>
        <v>17.44312813431209</v>
      </c>
    </row>
    <row r="2774" spans="1:1" ht="11.75" customHeight="1">
      <c r="A2774" s="1989">
        <f>G109*D105</f>
        <v>12000</v>
      </c>
    </row>
    <row r="2775" spans="1:1" ht="11.75" customHeight="1">
      <c r="A2775" s="1989">
        <f>D101*3.6</f>
        <v>8915.8319999999985</v>
      </c>
    </row>
    <row r="2776" spans="1:1" ht="11.75" customHeight="1">
      <c r="A2776" s="1989">
        <f>IF(D108="AL-1A",0.89,IF(D108="AL-2A",0.71,IF(D108="AL-3A",0.53,IF(D108="AL-4A",0.35,IF(D108="AL-5A",0.21,IF(D108="AL-1B",1.17,IF(D108="AL-2B",0.98,IF(D108="AL-3B",0.78,IF(D108="AL-4B",0.59,IF(D108="AL-5B",0.39,IF(D108="AL-6B",0.23,IF(D108="PH Classic",0.6*D105/D101*3.6,IF(D108="PH Low",1*D105/D101*3.6,IF(D108="PH+",0.1))))))))))))))</f>
        <v>1.17</v>
      </c>
    </row>
    <row r="2777" spans="1:1" ht="11.75" customHeight="1">
      <c r="A2777" s="1989" t="b">
        <f>D108="AL-1A"</f>
        <v>0</v>
      </c>
    </row>
    <row r="2778" spans="1:1" ht="11.75" customHeight="1">
      <c r="A2778" s="1989">
        <f>IF(D108="AL-2A",0.71,IF(D108="AL-3A",0.53,IF(D108="AL-4A",0.35,IF(D108="AL-5A",0.21,IF(D108="AL-1B",1.17,IF(D108="AL-2B",0.98,IF(D108="AL-3B",0.78,IF(D108="AL-4B",0.59,IF(D108="AL-5B",0.39,IF(D108="AL-6B",0.23,IF(D108="PH Classic",0.6*D105/D101*3.6,IF(D108="PH Low",1*D105/D101*3.6,IF(D108="PH+",0.1)))))))))))))</f>
        <v>1.17</v>
      </c>
    </row>
    <row r="2779" spans="1:1" ht="11.75" customHeight="1">
      <c r="A2779" s="1989" t="b">
        <f>D108="AL-2A"</f>
        <v>0</v>
      </c>
    </row>
    <row r="2780" spans="1:1" ht="11.75" customHeight="1">
      <c r="A2780" s="1989">
        <f>IF(D108="AL-3A",0.53,IF(D108="AL-4A",0.35,IF(D108="AL-5A",0.21,IF(D108="AL-1B",1.17,IF(D108="AL-2B",0.98,IF(D108="AL-3B",0.78,IF(D108="AL-4B",0.59,IF(D108="AL-5B",0.39,IF(D108="AL-6B",0.23,IF(D108="PH Classic",0.6*D105/D101*3.6,IF(D108="PH Low",1*D105/D101*3.6,IF(D108="PH+",0.1))))))))))))</f>
        <v>1.17</v>
      </c>
    </row>
    <row r="2781" spans="1:1" ht="11.75" customHeight="1">
      <c r="A2781" s="1989" t="b">
        <f>D108="AL-3A"</f>
        <v>0</v>
      </c>
    </row>
    <row r="2782" spans="1:1" ht="11.75" customHeight="1">
      <c r="A2782" s="1989">
        <f>IF(D108="AL-4A",0.35,IF(D108="AL-5A",0.21,IF(D108="AL-1B",1.17,IF(D108="AL-2B",0.98,IF(D108="AL-3B",0.78,IF(D108="AL-4B",0.59,IF(D108="AL-5B",0.39,IF(D108="AL-6B",0.23,IF(D108="PH Classic",0.6*D105/D101*3.6,IF(D108="PH Low",1*D105/D101*3.6,IF(D108="PH+",0.1)))))))))))</f>
        <v>1.17</v>
      </c>
    </row>
    <row r="2783" spans="1:1" ht="11.75" customHeight="1">
      <c r="A2783" s="1989" t="b">
        <f>D108="AL-4A"</f>
        <v>0</v>
      </c>
    </row>
    <row r="2784" spans="1:1" ht="11.75" customHeight="1">
      <c r="A2784" s="1989">
        <f>IF(D108="AL-5A",0.21,IF(D108="AL-1B",1.17,IF(D108="AL-2B",0.98,IF(D108="AL-3B",0.78,IF(D108="AL-4B",0.59,IF(D108="AL-5B",0.39,IF(D108="AL-6B",0.23,IF(D108="PH Classic",0.6*D105/D101*3.6,IF(D108="PH Low",1*D105/D101*3.6,IF(D108="PH+",0.1))))))))))</f>
        <v>1.17</v>
      </c>
    </row>
    <row r="2785" spans="1:1" ht="11.75" customHeight="1">
      <c r="A2785" s="1989" t="b">
        <f>D108="AL-5A"</f>
        <v>0</v>
      </c>
    </row>
    <row r="2786" spans="1:1" ht="11.75" customHeight="1">
      <c r="A2786" s="1989">
        <f>IF(D108="AL-1B",1.17,IF(D108="AL-2B",0.98,IF(D108="AL-3B",0.78,IF(D108="AL-4B",0.59,IF(D108="AL-5B",0.39,IF(D108="AL-6B",0.23,IF(D108="PH Classic",0.6*D105/D101*3.6,IF(D108="PH Low",1*D105/D101*3.6,IF(D108="PH+",0.1)))))))))</f>
        <v>1.17</v>
      </c>
    </row>
    <row r="2787" spans="1:1" ht="11.75" customHeight="1">
      <c r="A2787" s="1989">
        <f>IF(H20="Present",VLOOKUP(H19,CANADA!A6:K699,9,FALSE),VLOOKUP(H19,CANADA!A6:K699,11,FALSE))</f>
        <v>4600</v>
      </c>
    </row>
    <row r="2788" spans="1:1" ht="11.75" customHeight="1">
      <c r="A2788" s="1989">
        <f>MATCH('NRL50-n-Factors'!D34,'NRL50-n-Factors'!C38:C49,0)</f>
        <v>5</v>
      </c>
    </row>
    <row r="2789" spans="1:1" ht="11.75" customHeight="1">
      <c r="A2789" s="1989">
        <f>MATCH(REPORT!D103,'NRL50-n-Factors'!D37:J37,0)</f>
        <v>2</v>
      </c>
    </row>
    <row r="2790" spans="1:1" ht="11.75" customHeight="1">
      <c r="A2790" s="1989" t="b">
        <f>D51="Gas"</f>
        <v>0</v>
      </c>
    </row>
    <row r="2791" spans="1:1" ht="11.75" customHeight="1">
      <c r="A2791" s="1989">
        <f>D$20*G101*24</f>
        <v>30728.853316304834</v>
      </c>
    </row>
    <row r="2792" spans="1:1" ht="11.75" customHeight="1">
      <c r="A2792" s="1989">
        <f>SUM(H65:H67)</f>
        <v>84390.33600000001</v>
      </c>
    </row>
    <row r="2793" spans="1:1" ht="11.75" customHeight="1">
      <c r="A2793" s="1989">
        <f>IF(D113="Heatpump",K51+D117+D114+M43+H70,IF(D113="Gas",K51+D117+M43+H70))</f>
        <v>132765.64793897627</v>
      </c>
    </row>
    <row r="2794" spans="1:1" ht="11.75" customHeight="1">
      <c r="A2794" s="1989" t="b">
        <f>D113="Heatpump"</f>
        <v>1</v>
      </c>
    </row>
    <row r="2795" spans="1:1" ht="11.75" customHeight="1">
      <c r="A2795" s="1990">
        <f>K51+D117+D114+M43+H70</f>
        <v>132765.64793897627</v>
      </c>
    </row>
    <row r="2796" spans="1:1" ht="11.75" customHeight="1">
      <c r="A2796" s="1989" t="b">
        <f>IF(D113="Gas",K51+D117+M43+H70)</f>
        <v>0</v>
      </c>
    </row>
    <row r="2797" spans="1:1" ht="11.75" customHeight="1">
      <c r="A2797" s="1989">
        <f>SUM(D44:D46)</f>
        <v>0</v>
      </c>
    </row>
    <row r="2798" spans="1:1" ht="11.75" customHeight="1">
      <c r="A2798" s="1990">
        <f>I44+I45</f>
        <v>0</v>
      </c>
    </row>
    <row r="2799" spans="1:1" ht="11.75" customHeight="1">
      <c r="A2799" s="1989">
        <f>H28*0.0373</f>
        <v>0</v>
      </c>
    </row>
    <row r="2800" spans="1:1" ht="11.75" customHeight="1">
      <c r="A2800" s="1989">
        <f>H30*36.72</f>
        <v>0</v>
      </c>
    </row>
    <row r="2801" spans="1:1" ht="11.75" customHeight="1">
      <c r="A2801" s="1990">
        <f>H27-D43</f>
        <v>132765.64793897627</v>
      </c>
    </row>
    <row r="2802" spans="1:1" ht="11.75" customHeight="1">
      <c r="A2802" s="1989" t="b">
        <f>D113="Electricity"</f>
        <v>0</v>
      </c>
    </row>
    <row r="2803" spans="1:1" ht="11.75" customHeight="1">
      <c r="A2803" s="1990">
        <f>I103+K51+D117+M121+I101+I102+M43+SUM(H65:H67)</f>
        <v>265287.6445956853</v>
      </c>
    </row>
    <row r="2804" spans="1:1" ht="11.75" customHeight="1">
      <c r="A2804" s="1990">
        <f>I103+K51+D117+M121+I101+I102+M43</f>
        <v>180897.30859568529</v>
      </c>
    </row>
    <row r="2805" spans="1:1" ht="11.75" customHeight="1">
      <c r="A2805" s="1990">
        <f>I103+K51+D117+M121+I101+I102</f>
        <v>180897.30859568529</v>
      </c>
    </row>
    <row r="2806" spans="1:1" ht="11.75" customHeight="1">
      <c r="A2806" s="1990">
        <f>I103+K51+D117+M121+I101</f>
        <v>164109.06314703665</v>
      </c>
    </row>
    <row r="2807" spans="1:1" ht="11.75" customHeight="1">
      <c r="A2807" s="1990">
        <f>I103+K51+D117+M121</f>
        <v>88005.3704468098</v>
      </c>
    </row>
    <row r="2808" spans="1:1" ht="11.75" customHeight="1">
      <c r="A2808" s="1990">
        <f>I103+K51+D117</f>
        <v>39024.570446809812</v>
      </c>
    </row>
    <row r="2809" spans="1:1" ht="11.75" customHeight="1">
      <c r="A2809" s="1990">
        <f>I103+K51</f>
        <v>36006.531012790423</v>
      </c>
    </row>
    <row r="2810" spans="1:1" ht="11.75" customHeight="1">
      <c r="A2810" s="1989">
        <f>1.21*G108*D20*24/1000*D101</f>
        <v>387079.06311359996</v>
      </c>
    </row>
    <row r="2811" spans="1:1" ht="11.75" customHeight="1">
      <c r="A2811" s="1989">
        <f>1.21*G108*D20*24/1000</f>
        <v>156.29328000000001</v>
      </c>
    </row>
    <row r="2812" spans="1:1" ht="11.75" customHeight="1">
      <c r="A2812" s="1989">
        <f>1.21*G108*D20*24</f>
        <v>156293.28</v>
      </c>
    </row>
    <row r="2813" spans="1:1" ht="11.75" customHeight="1">
      <c r="A2813" s="1989">
        <f>1.21*G108*D20</f>
        <v>6512.22</v>
      </c>
    </row>
    <row r="2814" spans="1:1" ht="11.75" customHeight="1">
      <c r="A2814" s="1989">
        <f>1.21*G108</f>
        <v>1.4157</v>
      </c>
    </row>
    <row r="2815" spans="1:1" ht="11.75" customHeight="1">
      <c r="A2815" s="1989" t="b">
        <f>D108="Measured"</f>
        <v>0</v>
      </c>
    </row>
    <row r="2816" spans="1:1" ht="11.75" customHeight="1">
      <c r="A2816" s="1989">
        <f>G109*D105/D101*3.6</f>
        <v>17.44312813431209</v>
      </c>
    </row>
    <row r="2817" spans="1:1" ht="11.75" customHeight="1">
      <c r="A2817" s="1989">
        <f>G109*D105</f>
        <v>12000</v>
      </c>
    </row>
    <row r="2818" spans="1:1" ht="11.75" customHeight="1">
      <c r="A2818" s="1989">
        <f>D101*3.6</f>
        <v>8915.8319999999985</v>
      </c>
    </row>
    <row r="2819" spans="1:1" ht="11.75" customHeight="1">
      <c r="A2819" s="1989">
        <f>IF(D108="AL-1A",0.89,IF(D108="AL-2A",0.71,IF(D108="AL-3A",0.53,IF(D108="AL-4A",0.35,IF(D108="AL-5A",0.21,IF(D108="AL-1B",1.17,IF(D108="AL-2B",0.98,IF(D108="AL-3B",0.78,IF(D108="AL-4B",0.59,IF(D108="AL-5B",0.39,IF(D108="AL-6B",0.23,IF(D108="PH Classic",0.6*D105/D101*3.6,IF(D108="PH Low",1*D105/D101*3.6,IF(D108="PH+",0.1))))))))))))))</f>
        <v>1.17</v>
      </c>
    </row>
    <row r="2820" spans="1:1" ht="11.75" customHeight="1">
      <c r="A2820" s="1989" t="b">
        <f>D108="AL-1A"</f>
        <v>0</v>
      </c>
    </row>
    <row r="2821" spans="1:1" ht="11.75" customHeight="1">
      <c r="A2821" s="1989">
        <f>IF(D108="AL-2A",0.71,IF(D108="AL-3A",0.53,IF(D108="AL-4A",0.35,IF(D108="AL-5A",0.21,IF(D108="AL-1B",1.17,IF(D108="AL-2B",0.98,IF(D108="AL-3B",0.78,IF(D108="AL-4B",0.59,IF(D108="AL-5B",0.39,IF(D108="AL-6B",0.23,IF(D108="PH Classic",0.6*D105/D101*3.6,IF(D108="PH Low",1*D105/D101*3.6,IF(D108="PH+",0.1)))))))))))))</f>
        <v>1.17</v>
      </c>
    </row>
    <row r="2822" spans="1:1" ht="11.75" customHeight="1">
      <c r="A2822" s="1989" t="b">
        <f>D108="AL-2A"</f>
        <v>0</v>
      </c>
    </row>
    <row r="2823" spans="1:1" ht="11.75" customHeight="1">
      <c r="A2823" s="1989">
        <f>IF(D108="AL-3A",0.53,IF(D108="AL-4A",0.35,IF(D108="AL-5A",0.21,IF(D108="AL-1B",1.17,IF(D108="AL-2B",0.98,IF(D108="AL-3B",0.78,IF(D108="AL-4B",0.59,IF(D108="AL-5B",0.39,IF(D108="AL-6B",0.23,IF(D108="PH Classic",0.6*D105/D101*3.6,IF(D108="PH Low",1*D105/D101*3.6,IF(D108="PH+",0.1))))))))))))</f>
        <v>1.17</v>
      </c>
    </row>
    <row r="2824" spans="1:1" ht="11.75" customHeight="1">
      <c r="A2824" s="1989" t="b">
        <f>D108="AL-3A"</f>
        <v>0</v>
      </c>
    </row>
    <row r="2825" spans="1:1" ht="11.75" customHeight="1">
      <c r="A2825" s="1989">
        <f>IF(D108="AL-4A",0.35,IF(D108="AL-5A",0.21,IF(D108="AL-1B",1.17,IF(D108="AL-2B",0.98,IF(D108="AL-3B",0.78,IF(D108="AL-4B",0.59,IF(D108="AL-5B",0.39,IF(D108="AL-6B",0.23,IF(D108="PH Classic",0.6*D105/D101*3.6,IF(D108="PH Low",1*D105/D101*3.6,IF(D108="PH+",0.1)))))))))))</f>
        <v>1.17</v>
      </c>
    </row>
    <row r="2826" spans="1:1" ht="11.75" customHeight="1">
      <c r="A2826" s="1989" t="b">
        <f>D108="AL-4A"</f>
        <v>0</v>
      </c>
    </row>
    <row r="2827" spans="1:1" ht="11.75" customHeight="1">
      <c r="A2827" s="1989">
        <f>IF(D108="AL-5A",0.21,IF(D108="AL-1B",1.17,IF(D108="AL-2B",0.98,IF(D108="AL-3B",0.78,IF(D108="AL-4B",0.59,IF(D108="AL-5B",0.39,IF(D108="AL-6B",0.23,IF(D108="PH Classic",0.6*D105/D101*3.6,IF(D108="PH Low",1*D105/D101*3.6,IF(D108="PH+",0.1))))))))))</f>
        <v>1.17</v>
      </c>
    </row>
    <row r="2828" spans="1:1" ht="11.75" customHeight="1">
      <c r="A2828" s="1989" t="b">
        <f>D108="AL-5A"</f>
        <v>0</v>
      </c>
    </row>
    <row r="2829" spans="1:1" ht="11.75" customHeight="1">
      <c r="A2829" s="1989">
        <f>IF(D108="AL-1B",1.17,IF(D108="AL-2B",0.98,IF(D108="AL-3B",0.78,IF(D108="AL-4B",0.59,IF(D108="AL-5B",0.39,IF(D108="AL-6B",0.23,IF(D108="PH Classic",0.6*D105/D101*3.6,IF(D108="PH Low",1*D105/D101*3.6,IF(D108="PH+",0.1)))))))))</f>
        <v>1.17</v>
      </c>
    </row>
    <row r="2830" spans="1:1" ht="11.75" customHeight="1">
      <c r="A2830" s="1989">
        <f>IF(H20="Present",VLOOKUP(H19,CANADA!A6:K699,9,FALSE),VLOOKUP(H19,CANADA!A6:K699,11,FALSE))</f>
        <v>4600</v>
      </c>
    </row>
    <row r="2831" spans="1:1" ht="11.75" customHeight="1">
      <c r="A2831" s="1989">
        <f>MATCH('NRL50-n-Factors'!D34,'NRL50-n-Factors'!C38:C49,0)</f>
        <v>5</v>
      </c>
    </row>
    <row r="2832" spans="1:1" ht="11.75" customHeight="1">
      <c r="A2832" s="1989">
        <f>MATCH(REPORT!D103,'NRL50-n-Factors'!D37:J37,0)</f>
        <v>2</v>
      </c>
    </row>
    <row r="2833" spans="1:1" ht="11.75" customHeight="1">
      <c r="A2833" s="1989" t="b">
        <f>D51="Gas"</f>
        <v>0</v>
      </c>
    </row>
    <row r="2834" spans="1:1" ht="11.75" customHeight="1">
      <c r="A2834" s="1989">
        <f>D$20*G101*24</f>
        <v>30728.853316304834</v>
      </c>
    </row>
    <row r="2835" spans="1:1" ht="11.75" customHeight="1">
      <c r="A2835" s="1989">
        <f>SUM(H65:H67)</f>
        <v>84390.33600000001</v>
      </c>
    </row>
    <row r="2836" spans="1:1" ht="11.75" customHeight="1">
      <c r="A2836" s="1989">
        <f>IF(D113="Heatpump",K51+D117+D114+M43+H70,IF(D113="Gas",K51+D117+M43+H70))</f>
        <v>132765.64793897627</v>
      </c>
    </row>
    <row r="2837" spans="1:1" ht="11.75" customHeight="1">
      <c r="A2837" s="1989" t="b">
        <f>D113="Heatpump"</f>
        <v>1</v>
      </c>
    </row>
    <row r="2838" spans="1:1" ht="11.75" customHeight="1">
      <c r="A2838" s="1990">
        <f>K51+D117+D114+M43+H70</f>
        <v>132765.64793897627</v>
      </c>
    </row>
    <row r="2839" spans="1:1" ht="11.75" customHeight="1">
      <c r="A2839" s="1989" t="b">
        <f>IF(D113="Gas",K51+D117+M43+H70)</f>
        <v>0</v>
      </c>
    </row>
    <row r="2840" spans="1:1" ht="11.75" customHeight="1">
      <c r="A2840" s="1989">
        <f>SUM(D44:D46)</f>
        <v>0</v>
      </c>
    </row>
    <row r="2841" spans="1:1" ht="11.75" customHeight="1">
      <c r="A2841" s="1990">
        <f>I44+I45</f>
        <v>0</v>
      </c>
    </row>
    <row r="2842" spans="1:1" ht="11.75" customHeight="1">
      <c r="A2842" s="1989">
        <f>H28*0.0373</f>
        <v>0</v>
      </c>
    </row>
    <row r="2843" spans="1:1" ht="11.75" customHeight="1">
      <c r="A2843" s="1989">
        <f>H30*36.72</f>
        <v>0</v>
      </c>
    </row>
    <row r="2844" spans="1:1" ht="11.75" customHeight="1">
      <c r="A2844" s="1990">
        <f>H27-D43</f>
        <v>132765.64793897627</v>
      </c>
    </row>
    <row r="2845" spans="1:1" ht="11.75" customHeight="1">
      <c r="A2845" s="1989" t="b">
        <f>D113="Electricity"</f>
        <v>0</v>
      </c>
    </row>
    <row r="2846" spans="1:1" ht="11.75" customHeight="1">
      <c r="A2846" s="1990">
        <f>I103+K51+D117+M121+I101+I102+M43+SUM(H65:H67)</f>
        <v>265287.6445956853</v>
      </c>
    </row>
    <row r="2847" spans="1:1" ht="11.75" customHeight="1">
      <c r="A2847" s="1990">
        <f>I103+K51+D117+M121+I101+I102+M43</f>
        <v>180897.30859568529</v>
      </c>
    </row>
    <row r="2848" spans="1:1" ht="11.75" customHeight="1">
      <c r="A2848" s="1990">
        <f>I103+K51+D117+M121+I101+I102</f>
        <v>180897.30859568529</v>
      </c>
    </row>
    <row r="2849" spans="1:1" ht="11.75" customHeight="1">
      <c r="A2849" s="1990">
        <f>I103+K51+D117+M121+I101</f>
        <v>164109.06314703665</v>
      </c>
    </row>
    <row r="2850" spans="1:1" ht="11.75" customHeight="1">
      <c r="A2850" s="1990">
        <f>I103+K51+D117+M121</f>
        <v>88005.3704468098</v>
      </c>
    </row>
    <row r="2851" spans="1:1" ht="11.75" customHeight="1">
      <c r="A2851" s="1990">
        <f>I103+K51+D117</f>
        <v>39024.570446809812</v>
      </c>
    </row>
    <row r="2852" spans="1:1" ht="11.75" customHeight="1">
      <c r="A2852" s="1990">
        <f>I103+K51</f>
        <v>36006.531012790423</v>
      </c>
    </row>
    <row r="2853" spans="1:1" ht="11.75" customHeight="1">
      <c r="A2853" s="1989">
        <f>1.21*G108*D20*24/1000*D101</f>
        <v>387079.06311359996</v>
      </c>
    </row>
    <row r="2854" spans="1:1" ht="11.75" customHeight="1">
      <c r="A2854" s="1989">
        <f>1.21*G108*D20*24/1000</f>
        <v>156.29328000000001</v>
      </c>
    </row>
    <row r="2855" spans="1:1" ht="11.75" customHeight="1">
      <c r="A2855" s="1989">
        <f>1.21*G108*D20*24</f>
        <v>156293.28</v>
      </c>
    </row>
    <row r="2856" spans="1:1" ht="11.75" customHeight="1">
      <c r="A2856" s="1989">
        <f>1.21*G108*D20</f>
        <v>6512.22</v>
      </c>
    </row>
    <row r="2857" spans="1:1" ht="11.75" customHeight="1">
      <c r="A2857" s="1989">
        <f>1.21*G108</f>
        <v>1.4157</v>
      </c>
    </row>
    <row r="2858" spans="1:1" ht="11.75" customHeight="1">
      <c r="A2858" s="1989" t="b">
        <f>D108="Measured"</f>
        <v>0</v>
      </c>
    </row>
    <row r="2859" spans="1:1" ht="11.75" customHeight="1">
      <c r="A2859" s="1989">
        <f>G109*D105/D101*3.6</f>
        <v>17.44312813431209</v>
      </c>
    </row>
    <row r="2860" spans="1:1" ht="11.75" customHeight="1">
      <c r="A2860" s="1989">
        <f>G109*D105</f>
        <v>12000</v>
      </c>
    </row>
    <row r="2861" spans="1:1" ht="11.75" customHeight="1">
      <c r="A2861" s="1989">
        <f>D101*3.6</f>
        <v>8915.8319999999985</v>
      </c>
    </row>
    <row r="2862" spans="1:1" ht="11.75" customHeight="1">
      <c r="A2862" s="1989">
        <f>IF(D108="AL-1A",0.89,IF(D108="AL-2A",0.71,IF(D108="AL-3A",0.53,IF(D108="AL-4A",0.35,IF(D108="AL-5A",0.21,IF(D108="AL-1B",1.17,IF(D108="AL-2B",0.98,IF(D108="AL-3B",0.78,IF(D108="AL-4B",0.59,IF(D108="AL-5B",0.39,IF(D108="AL-6B",0.23,IF(D108="PH Classic",0.6*D105/D101*3.6,IF(D108="PH Low",1*D105/D101*3.6,IF(D108="PH+",0.1))))))))))))))</f>
        <v>1.17</v>
      </c>
    </row>
    <row r="2863" spans="1:1" ht="11.75" customHeight="1">
      <c r="A2863" s="1989" t="b">
        <f>D108="AL-1A"</f>
        <v>0</v>
      </c>
    </row>
    <row r="2864" spans="1:1" ht="11.75" customHeight="1">
      <c r="A2864" s="1989">
        <f>IF(D108="AL-2A",0.71,IF(D108="AL-3A",0.53,IF(D108="AL-4A",0.35,IF(D108="AL-5A",0.21,IF(D108="AL-1B",1.17,IF(D108="AL-2B",0.98,IF(D108="AL-3B",0.78,IF(D108="AL-4B",0.59,IF(D108="AL-5B",0.39,IF(D108="AL-6B",0.23,IF(D108="PH Classic",0.6*D105/D101*3.6,IF(D108="PH Low",1*D105/D101*3.6,IF(D108="PH+",0.1)))))))))))))</f>
        <v>1.17</v>
      </c>
    </row>
    <row r="2865" spans="1:1" ht="11.75" customHeight="1">
      <c r="A2865" s="1989" t="b">
        <f>D108="AL-2A"</f>
        <v>0</v>
      </c>
    </row>
    <row r="2866" spans="1:1" ht="11.75" customHeight="1">
      <c r="A2866" s="1989">
        <f>IF(D108="AL-3A",0.53,IF(D108="AL-4A",0.35,IF(D108="AL-5A",0.21,IF(D108="AL-1B",1.17,IF(D108="AL-2B",0.98,IF(D108="AL-3B",0.78,IF(D108="AL-4B",0.59,IF(D108="AL-5B",0.39,IF(D108="AL-6B",0.23,IF(D108="PH Classic",0.6*D105/D101*3.6,IF(D108="PH Low",1*D105/D101*3.6,IF(D108="PH+",0.1))))))))))))</f>
        <v>1.17</v>
      </c>
    </row>
    <row r="2867" spans="1:1" ht="11.75" customHeight="1">
      <c r="A2867" s="1989" t="b">
        <f>D108="AL-3A"</f>
        <v>0</v>
      </c>
    </row>
    <row r="2868" spans="1:1" ht="11.75" customHeight="1">
      <c r="A2868" s="1989">
        <f>IF(D108="AL-4A",0.35,IF(D108="AL-5A",0.21,IF(D108="AL-1B",1.17,IF(D108="AL-2B",0.98,IF(D108="AL-3B",0.78,IF(D108="AL-4B",0.59,IF(D108="AL-5B",0.39,IF(D108="AL-6B",0.23,IF(D108="PH Classic",0.6*D105/D101*3.6,IF(D108="PH Low",1*D105/D101*3.6,IF(D108="PH+",0.1)))))))))))</f>
        <v>1.17</v>
      </c>
    </row>
    <row r="2869" spans="1:1" ht="11.75" customHeight="1">
      <c r="A2869" s="1989" t="b">
        <f>D108="AL-4A"</f>
        <v>0</v>
      </c>
    </row>
    <row r="2870" spans="1:1" ht="11.75" customHeight="1">
      <c r="A2870" s="1989">
        <f>IF(D108="AL-5A",0.21,IF(D108="AL-1B",1.17,IF(D108="AL-2B",0.98,IF(D108="AL-3B",0.78,IF(D108="AL-4B",0.59,IF(D108="AL-5B",0.39,IF(D108="AL-6B",0.23,IF(D108="PH Classic",0.6*D105/D101*3.6,IF(D108="PH Low",1*D105/D101*3.6,IF(D108="PH+",0.1))))))))))</f>
        <v>1.17</v>
      </c>
    </row>
    <row r="2871" spans="1:1" ht="11.75" customHeight="1">
      <c r="A2871" s="1989" t="b">
        <f>D108="AL-5A"</f>
        <v>0</v>
      </c>
    </row>
    <row r="2872" spans="1:1" ht="11.75" customHeight="1">
      <c r="A2872" s="1989">
        <f>IF(D108="AL-1B",1.17,IF(D108="AL-2B",0.98,IF(D108="AL-3B",0.78,IF(D108="AL-4B",0.59,IF(D108="AL-5B",0.39,IF(D108="AL-6B",0.23,IF(D108="PH Classic",0.6*D105/D101*3.6,IF(D108="PH Low",1*D105/D101*3.6,IF(D108="PH+",0.1)))))))))</f>
        <v>1.17</v>
      </c>
    </row>
    <row r="2873" spans="1:1" ht="11.75" customHeight="1">
      <c r="A2873" s="1989" t="b">
        <f>D108="AL-1B"</f>
        <v>1</v>
      </c>
    </row>
    <row r="2874" spans="1:1" ht="11.75" customHeight="1">
      <c r="A2874" s="1989" t="b">
        <f>IF(D108="AL-2B",0.98,IF(D108="AL-3B",0.78,IF(D108="AL-4B",0.59,IF(D108="AL-5B",0.39,IF(D108="AL-6B",0.23,IF(D108="PH Classic",0.6*D105/D101*3.6,IF(D108="PH Low",1*D105/D101*3.6,IF(D108="PH+",0.1))))))))</f>
        <v>0</v>
      </c>
    </row>
    <row r="2875" spans="1:1" ht="11.75" customHeight="1">
      <c r="A2875" s="1989">
        <f>IF(H20="Present",VLOOKUP(H19,CANADA!A6:K699,9,FALSE),VLOOKUP(H19,CANADA!A6:K699,11,FALSE))</f>
        <v>4600</v>
      </c>
    </row>
    <row r="2876" spans="1:1" ht="11.75" customHeight="1">
      <c r="A2876" s="1989">
        <f>MATCH('NRL50-n-Factors'!D34,'NRL50-n-Factors'!C38:C49,0)</f>
        <v>5</v>
      </c>
    </row>
    <row r="2877" spans="1:1" ht="11.75" customHeight="1">
      <c r="A2877" s="1989">
        <f>MATCH(REPORT!D103,'NRL50-n-Factors'!D37:J37,0)</f>
        <v>2</v>
      </c>
    </row>
    <row r="2878" spans="1:1" ht="11.75" customHeight="1">
      <c r="A2878" s="1989" t="b">
        <f>D51="Gas"</f>
        <v>0</v>
      </c>
    </row>
    <row r="2879" spans="1:1" ht="11.75" customHeight="1">
      <c r="A2879" s="1989">
        <f>D$20*G101*24</f>
        <v>30728.853316304834</v>
      </c>
    </row>
    <row r="2880" spans="1:1" ht="11.75" customHeight="1">
      <c r="A2880" s="1989">
        <f>SUM(H65:H67)</f>
        <v>84390.33600000001</v>
      </c>
    </row>
    <row r="2881" spans="1:1" ht="11.75" customHeight="1">
      <c r="A2881" s="1989">
        <f>IF(D113="Heatpump",K51+D117+D114+M43+H70,IF(D113="Gas",K51+D117+M43+H70))</f>
        <v>132765.64793897627</v>
      </c>
    </row>
    <row r="2882" spans="1:1" ht="11.75" customHeight="1">
      <c r="A2882" s="1989" t="b">
        <f>D113="Heatpump"</f>
        <v>1</v>
      </c>
    </row>
    <row r="2883" spans="1:1" ht="11.75" customHeight="1">
      <c r="A2883" s="1990">
        <f>K51+D117+D114+M43+H70</f>
        <v>132765.64793897627</v>
      </c>
    </row>
    <row r="2884" spans="1:1" ht="11.75" customHeight="1">
      <c r="A2884" s="1989" t="b">
        <f>IF(D113="Gas",K51+D117+M43+H70)</f>
        <v>0</v>
      </c>
    </row>
    <row r="2885" spans="1:1" ht="11.75" customHeight="1">
      <c r="A2885" s="1989">
        <f>SUM(D44:D46)</f>
        <v>0</v>
      </c>
    </row>
    <row r="2886" spans="1:1" ht="11.75" customHeight="1">
      <c r="A2886" s="1990">
        <f>I44+I45</f>
        <v>0</v>
      </c>
    </row>
    <row r="2887" spans="1:1" ht="11.75" customHeight="1">
      <c r="A2887" s="1989">
        <f>H28*0.0373</f>
        <v>0</v>
      </c>
    </row>
    <row r="2888" spans="1:1" ht="11.75" customHeight="1">
      <c r="A2888" s="1989">
        <f>H30*36.72</f>
        <v>0</v>
      </c>
    </row>
    <row r="2889" spans="1:1" ht="11.75" customHeight="1">
      <c r="A2889" s="1990">
        <f>H27-D43</f>
        <v>132765.64793897627</v>
      </c>
    </row>
    <row r="2890" spans="1:1" ht="11.75" customHeight="1">
      <c r="A2890" s="1989" t="b">
        <f>D113="Electricity"</f>
        <v>0</v>
      </c>
    </row>
    <row r="2891" spans="1:1" ht="11.75" customHeight="1">
      <c r="A2891" s="1990">
        <f>I103+K51+D117+M121+I101+I102+M43+SUM(H65:H67)</f>
        <v>265287.6445956853</v>
      </c>
    </row>
    <row r="2892" spans="1:1" ht="11.75" customHeight="1">
      <c r="A2892" s="1990">
        <f>I103+K51+D117+M121+I101+I102+M43</f>
        <v>180897.30859568529</v>
      </c>
    </row>
    <row r="2893" spans="1:1" ht="11.75" customHeight="1">
      <c r="A2893" s="1990">
        <f>I103+K51+D117+M121+I101+I102</f>
        <v>180897.30859568529</v>
      </c>
    </row>
    <row r="2894" spans="1:1" ht="11.75" customHeight="1">
      <c r="A2894" s="1990">
        <f>I103+K51+D117+M121+I101</f>
        <v>164109.06314703665</v>
      </c>
    </row>
    <row r="2895" spans="1:1" ht="11.75" customHeight="1">
      <c r="A2895" s="1990">
        <f>I103+K51+D117+M121</f>
        <v>88005.3704468098</v>
      </c>
    </row>
    <row r="2896" spans="1:1" ht="11.75" customHeight="1">
      <c r="A2896" s="1990">
        <f>I103+K51+D117</f>
        <v>39024.570446809812</v>
      </c>
    </row>
    <row r="2897" spans="1:1" ht="11.75" customHeight="1">
      <c r="A2897" s="1990">
        <f>I103+K51</f>
        <v>36006.531012790423</v>
      </c>
    </row>
    <row r="2898" spans="1:1" ht="11.75" customHeight="1">
      <c r="A2898" s="1989">
        <f>1.21*G108*D20*24/1000*D101</f>
        <v>387079.06311359996</v>
      </c>
    </row>
    <row r="2899" spans="1:1" ht="11.75" customHeight="1">
      <c r="A2899" s="1989">
        <f>1.21*G108*D20*24/1000</f>
        <v>156.29328000000001</v>
      </c>
    </row>
    <row r="2900" spans="1:1" ht="11.75" customHeight="1">
      <c r="A2900" s="1989">
        <f>1.21*G108*D20*24</f>
        <v>156293.28</v>
      </c>
    </row>
    <row r="2901" spans="1:1" ht="11.75" customHeight="1">
      <c r="A2901" s="1989">
        <f>1.21*G108*D20</f>
        <v>6512.22</v>
      </c>
    </row>
    <row r="2902" spans="1:1" ht="11.75" customHeight="1">
      <c r="A2902" s="1989">
        <f>1.21*G108</f>
        <v>1.4157</v>
      </c>
    </row>
    <row r="2903" spans="1:1" ht="11.75" customHeight="1">
      <c r="A2903" s="1989" t="b">
        <f>D108="Measured"</f>
        <v>0</v>
      </c>
    </row>
    <row r="2904" spans="1:1" ht="11.75" customHeight="1">
      <c r="A2904" s="1989">
        <f>G109*D105/D101*3.6</f>
        <v>17.44312813431209</v>
      </c>
    </row>
    <row r="2905" spans="1:1" ht="11.75" customHeight="1">
      <c r="A2905" s="1989">
        <f>G109*D105</f>
        <v>12000</v>
      </c>
    </row>
    <row r="2906" spans="1:1" ht="11.75" customHeight="1">
      <c r="A2906" s="1989">
        <f>D101*3.6</f>
        <v>8915.8319999999985</v>
      </c>
    </row>
    <row r="2907" spans="1:1" ht="11.75" customHeight="1">
      <c r="A2907" s="1989">
        <f>IF(D108="AL-1A",0.89,IF(D108="AL-2A",0.71,IF(D108="AL-3A",0.53,IF(D108="AL-4A",0.35,IF(D108="AL-5A",0.21,IF(D108="AL-1B",1.17,IF(D108="AL-2B",0.98,IF(D108="AL-3B",0.78,IF(D108="AL-4B",0.59,IF(D108="AL-5B",0.39,IF(D108="AL-6B",0.23,IF(D108="PH Classic",0.6*D105/D101*3.6,IF(D108="PH Low",1*D105/D101*3.6,IF(D108="PH+",0.1))))))))))))))</f>
        <v>1.17</v>
      </c>
    </row>
    <row r="2908" spans="1:1" ht="11.75" customHeight="1">
      <c r="A2908" s="1989" t="b">
        <f>D108="AL-1A"</f>
        <v>0</v>
      </c>
    </row>
    <row r="2909" spans="1:1" ht="11.75" customHeight="1">
      <c r="A2909" s="1989">
        <f>IF(D108="AL-2A",0.71,IF(D108="AL-3A",0.53,IF(D108="AL-4A",0.35,IF(D108="AL-5A",0.21,IF(D108="AL-1B",1.17,IF(D108="AL-2B",0.98,IF(D108="AL-3B",0.78,IF(D108="AL-4B",0.59,IF(D108="AL-5B",0.39,IF(D108="AL-6B",0.23,IF(D108="PH Classic",0.6*D105/D101*3.6,IF(D108="PH Low",1*D105/D101*3.6,IF(D108="PH+",0.1)))))))))))))</f>
        <v>1.17</v>
      </c>
    </row>
    <row r="2910" spans="1:1" ht="11.75" customHeight="1">
      <c r="A2910" s="1989" t="b">
        <f>D108="AL-2A"</f>
        <v>0</v>
      </c>
    </row>
    <row r="2911" spans="1:1" ht="11.75" customHeight="1">
      <c r="A2911" s="1989">
        <f>IF(D108="AL-3A",0.53,IF(D108="AL-4A",0.35,IF(D108="AL-5A",0.21,IF(D108="AL-1B",1.17,IF(D108="AL-2B",0.98,IF(D108="AL-3B",0.78,IF(D108="AL-4B",0.59,IF(D108="AL-5B",0.39,IF(D108="AL-6B",0.23,IF(D108="PH Classic",0.6*D105/D101*3.6,IF(D108="PH Low",1*D105/D101*3.6,IF(D108="PH+",0.1))))))))))))</f>
        <v>1.17</v>
      </c>
    </row>
    <row r="2912" spans="1:1" ht="11.75" customHeight="1">
      <c r="A2912" s="1989" t="b">
        <f>D108="AL-3A"</f>
        <v>0</v>
      </c>
    </row>
    <row r="2913" spans="1:1" ht="11.75" customHeight="1">
      <c r="A2913" s="1989">
        <f>IF(D108="AL-4A",0.35,IF(D108="AL-5A",0.21,IF(D108="AL-1B",1.17,IF(D108="AL-2B",0.98,IF(D108="AL-3B",0.78,IF(D108="AL-4B",0.59,IF(D108="AL-5B",0.39,IF(D108="AL-6B",0.23,IF(D108="PH Classic",0.6*D105/D101*3.6,IF(D108="PH Low",1*D105/D101*3.6,IF(D108="PH+",0.1)))))))))))</f>
        <v>1.17</v>
      </c>
    </row>
    <row r="2914" spans="1:1" ht="11.75" customHeight="1">
      <c r="A2914" s="1989" t="b">
        <f>D108="AL-4A"</f>
        <v>0</v>
      </c>
    </row>
    <row r="2915" spans="1:1" ht="11.75" customHeight="1">
      <c r="A2915" s="1989">
        <f>IF(D108="AL-5A",0.21,IF(D108="AL-1B",1.17,IF(D108="AL-2B",0.98,IF(D108="AL-3B",0.78,IF(D108="AL-4B",0.59,IF(D108="AL-5B",0.39,IF(D108="AL-6B",0.23,IF(D108="PH Classic",0.6*D105/D101*3.6,IF(D108="PH Low",1*D105/D101*3.6,IF(D108="PH+",0.1))))))))))</f>
        <v>1.17</v>
      </c>
    </row>
    <row r="2916" spans="1:1" ht="11.75" customHeight="1">
      <c r="A2916" s="1989" t="b">
        <f>D108="AL-5A"</f>
        <v>0</v>
      </c>
    </row>
    <row r="2917" spans="1:1" ht="11.75" customHeight="1">
      <c r="A2917" s="1989">
        <f>IF(D108="AL-1B",1.17,IF(D108="AL-2B",0.98,IF(D108="AL-3B",0.78,IF(D108="AL-4B",0.59,IF(D108="AL-5B",0.39,IF(D108="AL-6B",0.23,IF(D108="PH Classic",0.6*D105/D101*3.6,IF(D108="PH Low",1*D105/D101*3.6,IF(D108="PH+",0.1)))))))))</f>
        <v>1.17</v>
      </c>
    </row>
    <row r="2918" spans="1:1" ht="11.75" customHeight="1">
      <c r="A2918" s="1989" t="b">
        <f>D108="AL-1B"</f>
        <v>1</v>
      </c>
    </row>
    <row r="2919" spans="1:1" ht="11.75" customHeight="1">
      <c r="A2919" s="1989" t="b">
        <f>IF(D108="AL-2B",0.98,IF(D108="AL-3B",0.78,IF(D108="AL-4B",0.59,IF(D108="AL-5B",0.39,IF(D108="AL-6B",0.23,IF(D108="PH Classic",0.6*D105/D101*3.6,IF(D108="PH Low",1*D105/D101*3.6,IF(D108="PH+",0.1))))))))</f>
        <v>0</v>
      </c>
    </row>
    <row r="2920" spans="1:1" ht="11.75" customHeight="1">
      <c r="A2920" s="1989">
        <f>IF(H20="Present",VLOOKUP(H19,CANADA!A6:K699,9,FALSE),VLOOKUP(H19,CANADA!A6:K699,11,FALSE))</f>
        <v>4600</v>
      </c>
    </row>
    <row r="2921" spans="1:1" ht="11.75" customHeight="1">
      <c r="A2921" s="1989">
        <f>MATCH('NRL50-n-Factors'!D34,'NRL50-n-Factors'!C38:C49,0)</f>
        <v>5</v>
      </c>
    </row>
    <row r="2922" spans="1:1" ht="11.75" customHeight="1">
      <c r="A2922" s="1989">
        <f>MATCH(REPORT!D103,'NRL50-n-Factors'!D37:J37,0)</f>
        <v>2</v>
      </c>
    </row>
    <row r="2923" spans="1:1" ht="11.75" customHeight="1">
      <c r="A2923" s="1989" t="b">
        <f>D51="Gas"</f>
        <v>0</v>
      </c>
    </row>
    <row r="2924" spans="1:1" ht="11.75" customHeight="1">
      <c r="A2924" s="1989">
        <f>D$20*G101*24</f>
        <v>30728.853316304834</v>
      </c>
    </row>
    <row r="2925" spans="1:1" ht="11.75" customHeight="1">
      <c r="A2925" s="1989">
        <f>SUM(H65:H67)</f>
        <v>84390.33600000001</v>
      </c>
    </row>
    <row r="2926" spans="1:1" ht="11.75" customHeight="1">
      <c r="A2926" s="1989">
        <f>IF(D113="Heatpump",K51+D117+D114+M43+H70,IF(D113="Gas",K51+D117+M43+H70))</f>
        <v>132765.64793897627</v>
      </c>
    </row>
    <row r="2927" spans="1:1" ht="11.75" customHeight="1">
      <c r="A2927" s="1989" t="b">
        <f>D113="Heatpump"</f>
        <v>1</v>
      </c>
    </row>
    <row r="2928" spans="1:1" ht="11.75" customHeight="1">
      <c r="A2928" s="1990">
        <f>K51+D117+D114+M43+H70</f>
        <v>132765.64793897627</v>
      </c>
    </row>
    <row r="2929" spans="1:1" ht="11.75" customHeight="1">
      <c r="A2929" s="1989" t="b">
        <f>IF(D113="Gas",K51+D117+M43+H70)</f>
        <v>0</v>
      </c>
    </row>
    <row r="2930" spans="1:1" ht="11.75" customHeight="1">
      <c r="A2930" s="1989">
        <f>SUM(D44:D46)</f>
        <v>0</v>
      </c>
    </row>
    <row r="2931" spans="1:1" ht="11.75" customHeight="1">
      <c r="A2931" s="1990">
        <f>I44+I45</f>
        <v>0</v>
      </c>
    </row>
    <row r="2932" spans="1:1" ht="11.75" customHeight="1">
      <c r="A2932" s="1989">
        <f>H28*0.0373</f>
        <v>0</v>
      </c>
    </row>
    <row r="2933" spans="1:1" ht="11.75" customHeight="1">
      <c r="A2933" s="1989">
        <f>H30*36.72</f>
        <v>0</v>
      </c>
    </row>
    <row r="2934" spans="1:1" ht="11.75" customHeight="1">
      <c r="A2934" s="1990">
        <f>H27-D43</f>
        <v>132765.64793897627</v>
      </c>
    </row>
    <row r="2935" spans="1:1" ht="11.75" customHeight="1">
      <c r="A2935" s="1989" t="b">
        <f>D113="Electricity"</f>
        <v>0</v>
      </c>
    </row>
    <row r="2936" spans="1:1" ht="11.75" customHeight="1">
      <c r="A2936" s="1990">
        <f>I103+K51+D117+M121+I101+I102+M43+SUM(H65:H67)</f>
        <v>265287.6445956853</v>
      </c>
    </row>
    <row r="2937" spans="1:1" ht="11.75" customHeight="1">
      <c r="A2937" s="1990">
        <f>I103+K51+D117+M121+I101+I102+M43</f>
        <v>180897.30859568529</v>
      </c>
    </row>
    <row r="2938" spans="1:1" ht="11.75" customHeight="1">
      <c r="A2938" s="1990">
        <f>I103+K51+D117+M121+I101+I102</f>
        <v>180897.30859568529</v>
      </c>
    </row>
    <row r="2939" spans="1:1" ht="11.75" customHeight="1">
      <c r="A2939" s="1990">
        <f>I103+K51+D117+M121+I101</f>
        <v>164109.06314703665</v>
      </c>
    </row>
    <row r="2940" spans="1:1" ht="11.75" customHeight="1">
      <c r="A2940" s="1990">
        <f>I103+K51+D117+M121</f>
        <v>88005.3704468098</v>
      </c>
    </row>
    <row r="2941" spans="1:1" ht="11.75" customHeight="1">
      <c r="A2941" s="1990">
        <f>I103+K51+D117</f>
        <v>39024.570446809812</v>
      </c>
    </row>
    <row r="2942" spans="1:1" ht="11.75" customHeight="1">
      <c r="A2942" s="1990">
        <f>I103+K51</f>
        <v>36006.531012790423</v>
      </c>
    </row>
    <row r="2943" spans="1:1" ht="11.75" customHeight="1">
      <c r="A2943" s="1989">
        <f>1.21*G108*D20*24/1000*D101</f>
        <v>387079.06311359996</v>
      </c>
    </row>
    <row r="2944" spans="1:1" ht="11.75" customHeight="1">
      <c r="A2944" s="1989">
        <f>1.21*G108*D20*24/1000</f>
        <v>156.29328000000001</v>
      </c>
    </row>
    <row r="2945" spans="1:1" ht="11.75" customHeight="1">
      <c r="A2945" s="1989">
        <f>1.21*G108*D20*24</f>
        <v>156293.28</v>
      </c>
    </row>
    <row r="2946" spans="1:1" ht="11.75" customHeight="1">
      <c r="A2946" s="1989">
        <f>1.21*G108*D20</f>
        <v>6512.22</v>
      </c>
    </row>
    <row r="2947" spans="1:1" ht="11.75" customHeight="1">
      <c r="A2947" s="1989">
        <f>1.21*G108</f>
        <v>1.4157</v>
      </c>
    </row>
    <row r="2948" spans="1:1" ht="11.75" customHeight="1">
      <c r="A2948" s="1989" t="b">
        <f>D108="Measured"</f>
        <v>0</v>
      </c>
    </row>
    <row r="2949" spans="1:1" ht="11.75" customHeight="1">
      <c r="A2949" s="1989">
        <f>G109*D105/D101*3.6</f>
        <v>17.44312813431209</v>
      </c>
    </row>
    <row r="2950" spans="1:1" ht="11.75" customHeight="1">
      <c r="A2950" s="1989">
        <f>G109*D105</f>
        <v>12000</v>
      </c>
    </row>
    <row r="2951" spans="1:1" ht="11.75" customHeight="1">
      <c r="A2951" s="1989">
        <f>D101*3.6</f>
        <v>8915.8319999999985</v>
      </c>
    </row>
    <row r="2952" spans="1:1" ht="11.75" customHeight="1">
      <c r="A2952" s="1989">
        <f>IF(D108="AL-1A",0.89,IF(D108="AL-2A",0.71,IF(D108="AL-3A",0.53,IF(D108="AL-4A",0.35,IF(D108="AL-5A",0.21,IF(D108="AL-1B",1.17,IF(D108="AL-2B",0.98,IF(D108="AL-3B",0.78,IF(D108="AL-4B",0.59,IF(D108="AL-5B",0.39,IF(D108="AL-6B",0.23,IF(D108="PH Classic",0.6*D105/D101*3.6,IF(D108="PH Low",1*D105/D101*3.6,IF(D108="PH+",0.1))))))))))))))</f>
        <v>1.17</v>
      </c>
    </row>
    <row r="2953" spans="1:1" ht="11.75" customHeight="1">
      <c r="A2953" s="1989" t="b">
        <f>D108="AL-1A"</f>
        <v>0</v>
      </c>
    </row>
    <row r="2954" spans="1:1" ht="11.75" customHeight="1">
      <c r="A2954" s="1989">
        <f>IF(D108="AL-2A",0.71,IF(D108="AL-3A",0.53,IF(D108="AL-4A",0.35,IF(D108="AL-5A",0.21,IF(D108="AL-1B",1.17,IF(D108="AL-2B",0.98,IF(D108="AL-3B",0.78,IF(D108="AL-4B",0.59,IF(D108="AL-5B",0.39,IF(D108="AL-6B",0.23,IF(D108="PH Classic",0.6*D105/D101*3.6,IF(D108="PH Low",1*D105/D101*3.6,IF(D108="PH+",0.1)))))))))))))</f>
        <v>1.17</v>
      </c>
    </row>
    <row r="2955" spans="1:1" ht="11.75" customHeight="1">
      <c r="A2955" s="1989" t="b">
        <f>D108="AL-2A"</f>
        <v>0</v>
      </c>
    </row>
    <row r="2956" spans="1:1" ht="11.75" customHeight="1">
      <c r="A2956" s="1989">
        <f>IF(D108="AL-3A",0.53,IF(D108="AL-4A",0.35,IF(D108="AL-5A",0.21,IF(D108="AL-1B",1.17,IF(D108="AL-2B",0.98,IF(D108="AL-3B",0.78,IF(D108="AL-4B",0.59,IF(D108="AL-5B",0.39,IF(D108="AL-6B",0.23,IF(D108="PH Classic",0.6*D105/D101*3.6,IF(D108="PH Low",1*D105/D101*3.6,IF(D108="PH+",0.1))))))))))))</f>
        <v>1.17</v>
      </c>
    </row>
    <row r="2957" spans="1:1" ht="11.75" customHeight="1">
      <c r="A2957" s="1989" t="b">
        <f>D108="AL-3A"</f>
        <v>0</v>
      </c>
    </row>
    <row r="2958" spans="1:1" ht="11.75" customHeight="1">
      <c r="A2958" s="1989">
        <f>IF(D108="AL-4A",0.35,IF(D108="AL-5A",0.21,IF(D108="AL-1B",1.17,IF(D108="AL-2B",0.98,IF(D108="AL-3B",0.78,IF(D108="AL-4B",0.59,IF(D108="AL-5B",0.39,IF(D108="AL-6B",0.23,IF(D108="PH Classic",0.6*D105/D101*3.6,IF(D108="PH Low",1*D105/D101*3.6,IF(D108="PH+",0.1)))))))))))</f>
        <v>1.17</v>
      </c>
    </row>
    <row r="2959" spans="1:1" ht="11.75" customHeight="1">
      <c r="A2959" s="1989" t="b">
        <f>D108="AL-4A"</f>
        <v>0</v>
      </c>
    </row>
    <row r="2960" spans="1:1" ht="11.75" customHeight="1">
      <c r="A2960" s="1989">
        <f>IF(D108="AL-5A",0.21,IF(D108="AL-1B",1.17,IF(D108="AL-2B",0.98,IF(D108="AL-3B",0.78,IF(D108="AL-4B",0.59,IF(D108="AL-5B",0.39,IF(D108="AL-6B",0.23,IF(D108="PH Classic",0.6*D105/D101*3.6,IF(D108="PH Low",1*D105/D101*3.6,IF(D108="PH+",0.1))))))))))</f>
        <v>1.17</v>
      </c>
    </row>
    <row r="2961" spans="1:1" ht="11.75" customHeight="1">
      <c r="A2961" s="1989" t="b">
        <f>D108="AL-5A"</f>
        <v>0</v>
      </c>
    </row>
    <row r="2962" spans="1:1" ht="11.75" customHeight="1">
      <c r="A2962" s="1989">
        <f>IF(D108="AL-1B",1.17,IF(D108="AL-2B",0.98,IF(D108="AL-3B",0.78,IF(D108="AL-4B",0.59,IF(D108="AL-5B",0.39,IF(D108="AL-6B",0.23,IF(D108="PH Classic",0.6*D105/D101*3.6,IF(D108="PH Low",1*D105/D101*3.6,IF(D108="PH+",0.1)))))))))</f>
        <v>1.17</v>
      </c>
    </row>
    <row r="2963" spans="1:1" ht="11.75" customHeight="1">
      <c r="A2963" s="1989" t="b">
        <f>D108="AL-1B"</f>
        <v>1</v>
      </c>
    </row>
    <row r="2964" spans="1:1" ht="11.75" customHeight="1">
      <c r="A2964" s="1989" t="b">
        <f>IF(D108="AL-2B",0.98,IF(D108="AL-3B",0.78,IF(D108="AL-4B",0.59,IF(D108="AL-5B",0.39,IF(D108="AL-6B",0.23,IF(D108="PH Classic",0.6*D105/D101*3.6,IF(D108="PH Low",1*D105/D101*3.6,IF(D108="PH+",0.1))))))))</f>
        <v>0</v>
      </c>
    </row>
    <row r="2965" spans="1:1" ht="11.75" customHeight="1">
      <c r="A2965" s="1989">
        <f>IF(H20="Present",VLOOKUP(H19,CANADA!A6:K699,9,FALSE),VLOOKUP(H19,CANADA!A6:K699,11,FALSE))</f>
        <v>4600</v>
      </c>
    </row>
    <row r="2966" spans="1:1" ht="11.75" customHeight="1">
      <c r="A2966" s="1989">
        <f>MATCH('NRL50-n-Factors'!D34,'NRL50-n-Factors'!C38:C49,0)</f>
        <v>5</v>
      </c>
    </row>
    <row r="2967" spans="1:1" ht="11.75" customHeight="1">
      <c r="A2967" s="1989">
        <f>MATCH(REPORT!D103,'NRL50-n-Factors'!D37:J37,0)</f>
        <v>2</v>
      </c>
    </row>
    <row r="2968" spans="1:1" ht="11.75" customHeight="1">
      <c r="A2968" s="1989" t="b">
        <f>D51="Gas"</f>
        <v>0</v>
      </c>
    </row>
    <row r="2969" spans="1:1" ht="11.75" customHeight="1">
      <c r="A2969" s="1989">
        <f>D$20*G101*24</f>
        <v>30728.853316304834</v>
      </c>
    </row>
    <row r="2970" spans="1:1" ht="11.75" customHeight="1">
      <c r="A2970" s="1989">
        <f>SUM(H65:H67)</f>
        <v>84390.33600000001</v>
      </c>
    </row>
    <row r="2971" spans="1:1" ht="11.75" customHeight="1">
      <c r="A2971" s="1989">
        <f>IF(D113="Heatpump",K51+D117+D114+M43+H70,IF(D113="Gas",K51+D117+M43+H70))</f>
        <v>132765.64793897627</v>
      </c>
    </row>
    <row r="2972" spans="1:1" ht="11.75" customHeight="1">
      <c r="A2972" s="1989" t="b">
        <f>D113="Heatpump"</f>
        <v>1</v>
      </c>
    </row>
    <row r="2973" spans="1:1" ht="11.75" customHeight="1">
      <c r="A2973" s="1990">
        <f>K51+D117+D114+M43+H70</f>
        <v>132765.64793897627</v>
      </c>
    </row>
    <row r="2974" spans="1:1" ht="11.75" customHeight="1">
      <c r="A2974" s="1989" t="b">
        <f>IF(D113="Gas",K51+D117+M43+H70)</f>
        <v>0</v>
      </c>
    </row>
    <row r="2975" spans="1:1" ht="11.75" customHeight="1">
      <c r="A2975" s="1989">
        <f>SUM(D44:D46)</f>
        <v>0</v>
      </c>
    </row>
    <row r="2976" spans="1:1" ht="11.75" customHeight="1">
      <c r="A2976" s="1990">
        <f>I44+I45</f>
        <v>0</v>
      </c>
    </row>
    <row r="2977" spans="1:1" ht="11.75" customHeight="1">
      <c r="A2977" s="1989">
        <f>H28*0.0373</f>
        <v>0</v>
      </c>
    </row>
    <row r="2978" spans="1:1" ht="11.75" customHeight="1">
      <c r="A2978" s="1989">
        <f>H30*36.72</f>
        <v>0</v>
      </c>
    </row>
    <row r="2979" spans="1:1" ht="11.75" customHeight="1">
      <c r="A2979" s="1990">
        <f>H27-D43</f>
        <v>132765.64793897627</v>
      </c>
    </row>
    <row r="2980" spans="1:1" ht="11.75" customHeight="1">
      <c r="A2980" s="1989" t="b">
        <f>D113="Electricity"</f>
        <v>0</v>
      </c>
    </row>
    <row r="2981" spans="1:1" ht="11.75" customHeight="1">
      <c r="A2981" s="1990">
        <f>I103+K51+D117+M121+I101+I102+M43+SUM(H65:H67)</f>
        <v>265287.6445956853</v>
      </c>
    </row>
    <row r="2982" spans="1:1" ht="11.75" customHeight="1">
      <c r="A2982" s="1990">
        <f>I103+K51+D117+M121+I101+I102+M43</f>
        <v>180897.30859568529</v>
      </c>
    </row>
    <row r="2983" spans="1:1" ht="11.75" customHeight="1">
      <c r="A2983" s="1990">
        <f>I103+K51+D117+M121+I101+I102</f>
        <v>180897.30859568529</v>
      </c>
    </row>
    <row r="2984" spans="1:1" ht="11.75" customHeight="1">
      <c r="A2984" s="1990">
        <f>I103+K51+D117+M121+I101</f>
        <v>164109.06314703665</v>
      </c>
    </row>
    <row r="2985" spans="1:1" ht="11.75" customHeight="1">
      <c r="A2985" s="1990">
        <f>I103+K51+D117+M121</f>
        <v>88005.3704468098</v>
      </c>
    </row>
    <row r="2986" spans="1:1" ht="11.75" customHeight="1">
      <c r="A2986" s="1990">
        <f>I103+K51+D117</f>
        <v>39024.570446809812</v>
      </c>
    </row>
    <row r="2987" spans="1:1" ht="11.75" customHeight="1">
      <c r="A2987" s="1990">
        <f>I103+K51</f>
        <v>36006.531012790423</v>
      </c>
    </row>
    <row r="2988" spans="1:1" ht="11.75" customHeight="1">
      <c r="A2988" s="1989">
        <f>1.21*G108*D20*24/1000*D101</f>
        <v>387079.06311359996</v>
      </c>
    </row>
    <row r="2989" spans="1:1" ht="11.75" customHeight="1">
      <c r="A2989" s="1989">
        <f>1.21*G108*D20*24/1000</f>
        <v>156.29328000000001</v>
      </c>
    </row>
    <row r="2990" spans="1:1" ht="11.75" customHeight="1">
      <c r="A2990" s="1989">
        <f>1.21*G108*D20*24</f>
        <v>156293.28</v>
      </c>
    </row>
    <row r="2991" spans="1:1" ht="11.75" customHeight="1">
      <c r="A2991" s="1989">
        <f>1.21*G108*D20</f>
        <v>6512.22</v>
      </c>
    </row>
    <row r="2992" spans="1:1" ht="11.75" customHeight="1">
      <c r="A2992" s="1989">
        <f>1.21*G108</f>
        <v>1.4157</v>
      </c>
    </row>
    <row r="2993" spans="1:1" ht="11.75" customHeight="1">
      <c r="A2993" s="1989" t="b">
        <f>D108="Measured"</f>
        <v>0</v>
      </c>
    </row>
    <row r="2994" spans="1:1" ht="11.75" customHeight="1">
      <c r="A2994" s="1989">
        <f>G109*D105/D101*3.6</f>
        <v>17.44312813431209</v>
      </c>
    </row>
    <row r="2995" spans="1:1" ht="11.75" customHeight="1">
      <c r="A2995" s="1989">
        <f>G109*D105</f>
        <v>12000</v>
      </c>
    </row>
    <row r="2996" spans="1:1" ht="11.75" customHeight="1">
      <c r="A2996" s="1989">
        <f>D101*3.6</f>
        <v>8915.8319999999985</v>
      </c>
    </row>
    <row r="2997" spans="1:1" ht="11.75" customHeight="1">
      <c r="A2997" s="1989">
        <f>IF(D108="AL-1A",0.89,IF(D108="AL-2A",0.71,IF(D108="AL-3A",0.53,IF(D108="AL-4A",0.35,IF(D108="AL-5A",0.21,IF(D108="AL-1B",1.17,IF(D108="AL-2B",0.98,IF(D108="AL-3B",0.78,IF(D108="AL-4B",0.59,IF(D108="AL-5B",0.39,IF(D108="AL-6B",0.23,IF(D108="PH Classic",0.6*D105/D101*3.6,IF(D108="PH Low",1*D105/D101*3.6,IF(D108="PH+",0.1))))))))))))))</f>
        <v>1.17</v>
      </c>
    </row>
    <row r="2998" spans="1:1" ht="11.75" customHeight="1">
      <c r="A2998" s="1989" t="b">
        <f>D108="AL-1A"</f>
        <v>0</v>
      </c>
    </row>
    <row r="2999" spans="1:1" ht="11.75" customHeight="1">
      <c r="A2999" s="1989">
        <f>IF(D108="AL-2A",0.71,IF(D108="AL-3A",0.53,IF(D108="AL-4A",0.35,IF(D108="AL-5A",0.21,IF(D108="AL-1B",1.17,IF(D108="AL-2B",0.98,IF(D108="AL-3B",0.78,IF(D108="AL-4B",0.59,IF(D108="AL-5B",0.39,IF(D108="AL-6B",0.23,IF(D108="PH Classic",0.6*D105/D101*3.6,IF(D108="PH Low",1*D105/D101*3.6,IF(D108="PH+",0.1)))))))))))))</f>
        <v>1.17</v>
      </c>
    </row>
    <row r="3000" spans="1:1" ht="11.75" customHeight="1">
      <c r="A3000" s="1989" t="b">
        <f>D108="AL-2A"</f>
        <v>0</v>
      </c>
    </row>
    <row r="3001" spans="1:1" ht="11.75" customHeight="1">
      <c r="A3001" s="1989">
        <f>IF(D108="AL-3A",0.53,IF(D108="AL-4A",0.35,IF(D108="AL-5A",0.21,IF(D108="AL-1B",1.17,IF(D108="AL-2B",0.98,IF(D108="AL-3B",0.78,IF(D108="AL-4B",0.59,IF(D108="AL-5B",0.39,IF(D108="AL-6B",0.23,IF(D108="PH Classic",0.6*D105/D101*3.6,IF(D108="PH Low",1*D105/D101*3.6,IF(D108="PH+",0.1))))))))))))</f>
        <v>1.17</v>
      </c>
    </row>
    <row r="3002" spans="1:1" ht="11.75" customHeight="1">
      <c r="A3002" s="1989" t="b">
        <f>D108="AL-3A"</f>
        <v>0</v>
      </c>
    </row>
    <row r="3003" spans="1:1" ht="11.75" customHeight="1">
      <c r="A3003" s="1989">
        <f>IF(D108="AL-4A",0.35,IF(D108="AL-5A",0.21,IF(D108="AL-1B",1.17,IF(D108="AL-2B",0.98,IF(D108="AL-3B",0.78,IF(D108="AL-4B",0.59,IF(D108="AL-5B",0.39,IF(D108="AL-6B",0.23,IF(D108="PH Classic",0.6*D105/D101*3.6,IF(D108="PH Low",1*D105/D101*3.6,IF(D108="PH+",0.1)))))))))))</f>
        <v>1.17</v>
      </c>
    </row>
    <row r="3004" spans="1:1" ht="11.75" customHeight="1">
      <c r="A3004" s="1989" t="b">
        <f>D108="AL-4A"</f>
        <v>0</v>
      </c>
    </row>
    <row r="3005" spans="1:1" ht="11.75" customHeight="1">
      <c r="A3005" s="1989">
        <f>IF(D108="AL-5A",0.21,IF(D108="AL-1B",1.17,IF(D108="AL-2B",0.98,IF(D108="AL-3B",0.78,IF(D108="AL-4B",0.59,IF(D108="AL-5B",0.39,IF(D108="AL-6B",0.23,IF(D108="PH Classic",0.6*D105/D101*3.6,IF(D108="PH Low",1*D105/D101*3.6,IF(D108="PH+",0.1))))))))))</f>
        <v>1.17</v>
      </c>
    </row>
    <row r="3006" spans="1:1" ht="11.75" customHeight="1">
      <c r="A3006" s="1989" t="b">
        <f>D108="AL-5A"</f>
        <v>0</v>
      </c>
    </row>
    <row r="3007" spans="1:1" ht="11.75" customHeight="1">
      <c r="A3007" s="1989">
        <f>IF(D108="AL-1B",1.17,IF(D108="AL-2B",0.98,IF(D108="AL-3B",0.78,IF(D108="AL-4B",0.59,IF(D108="AL-5B",0.39,IF(D108="AL-6B",0.23,IF(D108="PH Classic",0.6*D105/D101*3.6,IF(D108="PH Low",1*D105/D101*3.6,IF(D108="PH+",0.1)))))))))</f>
        <v>1.17</v>
      </c>
    </row>
    <row r="3008" spans="1:1" ht="11.75" customHeight="1">
      <c r="A3008" s="1989" t="b">
        <f>D108="AL-1B"</f>
        <v>1</v>
      </c>
    </row>
    <row r="3009" spans="1:1" ht="11.75" customHeight="1">
      <c r="A3009" s="1989" t="b">
        <f>IF(D108="AL-2B",0.98,IF(D108="AL-3B",0.78,IF(D108="AL-4B",0.59,IF(D108="AL-5B",0.39,IF(D108="AL-6B",0.23,IF(D108="PH Classic",0.6*D105/D101*3.6,IF(D108="PH Low",1*D105/D101*3.6,IF(D108="PH+",0.1))))))))</f>
        <v>0</v>
      </c>
    </row>
    <row r="3010" spans="1:1" ht="11.75" customHeight="1">
      <c r="A3010" s="1989" t="b">
        <f>D108="AL-2B"</f>
        <v>0</v>
      </c>
    </row>
    <row r="3011" spans="1:1" ht="11.75" customHeight="1">
      <c r="A3011" s="1989" t="b">
        <f>IF(D108="AL-3B",0.78,IF(D108="AL-4B",0.59,IF(D108="AL-5B",0.39,IF(D108="AL-6B",0.23,IF(D108="PH Classic",0.6*D105/D101*3.6,IF(D108="PH Low",1*D105/D101*3.6,IF(D108="PH+",0.1)))))))</f>
        <v>0</v>
      </c>
    </row>
    <row r="3012" spans="1:1" ht="11.75" customHeight="1">
      <c r="A3012" s="1989">
        <f>IF(H20="Present",VLOOKUP(H19,CANADA!A6:K699,9,FALSE),VLOOKUP(H19,CANADA!A6:K699,11,FALSE))</f>
        <v>4600</v>
      </c>
    </row>
    <row r="3013" spans="1:1" ht="11.75" customHeight="1">
      <c r="A3013" s="1989">
        <f>MATCH('NRL50-n-Factors'!D34,'NRL50-n-Factors'!C38:C49,0)</f>
        <v>5</v>
      </c>
    </row>
    <row r="3014" spans="1:1" ht="11.75" customHeight="1">
      <c r="A3014" s="1989">
        <f>MATCH(REPORT!D103,'NRL50-n-Factors'!D37:J37,0)</f>
        <v>2</v>
      </c>
    </row>
    <row r="3015" spans="1:1" ht="11.75" customHeight="1">
      <c r="A3015" s="1989" t="b">
        <f>D51="Gas"</f>
        <v>0</v>
      </c>
    </row>
    <row r="3016" spans="1:1" ht="11.75" customHeight="1">
      <c r="A3016" s="1989">
        <f>D$20*G101*24</f>
        <v>30728.853316304834</v>
      </c>
    </row>
    <row r="3017" spans="1:1" ht="11.75" customHeight="1">
      <c r="A3017" s="1989">
        <f>SUM(H65:H67)</f>
        <v>84390.33600000001</v>
      </c>
    </row>
    <row r="3018" spans="1:1" ht="11.75" customHeight="1">
      <c r="A3018" s="1989">
        <f>IF(D113="Heatpump",K51+D117+D114+M43+H70,IF(D113="Gas",K51+D117+M43+H70))</f>
        <v>132765.64793897627</v>
      </c>
    </row>
    <row r="3019" spans="1:1" ht="11.75" customHeight="1">
      <c r="A3019" s="1989" t="b">
        <f>D113="Heatpump"</f>
        <v>1</v>
      </c>
    </row>
    <row r="3020" spans="1:1" ht="11.75" customHeight="1">
      <c r="A3020" s="1990">
        <f>K51+D117+D114+M43+H70</f>
        <v>132765.64793897627</v>
      </c>
    </row>
    <row r="3021" spans="1:1" ht="11.75" customHeight="1">
      <c r="A3021" s="1989" t="b">
        <f>IF(D113="Gas",K51+D117+M43+H70)</f>
        <v>0</v>
      </c>
    </row>
    <row r="3022" spans="1:1" ht="11.75" customHeight="1">
      <c r="A3022" s="1989">
        <f>SUM(D44:D46)</f>
        <v>0</v>
      </c>
    </row>
    <row r="3023" spans="1:1" ht="11.75" customHeight="1">
      <c r="A3023" s="1990">
        <f>I44+I45</f>
        <v>0</v>
      </c>
    </row>
    <row r="3024" spans="1:1" ht="11.75" customHeight="1">
      <c r="A3024" s="1989">
        <f>H28*0.0373</f>
        <v>0</v>
      </c>
    </row>
    <row r="3025" spans="1:1" ht="11.75" customHeight="1">
      <c r="A3025" s="1989">
        <f>H30*36.72</f>
        <v>0</v>
      </c>
    </row>
    <row r="3026" spans="1:1" ht="11.75" customHeight="1">
      <c r="A3026" s="1990">
        <f>H27-D43</f>
        <v>132765.64793897627</v>
      </c>
    </row>
    <row r="3027" spans="1:1" ht="11.75" customHeight="1">
      <c r="A3027" s="1989" t="b">
        <f>D113="Electricity"</f>
        <v>0</v>
      </c>
    </row>
    <row r="3028" spans="1:1" ht="11.75" customHeight="1">
      <c r="A3028" s="1990">
        <f>I103+K51+D117+M121+I101+I102+M43+SUM(H65:H67)</f>
        <v>265287.6445956853</v>
      </c>
    </row>
    <row r="3029" spans="1:1" ht="11.75" customHeight="1">
      <c r="A3029" s="1990">
        <f>I103+K51+D117+M121+I101+I102+M43</f>
        <v>180897.30859568529</v>
      </c>
    </row>
    <row r="3030" spans="1:1" ht="11.75" customHeight="1">
      <c r="A3030" s="1990">
        <f>I103+K51+D117+M121+I101+I102</f>
        <v>180897.30859568529</v>
      </c>
    </row>
    <row r="3031" spans="1:1" ht="11.75" customHeight="1">
      <c r="A3031" s="1990">
        <f>I103+K51+D117+M121+I101</f>
        <v>164109.06314703665</v>
      </c>
    </row>
    <row r="3032" spans="1:1" ht="11.75" customHeight="1">
      <c r="A3032" s="1990">
        <f>I103+K51+D117+M121</f>
        <v>88005.3704468098</v>
      </c>
    </row>
    <row r="3033" spans="1:1" ht="11.75" customHeight="1">
      <c r="A3033" s="1990">
        <f>I103+K51+D117</f>
        <v>39024.570446809812</v>
      </c>
    </row>
    <row r="3034" spans="1:1" ht="11.75" customHeight="1">
      <c r="A3034" s="1990">
        <f>I103+K51</f>
        <v>36006.531012790423</v>
      </c>
    </row>
    <row r="3035" spans="1:1" ht="11.75" customHeight="1">
      <c r="A3035" s="1989">
        <f>1.21*G108*D20*24/1000*D101</f>
        <v>387079.06311359996</v>
      </c>
    </row>
    <row r="3036" spans="1:1" ht="11.75" customHeight="1">
      <c r="A3036" s="1989">
        <f>1.21*G108*D20*24/1000</f>
        <v>156.29328000000001</v>
      </c>
    </row>
    <row r="3037" spans="1:1" ht="11.75" customHeight="1">
      <c r="A3037" s="1989">
        <f>1.21*G108*D20*24</f>
        <v>156293.28</v>
      </c>
    </row>
    <row r="3038" spans="1:1" ht="11.75" customHeight="1">
      <c r="A3038" s="1989">
        <f>1.21*G108*D20</f>
        <v>6512.22</v>
      </c>
    </row>
    <row r="3039" spans="1:1" ht="11.75" customHeight="1">
      <c r="A3039" s="1989">
        <f>1.21*G108</f>
        <v>1.4157</v>
      </c>
    </row>
    <row r="3040" spans="1:1" ht="11.75" customHeight="1">
      <c r="A3040" s="1989" t="b">
        <f>D108="Measured"</f>
        <v>0</v>
      </c>
    </row>
    <row r="3041" spans="1:1" ht="11.75" customHeight="1">
      <c r="A3041" s="1989">
        <f>G109*D105/D101*3.6</f>
        <v>17.44312813431209</v>
      </c>
    </row>
    <row r="3042" spans="1:1" ht="11.75" customHeight="1">
      <c r="A3042" s="1989">
        <f>G109*D105</f>
        <v>12000</v>
      </c>
    </row>
    <row r="3043" spans="1:1" ht="11.75" customHeight="1">
      <c r="A3043" s="1989">
        <f>D101*3.6</f>
        <v>8915.8319999999985</v>
      </c>
    </row>
    <row r="3044" spans="1:1" ht="11.75" customHeight="1">
      <c r="A3044" s="1989">
        <f>IF(D108="AL-1A",0.89,IF(D108="AL-2A",0.71,IF(D108="AL-3A",0.53,IF(D108="AL-4A",0.35,IF(D108="AL-5A",0.21,IF(D108="AL-1B",1.17,IF(D108="AL-2B",0.98,IF(D108="AL-3B",0.78,IF(D108="AL-4B",0.59,IF(D108="AL-5B",0.39,IF(D108="AL-6B",0.23,IF(D108="PH Classic",0.6*D105/D101*3.6,IF(D108="PH Low",1*D105/D101*3.6,IF(D108="PH+",0.1))))))))))))))</f>
        <v>1.17</v>
      </c>
    </row>
    <row r="3045" spans="1:1" ht="11.75" customHeight="1">
      <c r="A3045" s="1989" t="b">
        <f>D108="AL-1A"</f>
        <v>0</v>
      </c>
    </row>
    <row r="3046" spans="1:1" ht="11.75" customHeight="1">
      <c r="A3046" s="1989">
        <f>IF(D108="AL-2A",0.71,IF(D108="AL-3A",0.53,IF(D108="AL-4A",0.35,IF(D108="AL-5A",0.21,IF(D108="AL-1B",1.17,IF(D108="AL-2B",0.98,IF(D108="AL-3B",0.78,IF(D108="AL-4B",0.59,IF(D108="AL-5B",0.39,IF(D108="AL-6B",0.23,IF(D108="PH Classic",0.6*D105/D101*3.6,IF(D108="PH Low",1*D105/D101*3.6,IF(D108="PH+",0.1)))))))))))))</f>
        <v>1.17</v>
      </c>
    </row>
    <row r="3047" spans="1:1" ht="11.75" customHeight="1">
      <c r="A3047" s="1989" t="b">
        <f>D108="AL-2A"</f>
        <v>0</v>
      </c>
    </row>
    <row r="3048" spans="1:1" ht="11.75" customHeight="1">
      <c r="A3048" s="1989">
        <f>IF(D108="AL-3A",0.53,IF(D108="AL-4A",0.35,IF(D108="AL-5A",0.21,IF(D108="AL-1B",1.17,IF(D108="AL-2B",0.98,IF(D108="AL-3B",0.78,IF(D108="AL-4B",0.59,IF(D108="AL-5B",0.39,IF(D108="AL-6B",0.23,IF(D108="PH Classic",0.6*D105/D101*3.6,IF(D108="PH Low",1*D105/D101*3.6,IF(D108="PH+",0.1))))))))))))</f>
        <v>1.17</v>
      </c>
    </row>
    <row r="3049" spans="1:1" ht="11.75" customHeight="1">
      <c r="A3049" s="1989" t="b">
        <f>D108="AL-3A"</f>
        <v>0</v>
      </c>
    </row>
    <row r="3050" spans="1:1" ht="11.75" customHeight="1">
      <c r="A3050" s="1989">
        <f>IF(D108="AL-4A",0.35,IF(D108="AL-5A",0.21,IF(D108="AL-1B",1.17,IF(D108="AL-2B",0.98,IF(D108="AL-3B",0.78,IF(D108="AL-4B",0.59,IF(D108="AL-5B",0.39,IF(D108="AL-6B",0.23,IF(D108="PH Classic",0.6*D105/D101*3.6,IF(D108="PH Low",1*D105/D101*3.6,IF(D108="PH+",0.1)))))))))))</f>
        <v>1.17</v>
      </c>
    </row>
    <row r="3051" spans="1:1" ht="11.75" customHeight="1">
      <c r="A3051" s="1989" t="b">
        <f>D108="AL-4A"</f>
        <v>0</v>
      </c>
    </row>
    <row r="3052" spans="1:1" ht="11.75" customHeight="1">
      <c r="A3052" s="1989">
        <f>IF(D108="AL-5A",0.21,IF(D108="AL-1B",1.17,IF(D108="AL-2B",0.98,IF(D108="AL-3B",0.78,IF(D108="AL-4B",0.59,IF(D108="AL-5B",0.39,IF(D108="AL-6B",0.23,IF(D108="PH Classic",0.6*D105/D101*3.6,IF(D108="PH Low",1*D105/D101*3.6,IF(D108="PH+",0.1))))))))))</f>
        <v>1.17</v>
      </c>
    </row>
    <row r="3053" spans="1:1" ht="11.75" customHeight="1">
      <c r="A3053" s="1989" t="b">
        <f>D108="AL-5A"</f>
        <v>0</v>
      </c>
    </row>
    <row r="3054" spans="1:1" ht="11.75" customHeight="1">
      <c r="A3054" s="1989">
        <f>IF(D108="AL-1B",1.17,IF(D108="AL-2B",0.98,IF(D108="AL-3B",0.78,IF(D108="AL-4B",0.59,IF(D108="AL-5B",0.39,IF(D108="AL-6B",0.23,IF(D108="PH Classic",0.6*D105/D101*3.6,IF(D108="PH Low",1*D105/D101*3.6,IF(D108="PH+",0.1)))))))))</f>
        <v>1.17</v>
      </c>
    </row>
    <row r="3055" spans="1:1" ht="11.75" customHeight="1">
      <c r="A3055" s="1989" t="b">
        <f>D108="AL-1B"</f>
        <v>1</v>
      </c>
    </row>
    <row r="3056" spans="1:1" ht="11.75" customHeight="1">
      <c r="A3056" s="1989" t="b">
        <f>IF(D108="AL-2B",0.98,IF(D108="AL-3B",0.78,IF(D108="AL-4B",0.59,IF(D108="AL-5B",0.39,IF(D108="AL-6B",0.23,IF(D108="PH Classic",0.6*D105/D101*3.6,IF(D108="PH Low",1*D105/D101*3.6,IF(D108="PH+",0.1))))))))</f>
        <v>0</v>
      </c>
    </row>
    <row r="3057" spans="1:1" ht="11.75" customHeight="1">
      <c r="A3057" s="1989" t="b">
        <f>D108="AL-2B"</f>
        <v>0</v>
      </c>
    </row>
    <row r="3058" spans="1:1" ht="11.75" customHeight="1">
      <c r="A3058" s="1989" t="b">
        <f>IF(D108="AL-3B",0.78,IF(D108="AL-4B",0.59,IF(D108="AL-5B",0.39,IF(D108="AL-6B",0.23,IF(D108="PH Classic",0.6*D105/D101*3.6,IF(D108="PH Low",1*D105/D101*3.6,IF(D108="PH+",0.1)))))))</f>
        <v>0</v>
      </c>
    </row>
    <row r="3059" spans="1:1" ht="11.75" customHeight="1">
      <c r="A3059" s="1989">
        <f>IF(H20="Present",VLOOKUP(H19,CANADA!A6:K699,9,FALSE),VLOOKUP(H19,CANADA!A6:K699,11,FALSE))</f>
        <v>4600</v>
      </c>
    </row>
    <row r="3060" spans="1:1" ht="11.75" customHeight="1">
      <c r="A3060" s="1989">
        <f>MATCH('NRL50-n-Factors'!D34,'NRL50-n-Factors'!C38:C49,0)</f>
        <v>5</v>
      </c>
    </row>
    <row r="3061" spans="1:1" ht="11.75" customHeight="1">
      <c r="A3061" s="1989">
        <f>MATCH(REPORT!D103,'NRL50-n-Factors'!D37:J37,0)</f>
        <v>2</v>
      </c>
    </row>
    <row r="3062" spans="1:1" ht="11.75" customHeight="1">
      <c r="A3062" s="1989" t="b">
        <f>D51="Gas"</f>
        <v>0</v>
      </c>
    </row>
    <row r="3063" spans="1:1" ht="11.75" customHeight="1">
      <c r="A3063" s="1989">
        <f>D$20*G101*24</f>
        <v>30728.853316304834</v>
      </c>
    </row>
    <row r="3064" spans="1:1" ht="11.75" customHeight="1">
      <c r="A3064" s="1989">
        <f>SUM(H65:H67)</f>
        <v>84390.33600000001</v>
      </c>
    </row>
    <row r="3065" spans="1:1" ht="11.75" customHeight="1">
      <c r="A3065" s="1989">
        <f>IF(D113="Heatpump",K51+D117+D114+M43+H70,IF(D113="Gas",K51+D117+M43+H70))</f>
        <v>132765.64793897627</v>
      </c>
    </row>
    <row r="3066" spans="1:1" ht="11.75" customHeight="1">
      <c r="A3066" s="1989" t="b">
        <f>D113="Heatpump"</f>
        <v>1</v>
      </c>
    </row>
    <row r="3067" spans="1:1" ht="11.75" customHeight="1">
      <c r="A3067" s="1990">
        <f>K51+D117+D114+M43+H70</f>
        <v>132765.64793897627</v>
      </c>
    </row>
    <row r="3068" spans="1:1" ht="11.75" customHeight="1">
      <c r="A3068" s="1989" t="b">
        <f>IF(D113="Gas",K51+D117+M43+H70)</f>
        <v>0</v>
      </c>
    </row>
    <row r="3069" spans="1:1" ht="11.75" customHeight="1">
      <c r="A3069" s="1989">
        <f>SUM(D44:D46)</f>
        <v>0</v>
      </c>
    </row>
    <row r="3070" spans="1:1" ht="11.75" customHeight="1">
      <c r="A3070" s="1990">
        <f>I44+I45</f>
        <v>0</v>
      </c>
    </row>
    <row r="3071" spans="1:1" ht="11.75" customHeight="1">
      <c r="A3071" s="1989">
        <f>H28*0.0373</f>
        <v>0</v>
      </c>
    </row>
    <row r="3072" spans="1:1" ht="11.75" customHeight="1">
      <c r="A3072" s="1989">
        <f>H30*36.72</f>
        <v>0</v>
      </c>
    </row>
    <row r="3073" spans="1:1" ht="11.75" customHeight="1">
      <c r="A3073" s="1990">
        <f>H27-D43</f>
        <v>132765.64793897627</v>
      </c>
    </row>
    <row r="3074" spans="1:1" ht="11.75" customHeight="1">
      <c r="A3074" s="1989" t="b">
        <f>D113="Electricity"</f>
        <v>0</v>
      </c>
    </row>
    <row r="3075" spans="1:1" ht="11.75" customHeight="1">
      <c r="A3075" s="1990">
        <f>I103+K51+D117+M121+I101+I102+M43+SUM(H65:H67)</f>
        <v>265287.6445956853</v>
      </c>
    </row>
    <row r="3076" spans="1:1" ht="11.75" customHeight="1">
      <c r="A3076" s="1990">
        <f>I103+K51+D117+M121+I101+I102+M43</f>
        <v>180897.30859568529</v>
      </c>
    </row>
    <row r="3077" spans="1:1" ht="11.75" customHeight="1">
      <c r="A3077" s="1990">
        <f>I103+K51+D117+M121+I101+I102</f>
        <v>180897.30859568529</v>
      </c>
    </row>
    <row r="3078" spans="1:1" ht="11.75" customHeight="1">
      <c r="A3078" s="1990">
        <f>I103+K51+D117+M121+I101</f>
        <v>164109.06314703665</v>
      </c>
    </row>
    <row r="3079" spans="1:1" ht="11.75" customHeight="1">
      <c r="A3079" s="1990">
        <f>I103+K51+D117+M121</f>
        <v>88005.3704468098</v>
      </c>
    </row>
    <row r="3080" spans="1:1" ht="11.75" customHeight="1">
      <c r="A3080" s="1990">
        <f>I103+K51+D117</f>
        <v>39024.570446809812</v>
      </c>
    </row>
    <row r="3081" spans="1:1" ht="11.75" customHeight="1">
      <c r="A3081" s="1990">
        <f>I103+K51</f>
        <v>36006.531012790423</v>
      </c>
    </row>
    <row r="3082" spans="1:1" ht="11.75" customHeight="1">
      <c r="A3082" s="1989">
        <f>1.21*G108*D20*24/1000*D101</f>
        <v>387079.06311359996</v>
      </c>
    </row>
    <row r="3083" spans="1:1" ht="11.75" customHeight="1">
      <c r="A3083" s="1989">
        <f>1.21*G108*D20*24/1000</f>
        <v>156.29328000000001</v>
      </c>
    </row>
    <row r="3084" spans="1:1" ht="11.75" customHeight="1">
      <c r="A3084" s="1989">
        <f>1.21*G108*D20*24</f>
        <v>156293.28</v>
      </c>
    </row>
    <row r="3085" spans="1:1" ht="11.75" customHeight="1">
      <c r="A3085" s="1989">
        <f>1.21*G108*D20</f>
        <v>6512.22</v>
      </c>
    </row>
    <row r="3086" spans="1:1" ht="11.75" customHeight="1">
      <c r="A3086" s="1989">
        <f>1.21*G108</f>
        <v>1.4157</v>
      </c>
    </row>
    <row r="3087" spans="1:1" ht="11.75" customHeight="1">
      <c r="A3087" s="1989" t="b">
        <f>D108="Measured"</f>
        <v>0</v>
      </c>
    </row>
    <row r="3088" spans="1:1" ht="11.75" customHeight="1">
      <c r="A3088" s="1989">
        <f>G109*D105/D101*3.6</f>
        <v>17.44312813431209</v>
      </c>
    </row>
    <row r="3089" spans="1:1" ht="11.75" customHeight="1">
      <c r="A3089" s="1989">
        <f>G109*D105</f>
        <v>12000</v>
      </c>
    </row>
    <row r="3090" spans="1:1" ht="11.75" customHeight="1">
      <c r="A3090" s="1989">
        <f>D101*3.6</f>
        <v>8915.8319999999985</v>
      </c>
    </row>
    <row r="3091" spans="1:1" ht="11.75" customHeight="1">
      <c r="A3091" s="1989">
        <f>IF(D108="AL-1A",0.89,IF(D108="AL-2A",0.71,IF(D108="AL-3A",0.53,IF(D108="AL-4A",0.35,IF(D108="AL-5A",0.21,IF(D108="AL-1B",1.17,IF(D108="AL-2B",0.98,IF(D108="AL-3B",0.78,IF(D108="AL-4B",0.59,IF(D108="AL-5B",0.39,IF(D108="AL-6B",0.23,IF(D108="PH Classic",0.6*D105/D101*3.6,IF(D108="PH Low",1*D105/D101*3.6,IF(D108="PH+",0.1))))))))))))))</f>
        <v>1.17</v>
      </c>
    </row>
    <row r="3092" spans="1:1" ht="11.75" customHeight="1">
      <c r="A3092" s="1989" t="b">
        <f>D108="AL-1A"</f>
        <v>0</v>
      </c>
    </row>
    <row r="3093" spans="1:1" ht="11.75" customHeight="1">
      <c r="A3093" s="1989">
        <f>IF(D108="AL-2A",0.71,IF(D108="AL-3A",0.53,IF(D108="AL-4A",0.35,IF(D108="AL-5A",0.21,IF(D108="AL-1B",1.17,IF(D108="AL-2B",0.98,IF(D108="AL-3B",0.78,IF(D108="AL-4B",0.59,IF(D108="AL-5B",0.39,IF(D108="AL-6B",0.23,IF(D108="PH Classic",0.6*D105/D101*3.6,IF(D108="PH Low",1*D105/D101*3.6,IF(D108="PH+",0.1)))))))))))))</f>
        <v>1.17</v>
      </c>
    </row>
    <row r="3094" spans="1:1" ht="11.75" customHeight="1">
      <c r="A3094" s="1989" t="b">
        <f>D108="AL-2A"</f>
        <v>0</v>
      </c>
    </row>
    <row r="3095" spans="1:1" ht="11.75" customHeight="1">
      <c r="A3095" s="1989">
        <f>IF(D108="AL-3A",0.53,IF(D108="AL-4A",0.35,IF(D108="AL-5A",0.21,IF(D108="AL-1B",1.17,IF(D108="AL-2B",0.98,IF(D108="AL-3B",0.78,IF(D108="AL-4B",0.59,IF(D108="AL-5B",0.39,IF(D108="AL-6B",0.23,IF(D108="PH Classic",0.6*D105/D101*3.6,IF(D108="PH Low",1*D105/D101*3.6,IF(D108="PH+",0.1))))))))))))</f>
        <v>1.17</v>
      </c>
    </row>
    <row r="3096" spans="1:1" ht="11.75" customHeight="1">
      <c r="A3096" s="1989" t="b">
        <f>D108="AL-3A"</f>
        <v>0</v>
      </c>
    </row>
    <row r="3097" spans="1:1" ht="11.75" customHeight="1">
      <c r="A3097" s="1989">
        <f>IF(D108="AL-4A",0.35,IF(D108="AL-5A",0.21,IF(D108="AL-1B",1.17,IF(D108="AL-2B",0.98,IF(D108="AL-3B",0.78,IF(D108="AL-4B",0.59,IF(D108="AL-5B",0.39,IF(D108="AL-6B",0.23,IF(D108="PH Classic",0.6*D105/D101*3.6,IF(D108="PH Low",1*D105/D101*3.6,IF(D108="PH+",0.1)))))))))))</f>
        <v>1.17</v>
      </c>
    </row>
    <row r="3098" spans="1:1" ht="11.75" customHeight="1">
      <c r="A3098" s="1989" t="b">
        <f>D108="AL-4A"</f>
        <v>0</v>
      </c>
    </row>
    <row r="3099" spans="1:1" ht="11.75" customHeight="1">
      <c r="A3099" s="1989">
        <f>IF(D108="AL-5A",0.21,IF(D108="AL-1B",1.17,IF(D108="AL-2B",0.98,IF(D108="AL-3B",0.78,IF(D108="AL-4B",0.59,IF(D108="AL-5B",0.39,IF(D108="AL-6B",0.23,IF(D108="PH Classic",0.6*D105/D101*3.6,IF(D108="PH Low",1*D105/D101*3.6,IF(D108="PH+",0.1))))))))))</f>
        <v>1.17</v>
      </c>
    </row>
    <row r="3100" spans="1:1" ht="11.75" customHeight="1">
      <c r="A3100" s="1989" t="b">
        <f>D108="AL-5A"</f>
        <v>0</v>
      </c>
    </row>
    <row r="3101" spans="1:1" ht="11.75" customHeight="1">
      <c r="A3101" s="1989">
        <f>IF(D108="AL-1B",1.17,IF(D108="AL-2B",0.98,IF(D108="AL-3B",0.78,IF(D108="AL-4B",0.59,IF(D108="AL-5B",0.39,IF(D108="AL-6B",0.23,IF(D108="PH Classic",0.6*D105/D101*3.6,IF(D108="PH Low",1*D105/D101*3.6,IF(D108="PH+",0.1)))))))))</f>
        <v>1.17</v>
      </c>
    </row>
    <row r="3102" spans="1:1" ht="11.75" customHeight="1">
      <c r="A3102" s="1989" t="b">
        <f>D108="AL-1B"</f>
        <v>1</v>
      </c>
    </row>
    <row r="3103" spans="1:1" ht="11.75" customHeight="1">
      <c r="A3103" s="1989" t="b">
        <f>IF(D108="AL-2B",0.98,IF(D108="AL-3B",0.78,IF(D108="AL-4B",0.59,IF(D108="AL-5B",0.39,IF(D108="AL-6B",0.23,IF(D108="PH Classic",0.6*D105/D101*3.6,IF(D108="PH Low",1*D105/D101*3.6,IF(D108="PH+",0.1))))))))</f>
        <v>0</v>
      </c>
    </row>
    <row r="3104" spans="1:1" ht="11.75" customHeight="1">
      <c r="A3104" s="1989" t="b">
        <f>D108="AL-2B"</f>
        <v>0</v>
      </c>
    </row>
    <row r="3105" spans="1:1" ht="11.75" customHeight="1">
      <c r="A3105" s="1989" t="b">
        <f>IF(D108="AL-3B",0.78,IF(D108="AL-4B",0.59,IF(D108="AL-5B",0.39,IF(D108="AL-6B",0.23,IF(D108="PH Classic",0.6*D105/D101*3.6,IF(D108="PH Low",1*D105/D101*3.6,IF(D108="PH+",0.1)))))))</f>
        <v>0</v>
      </c>
    </row>
    <row r="3106" spans="1:1" ht="11.75" customHeight="1">
      <c r="A3106" s="1989">
        <f>IF(H20="Present",VLOOKUP(H19,CANADA!A6:K699,9,FALSE),VLOOKUP(H19,CANADA!A6:K699,11,FALSE))</f>
        <v>4600</v>
      </c>
    </row>
    <row r="3107" spans="1:1" ht="11.75" customHeight="1">
      <c r="A3107" s="1989">
        <f>MATCH('NRL50-n-Factors'!D34,'NRL50-n-Factors'!C38:C49,0)</f>
        <v>5</v>
      </c>
    </row>
    <row r="3108" spans="1:1" ht="11.75" customHeight="1">
      <c r="A3108" s="1989">
        <f>MATCH(REPORT!D103,'NRL50-n-Factors'!D37:J37,0)</f>
        <v>2</v>
      </c>
    </row>
    <row r="3109" spans="1:1" ht="11.75" customHeight="1">
      <c r="A3109" s="1989" t="b">
        <f>D51="Gas"</f>
        <v>0</v>
      </c>
    </row>
    <row r="3110" spans="1:1" ht="11.75" customHeight="1">
      <c r="A3110" s="1989">
        <f>D$20*G101*24</f>
        <v>30728.853316304834</v>
      </c>
    </row>
    <row r="3111" spans="1:1" ht="11.75" customHeight="1">
      <c r="A3111" s="1989">
        <f>SUM(H65:H67)</f>
        <v>84390.33600000001</v>
      </c>
    </row>
    <row r="3112" spans="1:1" ht="11.75" customHeight="1">
      <c r="A3112" s="1989">
        <f>IF(D113="Heatpump",K51+D117+D114+M43+H70,IF(D113="Gas",K51+D117+M43+H70))</f>
        <v>132765.64793897627</v>
      </c>
    </row>
    <row r="3113" spans="1:1" ht="11.75" customHeight="1">
      <c r="A3113" s="1989" t="b">
        <f>D113="Heatpump"</f>
        <v>1</v>
      </c>
    </row>
    <row r="3114" spans="1:1" ht="11.75" customHeight="1">
      <c r="A3114" s="1990">
        <f>K51+D117+D114+M43+H70</f>
        <v>132765.64793897627</v>
      </c>
    </row>
    <row r="3115" spans="1:1" ht="11.75" customHeight="1">
      <c r="A3115" s="1989" t="b">
        <f>IF(D113="Gas",K51+D117+M43+H70)</f>
        <v>0</v>
      </c>
    </row>
    <row r="3116" spans="1:1" ht="11.75" customHeight="1">
      <c r="A3116" s="1989">
        <f>SUM(D44:D46)</f>
        <v>0</v>
      </c>
    </row>
    <row r="3117" spans="1:1" ht="11.75" customHeight="1">
      <c r="A3117" s="1990">
        <f>I44+I45</f>
        <v>0</v>
      </c>
    </row>
    <row r="3118" spans="1:1" ht="11.75" customHeight="1">
      <c r="A3118" s="1989">
        <f>H28*0.0373</f>
        <v>0</v>
      </c>
    </row>
    <row r="3119" spans="1:1" ht="11.75" customHeight="1">
      <c r="A3119" s="1989">
        <f>H30*36.72</f>
        <v>0</v>
      </c>
    </row>
    <row r="3120" spans="1:1" ht="11.75" customHeight="1">
      <c r="A3120" s="1990">
        <f>H27-D43</f>
        <v>132765.64793897627</v>
      </c>
    </row>
    <row r="3121" spans="1:1" ht="11.75" customHeight="1">
      <c r="A3121" s="1989" t="b">
        <f>D113="Electricity"</f>
        <v>0</v>
      </c>
    </row>
    <row r="3122" spans="1:1" ht="11.75" customHeight="1">
      <c r="A3122" s="1990">
        <f>I103+K51+D117+M121+I101+I102+M43+SUM(H65:H67)</f>
        <v>265287.6445956853</v>
      </c>
    </row>
    <row r="3123" spans="1:1" ht="11.75" customHeight="1">
      <c r="A3123" s="1990">
        <f>I103+K51+D117+M121+I101+I102+M43</f>
        <v>180897.30859568529</v>
      </c>
    </row>
    <row r="3124" spans="1:1" ht="11.75" customHeight="1">
      <c r="A3124" s="1990">
        <f>I103+K51+D117+M121+I101+I102</f>
        <v>180897.30859568529</v>
      </c>
    </row>
    <row r="3125" spans="1:1" ht="11.75" customHeight="1">
      <c r="A3125" s="1990">
        <f>I103+K51+D117+M121+I101</f>
        <v>164109.06314703665</v>
      </c>
    </row>
    <row r="3126" spans="1:1" ht="11.75" customHeight="1">
      <c r="A3126" s="1990">
        <f>I103+K51+D117+M121</f>
        <v>88005.3704468098</v>
      </c>
    </row>
    <row r="3127" spans="1:1" ht="11.75" customHeight="1">
      <c r="A3127" s="1990">
        <f>I103+K51+D117</f>
        <v>39024.570446809812</v>
      </c>
    </row>
    <row r="3128" spans="1:1" ht="11.75" customHeight="1">
      <c r="A3128" s="1990">
        <f>I103+K51</f>
        <v>36006.531012790423</v>
      </c>
    </row>
    <row r="3129" spans="1:1" ht="11.75" customHeight="1">
      <c r="A3129" s="1989">
        <f>1.21*G108*D20*24/1000*D101</f>
        <v>387079.06311359996</v>
      </c>
    </row>
    <row r="3130" spans="1:1" ht="11.75" customHeight="1">
      <c r="A3130" s="1989">
        <f>1.21*G108*D20*24/1000</f>
        <v>156.29328000000001</v>
      </c>
    </row>
    <row r="3131" spans="1:1" ht="11.75" customHeight="1">
      <c r="A3131" s="1989">
        <f>1.21*G108*D20*24</f>
        <v>156293.28</v>
      </c>
    </row>
    <row r="3132" spans="1:1" ht="11.75" customHeight="1">
      <c r="A3132" s="1989">
        <f>1.21*G108*D20</f>
        <v>6512.22</v>
      </c>
    </row>
    <row r="3133" spans="1:1" ht="11.75" customHeight="1">
      <c r="A3133" s="1989">
        <f>1.21*G108</f>
        <v>1.4157</v>
      </c>
    </row>
    <row r="3134" spans="1:1" ht="11.75" customHeight="1">
      <c r="A3134" s="1989" t="b">
        <f>D108="Measured"</f>
        <v>0</v>
      </c>
    </row>
    <row r="3135" spans="1:1" ht="11.75" customHeight="1">
      <c r="A3135" s="1989">
        <f>G109*D105/D101*3.6</f>
        <v>17.44312813431209</v>
      </c>
    </row>
    <row r="3136" spans="1:1" ht="11.75" customHeight="1">
      <c r="A3136" s="1989">
        <f>G109*D105</f>
        <v>12000</v>
      </c>
    </row>
    <row r="3137" spans="1:1" ht="11.75" customHeight="1">
      <c r="A3137" s="1989">
        <f>D101*3.6</f>
        <v>8915.8319999999985</v>
      </c>
    </row>
    <row r="3138" spans="1:1" ht="11.75" customHeight="1">
      <c r="A3138" s="1989">
        <f>IF(D108="AL-1A",0.89,IF(D108="AL-2A",0.71,IF(D108="AL-3A",0.53,IF(D108="AL-4A",0.35,IF(D108="AL-5A",0.21,IF(D108="AL-1B",1.17,IF(D108="AL-2B",0.98,IF(D108="AL-3B",0.78,IF(D108="AL-4B",0.59,IF(D108="AL-5B",0.39,IF(D108="AL-6B",0.23,IF(D108="PH Classic",0.6*D105/D101*3.6,IF(D108="PH Low",1*D105/D101*3.6,IF(D108="PH+",0.1))))))))))))))</f>
        <v>1.17</v>
      </c>
    </row>
    <row r="3139" spans="1:1" ht="11.75" customHeight="1">
      <c r="A3139" s="1989" t="b">
        <f>D108="AL-1A"</f>
        <v>0</v>
      </c>
    </row>
    <row r="3140" spans="1:1" ht="11.75" customHeight="1">
      <c r="A3140" s="1989">
        <f>IF(D108="AL-2A",0.71,IF(D108="AL-3A",0.53,IF(D108="AL-4A",0.35,IF(D108="AL-5A",0.21,IF(D108="AL-1B",1.17,IF(D108="AL-2B",0.98,IF(D108="AL-3B",0.78,IF(D108="AL-4B",0.59,IF(D108="AL-5B",0.39,IF(D108="AL-6B",0.23,IF(D108="PH Classic",0.6*D105/D101*3.6,IF(D108="PH Low",1*D105/D101*3.6,IF(D108="PH+",0.1)))))))))))))</f>
        <v>1.17</v>
      </c>
    </row>
    <row r="3141" spans="1:1" ht="11.75" customHeight="1">
      <c r="A3141" s="1989" t="b">
        <f>D108="AL-2A"</f>
        <v>0</v>
      </c>
    </row>
    <row r="3142" spans="1:1" ht="11.75" customHeight="1">
      <c r="A3142" s="1989">
        <f>IF(D108="AL-3A",0.53,IF(D108="AL-4A",0.35,IF(D108="AL-5A",0.21,IF(D108="AL-1B",1.17,IF(D108="AL-2B",0.98,IF(D108="AL-3B",0.78,IF(D108="AL-4B",0.59,IF(D108="AL-5B",0.39,IF(D108="AL-6B",0.23,IF(D108="PH Classic",0.6*D105/D101*3.6,IF(D108="PH Low",1*D105/D101*3.6,IF(D108="PH+",0.1))))))))))))</f>
        <v>1.17</v>
      </c>
    </row>
    <row r="3143" spans="1:1" ht="11.75" customHeight="1">
      <c r="A3143" s="1989" t="b">
        <f>D108="AL-3A"</f>
        <v>0</v>
      </c>
    </row>
    <row r="3144" spans="1:1" ht="11.75" customHeight="1">
      <c r="A3144" s="1989">
        <f>IF(D108="AL-4A",0.35,IF(D108="AL-5A",0.21,IF(D108="AL-1B",1.17,IF(D108="AL-2B",0.98,IF(D108="AL-3B",0.78,IF(D108="AL-4B",0.59,IF(D108="AL-5B",0.39,IF(D108="AL-6B",0.23,IF(D108="PH Classic",0.6*D105/D101*3.6,IF(D108="PH Low",1*D105/D101*3.6,IF(D108="PH+",0.1)))))))))))</f>
        <v>1.17</v>
      </c>
    </row>
    <row r="3145" spans="1:1" ht="11.75" customHeight="1">
      <c r="A3145" s="1989" t="b">
        <f>D108="AL-4A"</f>
        <v>0</v>
      </c>
    </row>
    <row r="3146" spans="1:1" ht="11.75" customHeight="1">
      <c r="A3146" s="1989">
        <f>IF(D108="AL-5A",0.21,IF(D108="AL-1B",1.17,IF(D108="AL-2B",0.98,IF(D108="AL-3B",0.78,IF(D108="AL-4B",0.59,IF(D108="AL-5B",0.39,IF(D108="AL-6B",0.23,IF(D108="PH Classic",0.6*D105/D101*3.6,IF(D108="PH Low",1*D105/D101*3.6,IF(D108="PH+",0.1))))))))))</f>
        <v>1.17</v>
      </c>
    </row>
    <row r="3147" spans="1:1" ht="11.75" customHeight="1">
      <c r="A3147" s="1989" t="b">
        <f>D108="AL-5A"</f>
        <v>0</v>
      </c>
    </row>
    <row r="3148" spans="1:1" ht="11.75" customHeight="1">
      <c r="A3148" s="1989">
        <f>IF(D108="AL-1B",1.17,IF(D108="AL-2B",0.98,IF(D108="AL-3B",0.78,IF(D108="AL-4B",0.59,IF(D108="AL-5B",0.39,IF(D108="AL-6B",0.23,IF(D108="PH Classic",0.6*D105/D101*3.6,IF(D108="PH Low",1*D105/D101*3.6,IF(D108="PH+",0.1)))))))))</f>
        <v>1.17</v>
      </c>
    </row>
    <row r="3149" spans="1:1" ht="11.75" customHeight="1">
      <c r="A3149" s="1989" t="b">
        <f>D108="AL-1B"</f>
        <v>1</v>
      </c>
    </row>
    <row r="3150" spans="1:1" ht="11.75" customHeight="1">
      <c r="A3150" s="1989" t="b">
        <f>IF(D108="AL-2B",0.98,IF(D108="AL-3B",0.78,IF(D108="AL-4B",0.59,IF(D108="AL-5B",0.39,IF(D108="AL-6B",0.23,IF(D108="PH Classic",0.6*D105/D101*3.6,IF(D108="PH Low",1*D105/D101*3.6,IF(D108="PH+",0.1))))))))</f>
        <v>0</v>
      </c>
    </row>
    <row r="3151" spans="1:1" ht="11.75" customHeight="1">
      <c r="A3151" s="1989" t="b">
        <f>D108="AL-2B"</f>
        <v>0</v>
      </c>
    </row>
    <row r="3152" spans="1:1" ht="11.75" customHeight="1">
      <c r="A3152" s="1989" t="b">
        <f>IF(D108="AL-3B",0.78,IF(D108="AL-4B",0.59,IF(D108="AL-5B",0.39,IF(D108="AL-6B",0.23,IF(D108="PH Classic",0.6*D105/D101*3.6,IF(D108="PH Low",1*D105/D101*3.6,IF(D108="PH+",0.1)))))))</f>
        <v>0</v>
      </c>
    </row>
    <row r="3153" spans="1:1" ht="11.75" customHeight="1">
      <c r="A3153" s="1989" t="b">
        <f>D108="AL-3B"</f>
        <v>0</v>
      </c>
    </row>
    <row r="3154" spans="1:1" ht="11.75" customHeight="1">
      <c r="A3154" s="1989" t="b">
        <f>IF(D108="AL-4B",0.59,IF(D108="AL-5B",0.39,IF(D108="AL-6B",0.23,IF(D108="PH Classic",0.6*D105/D101*3.6,IF(D108="PH Low",1*D105/D101*3.6,IF(D108="PH+",0.1))))))</f>
        <v>0</v>
      </c>
    </row>
    <row r="3155" spans="1:1" ht="11.75" customHeight="1">
      <c r="A3155" s="1989">
        <f>IF(H20="Present",VLOOKUP(H19,CANADA!A6:K699,9,FALSE),VLOOKUP(H19,CANADA!A6:K699,11,FALSE))</f>
        <v>4600</v>
      </c>
    </row>
    <row r="3156" spans="1:1" ht="11.75" customHeight="1">
      <c r="A3156" s="1989">
        <f>MATCH('NRL50-n-Factors'!D34,'NRL50-n-Factors'!C38:C49,0)</f>
        <v>5</v>
      </c>
    </row>
    <row r="3157" spans="1:1" ht="11.75" customHeight="1">
      <c r="A3157" s="1989">
        <f>MATCH(REPORT!D103,'NRL50-n-Factors'!D37:J37,0)</f>
        <v>2</v>
      </c>
    </row>
    <row r="3158" spans="1:1" ht="11.75" customHeight="1">
      <c r="A3158" s="1989" t="b">
        <f>D51="Gas"</f>
        <v>0</v>
      </c>
    </row>
    <row r="3159" spans="1:1" ht="11.75" customHeight="1">
      <c r="A3159" s="1989">
        <f>D$20*G101*24</f>
        <v>30728.853316304834</v>
      </c>
    </row>
    <row r="3160" spans="1:1" ht="11.75" customHeight="1">
      <c r="A3160" s="1989">
        <f>SUM(H65:H67)</f>
        <v>84390.33600000001</v>
      </c>
    </row>
    <row r="3161" spans="1:1" ht="11.75" customHeight="1">
      <c r="A3161" s="1989">
        <f>IF(D113="Heatpump",K51+D117+D114+M43+H70,IF(D113="Gas",K51+D117+M43+H70))</f>
        <v>132765.64793897627</v>
      </c>
    </row>
    <row r="3162" spans="1:1" ht="11.75" customHeight="1">
      <c r="A3162" s="1989" t="b">
        <f>D113="Heatpump"</f>
        <v>1</v>
      </c>
    </row>
    <row r="3163" spans="1:1" ht="11.75" customHeight="1">
      <c r="A3163" s="1990">
        <f>K51+D117+D114+M43+H70</f>
        <v>132765.64793897627</v>
      </c>
    </row>
    <row r="3164" spans="1:1" ht="11.75" customHeight="1">
      <c r="A3164" s="1989" t="b">
        <f>IF(D113="Gas",K51+D117+M43+H70)</f>
        <v>0</v>
      </c>
    </row>
    <row r="3165" spans="1:1" ht="11.75" customHeight="1">
      <c r="A3165" s="1989">
        <f>SUM(D44:D46)</f>
        <v>0</v>
      </c>
    </row>
    <row r="3166" spans="1:1" ht="11.75" customHeight="1">
      <c r="A3166" s="1990">
        <f>I44+I45</f>
        <v>0</v>
      </c>
    </row>
    <row r="3167" spans="1:1" ht="11.75" customHeight="1">
      <c r="A3167" s="1989">
        <f>H28*0.0373</f>
        <v>0</v>
      </c>
    </row>
    <row r="3168" spans="1:1" ht="11.75" customHeight="1">
      <c r="A3168" s="1989">
        <f>H30*36.72</f>
        <v>0</v>
      </c>
    </row>
    <row r="3169" spans="1:1" ht="11.75" customHeight="1">
      <c r="A3169" s="1990">
        <f>H27-D43</f>
        <v>132765.64793897627</v>
      </c>
    </row>
    <row r="3170" spans="1:1" ht="11.75" customHeight="1">
      <c r="A3170" s="1989" t="b">
        <f>D113="Electricity"</f>
        <v>0</v>
      </c>
    </row>
    <row r="3171" spans="1:1" ht="11.75" customHeight="1">
      <c r="A3171" s="1990">
        <f>I103+K51+D117+M121+I101+I102+M43+SUM(H65:H67)</f>
        <v>265287.6445956853</v>
      </c>
    </row>
    <row r="3172" spans="1:1" ht="11.75" customHeight="1">
      <c r="A3172" s="1990">
        <f>I103+K51+D117+M121+I101+I102+M43</f>
        <v>180897.30859568529</v>
      </c>
    </row>
    <row r="3173" spans="1:1" ht="11.75" customHeight="1">
      <c r="A3173" s="1990">
        <f>I103+K51+D117+M121+I101+I102</f>
        <v>180897.30859568529</v>
      </c>
    </row>
    <row r="3174" spans="1:1" ht="11.75" customHeight="1">
      <c r="A3174" s="1990">
        <f>I103+K51+D117+M121+I101</f>
        <v>164109.06314703665</v>
      </c>
    </row>
    <row r="3175" spans="1:1" ht="11.75" customHeight="1">
      <c r="A3175" s="1990">
        <f>I103+K51+D117+M121</f>
        <v>88005.3704468098</v>
      </c>
    </row>
    <row r="3176" spans="1:1" ht="11.75" customHeight="1">
      <c r="A3176" s="1990">
        <f>I103+K51+D117</f>
        <v>39024.570446809812</v>
      </c>
    </row>
    <row r="3177" spans="1:1" ht="11.75" customHeight="1">
      <c r="A3177" s="1990">
        <f>I103+K51</f>
        <v>36006.531012790423</v>
      </c>
    </row>
    <row r="3178" spans="1:1" ht="11.75" customHeight="1">
      <c r="A3178" s="1989">
        <f>1.21*G108*D20*24/1000*D101</f>
        <v>387079.06311359996</v>
      </c>
    </row>
    <row r="3179" spans="1:1" ht="11.75" customHeight="1">
      <c r="A3179" s="1989">
        <f>1.21*G108*D20*24/1000</f>
        <v>156.29328000000001</v>
      </c>
    </row>
    <row r="3180" spans="1:1" ht="11.75" customHeight="1">
      <c r="A3180" s="1989">
        <f>1.21*G108*D20*24</f>
        <v>156293.28</v>
      </c>
    </row>
    <row r="3181" spans="1:1" ht="11.75" customHeight="1">
      <c r="A3181" s="1989">
        <f>1.21*G108*D20</f>
        <v>6512.22</v>
      </c>
    </row>
    <row r="3182" spans="1:1" ht="11.75" customHeight="1">
      <c r="A3182" s="1989">
        <f>1.21*G108</f>
        <v>1.4157</v>
      </c>
    </row>
    <row r="3183" spans="1:1" ht="11.75" customHeight="1">
      <c r="A3183" s="1989" t="b">
        <f>D108="Measured"</f>
        <v>0</v>
      </c>
    </row>
    <row r="3184" spans="1:1" ht="11.75" customHeight="1">
      <c r="A3184" s="1989">
        <f>G109*D105/D101*3.6</f>
        <v>17.44312813431209</v>
      </c>
    </row>
    <row r="3185" spans="1:1" ht="11.75" customHeight="1">
      <c r="A3185" s="1989">
        <f>G109*D105</f>
        <v>12000</v>
      </c>
    </row>
    <row r="3186" spans="1:1" ht="11.75" customHeight="1">
      <c r="A3186" s="1989">
        <f>D101*3.6</f>
        <v>8915.8319999999985</v>
      </c>
    </row>
    <row r="3187" spans="1:1" ht="11.75" customHeight="1">
      <c r="A3187" s="1989">
        <f>IF(D108="AL-1A",0.89,IF(D108="AL-2A",0.71,IF(D108="AL-3A",0.53,IF(D108="AL-4A",0.35,IF(D108="AL-5A",0.21,IF(D108="AL-1B",1.17,IF(D108="AL-2B",0.98,IF(D108="AL-3B",0.78,IF(D108="AL-4B",0.59,IF(D108="AL-5B",0.39,IF(D108="AL-6B",0.23,IF(D108="PH Classic",0.6*D105/D101*3.6,IF(D108="PH Low",1*D105/D101*3.6,IF(D108="PH+",0.1))))))))))))))</f>
        <v>1.17</v>
      </c>
    </row>
    <row r="3188" spans="1:1" ht="11.75" customHeight="1">
      <c r="A3188" s="1989" t="b">
        <f>D108="AL-1A"</f>
        <v>0</v>
      </c>
    </row>
    <row r="3189" spans="1:1" ht="11.75" customHeight="1">
      <c r="A3189" s="1989">
        <f>IF(D108="AL-2A",0.71,IF(D108="AL-3A",0.53,IF(D108="AL-4A",0.35,IF(D108="AL-5A",0.21,IF(D108="AL-1B",1.17,IF(D108="AL-2B",0.98,IF(D108="AL-3B",0.78,IF(D108="AL-4B",0.59,IF(D108="AL-5B",0.39,IF(D108="AL-6B",0.23,IF(D108="PH Classic",0.6*D105/D101*3.6,IF(D108="PH Low",1*D105/D101*3.6,IF(D108="PH+",0.1)))))))))))))</f>
        <v>1.17</v>
      </c>
    </row>
    <row r="3190" spans="1:1" ht="11.75" customHeight="1">
      <c r="A3190" s="1989" t="b">
        <f>D108="AL-2A"</f>
        <v>0</v>
      </c>
    </row>
    <row r="3191" spans="1:1" ht="11.75" customHeight="1">
      <c r="A3191" s="1989">
        <f>IF(D108="AL-3A",0.53,IF(D108="AL-4A",0.35,IF(D108="AL-5A",0.21,IF(D108="AL-1B",1.17,IF(D108="AL-2B",0.98,IF(D108="AL-3B",0.78,IF(D108="AL-4B",0.59,IF(D108="AL-5B",0.39,IF(D108="AL-6B",0.23,IF(D108="PH Classic",0.6*D105/D101*3.6,IF(D108="PH Low",1*D105/D101*3.6,IF(D108="PH+",0.1))))))))))))</f>
        <v>1.17</v>
      </c>
    </row>
    <row r="3192" spans="1:1" ht="11.75" customHeight="1">
      <c r="A3192" s="1989" t="b">
        <f>D108="AL-3A"</f>
        <v>0</v>
      </c>
    </row>
    <row r="3193" spans="1:1" ht="11.75" customHeight="1">
      <c r="A3193" s="1989">
        <f>IF(D108="AL-4A",0.35,IF(D108="AL-5A",0.21,IF(D108="AL-1B",1.17,IF(D108="AL-2B",0.98,IF(D108="AL-3B",0.78,IF(D108="AL-4B",0.59,IF(D108="AL-5B",0.39,IF(D108="AL-6B",0.23,IF(D108="PH Classic",0.6*D105/D101*3.6,IF(D108="PH Low",1*D105/D101*3.6,IF(D108="PH+",0.1)))))))))))</f>
        <v>1.17</v>
      </c>
    </row>
    <row r="3194" spans="1:1" ht="11.75" customHeight="1">
      <c r="A3194" s="1989" t="b">
        <f>D108="AL-4A"</f>
        <v>0</v>
      </c>
    </row>
    <row r="3195" spans="1:1" ht="11.75" customHeight="1">
      <c r="A3195" s="1989">
        <f>IF(D108="AL-5A",0.21,IF(D108="AL-1B",1.17,IF(D108="AL-2B",0.98,IF(D108="AL-3B",0.78,IF(D108="AL-4B",0.59,IF(D108="AL-5B",0.39,IF(D108="AL-6B",0.23,IF(D108="PH Classic",0.6*D105/D101*3.6,IF(D108="PH Low",1*D105/D101*3.6,IF(D108="PH+",0.1))))))))))</f>
        <v>1.17</v>
      </c>
    </row>
    <row r="3196" spans="1:1" ht="11.75" customHeight="1">
      <c r="A3196" s="1989" t="b">
        <f>D108="AL-5A"</f>
        <v>0</v>
      </c>
    </row>
    <row r="3197" spans="1:1" ht="11.75" customHeight="1">
      <c r="A3197" s="1989">
        <f>IF(D108="AL-1B",1.17,IF(D108="AL-2B",0.98,IF(D108="AL-3B",0.78,IF(D108="AL-4B",0.59,IF(D108="AL-5B",0.39,IF(D108="AL-6B",0.23,IF(D108="PH Classic",0.6*D105/D101*3.6,IF(D108="PH Low",1*D105/D101*3.6,IF(D108="PH+",0.1)))))))))</f>
        <v>1.17</v>
      </c>
    </row>
    <row r="3198" spans="1:1" ht="11.75" customHeight="1">
      <c r="A3198" s="1989" t="b">
        <f>D108="AL-1B"</f>
        <v>1</v>
      </c>
    </row>
    <row r="3199" spans="1:1" ht="11.75" customHeight="1">
      <c r="A3199" s="1989" t="b">
        <f>IF(D108="AL-2B",0.98,IF(D108="AL-3B",0.78,IF(D108="AL-4B",0.59,IF(D108="AL-5B",0.39,IF(D108="AL-6B",0.23,IF(D108="PH Classic",0.6*D105/D101*3.6,IF(D108="PH Low",1*D105/D101*3.6,IF(D108="PH+",0.1))))))))</f>
        <v>0</v>
      </c>
    </row>
    <row r="3200" spans="1:1" ht="11.75" customHeight="1">
      <c r="A3200" s="1989" t="b">
        <f>D108="AL-2B"</f>
        <v>0</v>
      </c>
    </row>
    <row r="3201" spans="1:1" ht="11.75" customHeight="1">
      <c r="A3201" s="1989" t="b">
        <f>IF(D108="AL-3B",0.78,IF(D108="AL-4B",0.59,IF(D108="AL-5B",0.39,IF(D108="AL-6B",0.23,IF(D108="PH Classic",0.6*D105/D101*3.6,IF(D108="PH Low",1*D105/D101*3.6,IF(D108="PH+",0.1)))))))</f>
        <v>0</v>
      </c>
    </row>
    <row r="3202" spans="1:1" ht="11.75" customHeight="1">
      <c r="A3202" s="1989" t="b">
        <f>D108="AL-3B"</f>
        <v>0</v>
      </c>
    </row>
    <row r="3203" spans="1:1" ht="11.75" customHeight="1">
      <c r="A3203" s="1989" t="b">
        <f>IF(D108="AL-4B",0.59,IF(D108="AL-5B",0.39,IF(D108="AL-6B",0.23,IF(D108="PH Classic",0.6*D105/D101*3.6,IF(D108="PH Low",1*D105/D101*3.6,IF(D108="PH+",0.1))))))</f>
        <v>0</v>
      </c>
    </row>
    <row r="3204" spans="1:1" ht="11.75" customHeight="1">
      <c r="A3204" s="1989">
        <f>IF(H20="Present",VLOOKUP(H19,CANADA!A6:K699,9,FALSE),VLOOKUP(H19,CANADA!A6:K699,11,FALSE))</f>
        <v>4600</v>
      </c>
    </row>
    <row r="3205" spans="1:1" ht="11.75" customHeight="1">
      <c r="A3205" s="1989">
        <f>MATCH('NRL50-n-Factors'!D34,'NRL50-n-Factors'!C38:C49,0)</f>
        <v>5</v>
      </c>
    </row>
    <row r="3206" spans="1:1" ht="11.75" customHeight="1">
      <c r="A3206" s="1989">
        <f>MATCH(REPORT!D103,'NRL50-n-Factors'!D37:J37,0)</f>
        <v>2</v>
      </c>
    </row>
    <row r="3207" spans="1:1" ht="11.75" customHeight="1">
      <c r="A3207" s="1989" t="b">
        <f>D51="Gas"</f>
        <v>0</v>
      </c>
    </row>
    <row r="3208" spans="1:1" ht="11.75" customHeight="1">
      <c r="A3208" s="1989">
        <f>D$20*G101*24</f>
        <v>30728.853316304834</v>
      </c>
    </row>
    <row r="3209" spans="1:1" ht="11.75" customHeight="1">
      <c r="A3209" s="1989">
        <f>SUM(H65:H67)</f>
        <v>84390.33600000001</v>
      </c>
    </row>
    <row r="3210" spans="1:1" ht="11.75" customHeight="1">
      <c r="A3210" s="1989">
        <f>IF(D113="Heatpump",K51+D117+D114+M43+H70,IF(D113="Gas",K51+D117+M43+H70))</f>
        <v>132765.64793897627</v>
      </c>
    </row>
    <row r="3211" spans="1:1" ht="11.75" customHeight="1">
      <c r="A3211" s="1989" t="b">
        <f>D113="Heatpump"</f>
        <v>1</v>
      </c>
    </row>
    <row r="3212" spans="1:1" ht="11.75" customHeight="1">
      <c r="A3212" s="1990">
        <f>K51+D117+D114+M43+H70</f>
        <v>132765.64793897627</v>
      </c>
    </row>
    <row r="3213" spans="1:1" ht="11.75" customHeight="1">
      <c r="A3213" s="1989" t="b">
        <f>IF(D113="Gas",K51+D117+M43+H70)</f>
        <v>0</v>
      </c>
    </row>
    <row r="3214" spans="1:1" ht="11.75" customHeight="1">
      <c r="A3214" s="1989">
        <f>SUM(D44:D46)</f>
        <v>0</v>
      </c>
    </row>
    <row r="3215" spans="1:1" ht="11.75" customHeight="1">
      <c r="A3215" s="1990">
        <f>I44+I45</f>
        <v>0</v>
      </c>
    </row>
    <row r="3216" spans="1:1" ht="11.75" customHeight="1">
      <c r="A3216" s="1989">
        <f>H28*0.0373</f>
        <v>0</v>
      </c>
    </row>
    <row r="3217" spans="1:1" ht="11.75" customHeight="1">
      <c r="A3217" s="1989">
        <f>H30*36.72</f>
        <v>0</v>
      </c>
    </row>
    <row r="3218" spans="1:1" ht="11.75" customHeight="1">
      <c r="A3218" s="1990">
        <f>H27-D43</f>
        <v>132765.64793897627</v>
      </c>
    </row>
    <row r="3219" spans="1:1" ht="11.75" customHeight="1">
      <c r="A3219" s="1989" t="b">
        <f>D113="Electricity"</f>
        <v>0</v>
      </c>
    </row>
    <row r="3220" spans="1:1" ht="11.75" customHeight="1">
      <c r="A3220" s="1990">
        <f>I103+K51+D117+M121+I101+I102+M43+SUM(H65:H67)</f>
        <v>265287.6445956853</v>
      </c>
    </row>
    <row r="3221" spans="1:1" ht="11.75" customHeight="1">
      <c r="A3221" s="1990">
        <f>I103+K51+D117+M121+I101+I102+M43</f>
        <v>180897.30859568529</v>
      </c>
    </row>
    <row r="3222" spans="1:1" ht="11.75" customHeight="1">
      <c r="A3222" s="1990">
        <f>I103+K51+D117+M121+I101+I102</f>
        <v>180897.30859568529</v>
      </c>
    </row>
    <row r="3223" spans="1:1" ht="11.75" customHeight="1">
      <c r="A3223" s="1990">
        <f>I103+K51+D117+M121+I101</f>
        <v>164109.06314703665</v>
      </c>
    </row>
    <row r="3224" spans="1:1" ht="11.75" customHeight="1">
      <c r="A3224" s="1990">
        <f>I103+K51+D117+M121</f>
        <v>88005.3704468098</v>
      </c>
    </row>
    <row r="3225" spans="1:1" ht="11.75" customHeight="1">
      <c r="A3225" s="1990">
        <f>I103+K51+D117</f>
        <v>39024.570446809812</v>
      </c>
    </row>
    <row r="3226" spans="1:1" ht="11.75" customHeight="1">
      <c r="A3226" s="1990">
        <f>I103+K51</f>
        <v>36006.531012790423</v>
      </c>
    </row>
    <row r="3227" spans="1:1" ht="11.75" customHeight="1">
      <c r="A3227" s="1989">
        <f>1.21*G108*D20*24/1000*D101</f>
        <v>387079.06311359996</v>
      </c>
    </row>
    <row r="3228" spans="1:1" ht="11.75" customHeight="1">
      <c r="A3228" s="1989">
        <f>1.21*G108*D20*24/1000</f>
        <v>156.29328000000001</v>
      </c>
    </row>
    <row r="3229" spans="1:1" ht="11.75" customHeight="1">
      <c r="A3229" s="1989">
        <f>1.21*G108*D20*24</f>
        <v>156293.28</v>
      </c>
    </row>
    <row r="3230" spans="1:1" ht="11.75" customHeight="1">
      <c r="A3230" s="1989">
        <f>1.21*G108*D20</f>
        <v>6512.22</v>
      </c>
    </row>
    <row r="3231" spans="1:1" ht="11.75" customHeight="1">
      <c r="A3231" s="1989">
        <f>1.21*G108</f>
        <v>1.4157</v>
      </c>
    </row>
    <row r="3232" spans="1:1" ht="11.75" customHeight="1">
      <c r="A3232" s="1989" t="b">
        <f>D108="Measured"</f>
        <v>0</v>
      </c>
    </row>
    <row r="3233" spans="1:1" ht="11.75" customHeight="1">
      <c r="A3233" s="1989">
        <f>G109*D105/D101*3.6</f>
        <v>17.44312813431209</v>
      </c>
    </row>
    <row r="3234" spans="1:1" ht="11.75" customHeight="1">
      <c r="A3234" s="1989">
        <f>G109*D105</f>
        <v>12000</v>
      </c>
    </row>
    <row r="3235" spans="1:1" ht="11.75" customHeight="1">
      <c r="A3235" s="1989">
        <f>D101*3.6</f>
        <v>8915.8319999999985</v>
      </c>
    </row>
    <row r="3236" spans="1:1" ht="11.75" customHeight="1">
      <c r="A3236" s="1989">
        <f>IF(D108="AL-1A",0.89,IF(D108="AL-2A",0.71,IF(D108="AL-3A",0.53,IF(D108="AL-4A",0.35,IF(D108="AL-5A",0.21,IF(D108="AL-1B",1.17,IF(D108="AL-2B",0.98,IF(D108="AL-3B",0.78,IF(D108="AL-4B",0.59,IF(D108="AL-5B",0.39,IF(D108="AL-6B",0.23,IF(D108="PH Classic",0.6*D105/D101*3.6,IF(D108="PH Low",1*D105/D101*3.6,IF(D108="PH+",0.1))))))))))))))</f>
        <v>1.17</v>
      </c>
    </row>
    <row r="3237" spans="1:1" ht="11.75" customHeight="1">
      <c r="A3237" s="1989" t="b">
        <f>D108="AL-1A"</f>
        <v>0</v>
      </c>
    </row>
    <row r="3238" spans="1:1" ht="11.75" customHeight="1">
      <c r="A3238" s="1989">
        <f>IF(D108="AL-2A",0.71,IF(D108="AL-3A",0.53,IF(D108="AL-4A",0.35,IF(D108="AL-5A",0.21,IF(D108="AL-1B",1.17,IF(D108="AL-2B",0.98,IF(D108="AL-3B",0.78,IF(D108="AL-4B",0.59,IF(D108="AL-5B",0.39,IF(D108="AL-6B",0.23,IF(D108="PH Classic",0.6*D105/D101*3.6,IF(D108="PH Low",1*D105/D101*3.6,IF(D108="PH+",0.1)))))))))))))</f>
        <v>1.17</v>
      </c>
    </row>
    <row r="3239" spans="1:1" ht="11.75" customHeight="1">
      <c r="A3239" s="1989" t="b">
        <f>D108="AL-2A"</f>
        <v>0</v>
      </c>
    </row>
    <row r="3240" spans="1:1" ht="11.75" customHeight="1">
      <c r="A3240" s="1989">
        <f>IF(D108="AL-3A",0.53,IF(D108="AL-4A",0.35,IF(D108="AL-5A",0.21,IF(D108="AL-1B",1.17,IF(D108="AL-2B",0.98,IF(D108="AL-3B",0.78,IF(D108="AL-4B",0.59,IF(D108="AL-5B",0.39,IF(D108="AL-6B",0.23,IF(D108="PH Classic",0.6*D105/D101*3.6,IF(D108="PH Low",1*D105/D101*3.6,IF(D108="PH+",0.1))))))))))))</f>
        <v>1.17</v>
      </c>
    </row>
    <row r="3241" spans="1:1" ht="11.75" customHeight="1">
      <c r="A3241" s="1989" t="b">
        <f>D108="AL-3A"</f>
        <v>0</v>
      </c>
    </row>
    <row r="3242" spans="1:1" ht="11.75" customHeight="1">
      <c r="A3242" s="1989">
        <f>IF(D108="AL-4A",0.35,IF(D108="AL-5A",0.21,IF(D108="AL-1B",1.17,IF(D108="AL-2B",0.98,IF(D108="AL-3B",0.78,IF(D108="AL-4B",0.59,IF(D108="AL-5B",0.39,IF(D108="AL-6B",0.23,IF(D108="PH Classic",0.6*D105/D101*3.6,IF(D108="PH Low",1*D105/D101*3.6,IF(D108="PH+",0.1)))))))))))</f>
        <v>1.17</v>
      </c>
    </row>
    <row r="3243" spans="1:1" ht="11.75" customHeight="1">
      <c r="A3243" s="1989" t="b">
        <f>D108="AL-4A"</f>
        <v>0</v>
      </c>
    </row>
    <row r="3244" spans="1:1" ht="11.75" customHeight="1">
      <c r="A3244" s="1989">
        <f>IF(D108="AL-5A",0.21,IF(D108="AL-1B",1.17,IF(D108="AL-2B",0.98,IF(D108="AL-3B",0.78,IF(D108="AL-4B",0.59,IF(D108="AL-5B",0.39,IF(D108="AL-6B",0.23,IF(D108="PH Classic",0.6*D105/D101*3.6,IF(D108="PH Low",1*D105/D101*3.6,IF(D108="PH+",0.1))))))))))</f>
        <v>1.17</v>
      </c>
    </row>
    <row r="3245" spans="1:1" ht="11.75" customHeight="1">
      <c r="A3245" s="1989" t="b">
        <f>D108="AL-5A"</f>
        <v>0</v>
      </c>
    </row>
    <row r="3246" spans="1:1" ht="11.75" customHeight="1">
      <c r="A3246" s="1989">
        <f>IF(D108="AL-1B",1.17,IF(D108="AL-2B",0.98,IF(D108="AL-3B",0.78,IF(D108="AL-4B",0.59,IF(D108="AL-5B",0.39,IF(D108="AL-6B",0.23,IF(D108="PH Classic",0.6*D105/D101*3.6,IF(D108="PH Low",1*D105/D101*3.6,IF(D108="PH+",0.1)))))))))</f>
        <v>1.17</v>
      </c>
    </row>
    <row r="3247" spans="1:1" ht="11.75" customHeight="1">
      <c r="A3247" s="1989" t="b">
        <f>D108="AL-1B"</f>
        <v>1</v>
      </c>
    </row>
    <row r="3248" spans="1:1" ht="11.75" customHeight="1">
      <c r="A3248" s="1989" t="b">
        <f>IF(D108="AL-2B",0.98,IF(D108="AL-3B",0.78,IF(D108="AL-4B",0.59,IF(D108="AL-5B",0.39,IF(D108="AL-6B",0.23,IF(D108="PH Classic",0.6*D105/D101*3.6,IF(D108="PH Low",1*D105/D101*3.6,IF(D108="PH+",0.1))))))))</f>
        <v>0</v>
      </c>
    </row>
    <row r="3249" spans="1:1" ht="11.75" customHeight="1">
      <c r="A3249" s="1989" t="b">
        <f>D108="AL-2B"</f>
        <v>0</v>
      </c>
    </row>
    <row r="3250" spans="1:1" ht="11.75" customHeight="1">
      <c r="A3250" s="1989" t="b">
        <f>IF(D108="AL-3B",0.78,IF(D108="AL-4B",0.59,IF(D108="AL-5B",0.39,IF(D108="AL-6B",0.23,IF(D108="PH Classic",0.6*D105/D101*3.6,IF(D108="PH Low",1*D105/D101*3.6,IF(D108="PH+",0.1)))))))</f>
        <v>0</v>
      </c>
    </row>
    <row r="3251" spans="1:1" ht="11.75" customHeight="1">
      <c r="A3251" s="1989" t="b">
        <f>D108="AL-3B"</f>
        <v>0</v>
      </c>
    </row>
    <row r="3252" spans="1:1" ht="11.75" customHeight="1">
      <c r="A3252" s="1989" t="b">
        <f>IF(D108="AL-4B",0.59,IF(D108="AL-5B",0.39,IF(D108="AL-6B",0.23,IF(D108="PH Classic",0.6*D105/D101*3.6,IF(D108="PH Low",1*D105/D101*3.6,IF(D108="PH+",0.1))))))</f>
        <v>0</v>
      </c>
    </row>
    <row r="3253" spans="1:1" ht="11.75" customHeight="1">
      <c r="A3253" s="1989">
        <f>IF(H20="Present",VLOOKUP(H19,CANADA!A6:K699,9,FALSE),VLOOKUP(H19,CANADA!A6:K699,11,FALSE))</f>
        <v>4600</v>
      </c>
    </row>
    <row r="3254" spans="1:1" ht="11.75" customHeight="1">
      <c r="A3254" s="1989">
        <f>MATCH('NRL50-n-Factors'!D34,'NRL50-n-Factors'!C38:C49,0)</f>
        <v>5</v>
      </c>
    </row>
    <row r="3255" spans="1:1" ht="11.75" customHeight="1">
      <c r="A3255" s="1989">
        <f>MATCH(REPORT!D103,'NRL50-n-Factors'!D37:J37,0)</f>
        <v>2</v>
      </c>
    </row>
    <row r="3256" spans="1:1" ht="11.75" customHeight="1">
      <c r="A3256" s="1989" t="b">
        <f>D51="Gas"</f>
        <v>0</v>
      </c>
    </row>
    <row r="3257" spans="1:1" ht="11.75" customHeight="1">
      <c r="A3257" s="1989">
        <f>D$20*G101*24</f>
        <v>30728.853316304834</v>
      </c>
    </row>
    <row r="3258" spans="1:1" ht="11.75" customHeight="1">
      <c r="A3258" s="1989">
        <f>SUM(H65:H67)</f>
        <v>84390.33600000001</v>
      </c>
    </row>
    <row r="3259" spans="1:1" ht="11.75" customHeight="1">
      <c r="A3259" s="1989">
        <f>IF(D113="Heatpump",K51+D117+D114+M43+H70,IF(D113="Gas",K51+D117+M43+H70))</f>
        <v>132765.64793897627</v>
      </c>
    </row>
    <row r="3260" spans="1:1" ht="11.75" customHeight="1">
      <c r="A3260" s="1989" t="b">
        <f>D113="Heatpump"</f>
        <v>1</v>
      </c>
    </row>
    <row r="3261" spans="1:1" ht="11.75" customHeight="1">
      <c r="A3261" s="1990">
        <f>K51+D117+D114+M43+H70</f>
        <v>132765.64793897627</v>
      </c>
    </row>
    <row r="3262" spans="1:1" ht="11.75" customHeight="1">
      <c r="A3262" s="1989" t="b">
        <f>IF(D113="Gas",K51+D117+M43+H70)</f>
        <v>0</v>
      </c>
    </row>
    <row r="3263" spans="1:1" ht="11.75" customHeight="1">
      <c r="A3263" s="1989">
        <f>SUM(D44:D46)</f>
        <v>0</v>
      </c>
    </row>
    <row r="3264" spans="1:1" ht="11.75" customHeight="1">
      <c r="A3264" s="1990">
        <f>I44+I45</f>
        <v>0</v>
      </c>
    </row>
    <row r="3265" spans="1:1" ht="11.75" customHeight="1">
      <c r="A3265" s="1989">
        <f>H28*0.0373</f>
        <v>0</v>
      </c>
    </row>
    <row r="3266" spans="1:1" ht="11.75" customHeight="1">
      <c r="A3266" s="1989">
        <f>H30*36.72</f>
        <v>0</v>
      </c>
    </row>
    <row r="3267" spans="1:1" ht="11.75" customHeight="1">
      <c r="A3267" s="1990">
        <f>H27-D43</f>
        <v>132765.64793897627</v>
      </c>
    </row>
    <row r="3268" spans="1:1" ht="11.75" customHeight="1">
      <c r="A3268" s="1989" t="b">
        <f>D113="Electricity"</f>
        <v>0</v>
      </c>
    </row>
    <row r="3269" spans="1:1" ht="11.75" customHeight="1">
      <c r="A3269" s="1990">
        <f>I103+K51+D117+M121+I101+I102+M43+SUM(H65:H67)</f>
        <v>265287.6445956853</v>
      </c>
    </row>
    <row r="3270" spans="1:1" ht="11.75" customHeight="1">
      <c r="A3270" s="1990">
        <f>I103+K51+D117+M121+I101+I102+M43</f>
        <v>180897.30859568529</v>
      </c>
    </row>
    <row r="3271" spans="1:1" ht="11.75" customHeight="1">
      <c r="A3271" s="1990">
        <f>I103+K51+D117+M121+I101+I102</f>
        <v>180897.30859568529</v>
      </c>
    </row>
    <row r="3272" spans="1:1" ht="11.75" customHeight="1">
      <c r="A3272" s="1990">
        <f>I103+K51+D117+M121+I101</f>
        <v>164109.06314703665</v>
      </c>
    </row>
    <row r="3273" spans="1:1" ht="11.75" customHeight="1">
      <c r="A3273" s="1990">
        <f>I103+K51+D117+M121</f>
        <v>88005.3704468098</v>
      </c>
    </row>
    <row r="3274" spans="1:1" ht="11.75" customHeight="1">
      <c r="A3274" s="1990">
        <f>I103+K51+D117</f>
        <v>39024.570446809812</v>
      </c>
    </row>
    <row r="3275" spans="1:1" ht="11.75" customHeight="1">
      <c r="A3275" s="1990">
        <f>I103+K51</f>
        <v>36006.531012790423</v>
      </c>
    </row>
    <row r="3276" spans="1:1" ht="11.75" customHeight="1">
      <c r="A3276" s="1989">
        <f>1.21*G108*D20*24/1000*D101</f>
        <v>387079.06311359996</v>
      </c>
    </row>
    <row r="3277" spans="1:1" ht="11.75" customHeight="1">
      <c r="A3277" s="1989">
        <f>1.21*G108*D20*24/1000</f>
        <v>156.29328000000001</v>
      </c>
    </row>
    <row r="3278" spans="1:1" ht="11.75" customHeight="1">
      <c r="A3278" s="1989">
        <f>1.21*G108*D20*24</f>
        <v>156293.28</v>
      </c>
    </row>
    <row r="3279" spans="1:1" ht="11.75" customHeight="1">
      <c r="A3279" s="1989">
        <f>1.21*G108*D20</f>
        <v>6512.22</v>
      </c>
    </row>
    <row r="3280" spans="1:1" ht="11.75" customHeight="1">
      <c r="A3280" s="1989">
        <f>1.21*G108</f>
        <v>1.4157</v>
      </c>
    </row>
    <row r="3281" spans="1:1" ht="11.75" customHeight="1">
      <c r="A3281" s="1989" t="b">
        <f>D108="Measured"</f>
        <v>0</v>
      </c>
    </row>
    <row r="3282" spans="1:1" ht="11.75" customHeight="1">
      <c r="A3282" s="1989">
        <f>G109*D105/D101*3.6</f>
        <v>17.44312813431209</v>
      </c>
    </row>
    <row r="3283" spans="1:1" ht="11.75" customHeight="1">
      <c r="A3283" s="1989">
        <f>G109*D105</f>
        <v>12000</v>
      </c>
    </row>
    <row r="3284" spans="1:1" ht="11.75" customHeight="1">
      <c r="A3284" s="1989">
        <f>D101*3.6</f>
        <v>8915.8319999999985</v>
      </c>
    </row>
    <row r="3285" spans="1:1" ht="11.75" customHeight="1">
      <c r="A3285" s="1989">
        <f>IF(D108="AL-1A",0.89,IF(D108="AL-2A",0.71,IF(D108="AL-3A",0.53,IF(D108="AL-4A",0.35,IF(D108="AL-5A",0.21,IF(D108="AL-1B",1.17,IF(D108="AL-2B",0.98,IF(D108="AL-3B",0.78,IF(D108="AL-4B",0.59,IF(D108="AL-5B",0.39,IF(D108="AL-6B",0.23,IF(D108="PH Classic",0.6*D105/D101*3.6,IF(D108="PH Low",1*D105/D101*3.6,IF(D108="PH+",0.1))))))))))))))</f>
        <v>1.17</v>
      </c>
    </row>
    <row r="3286" spans="1:1" ht="11.75" customHeight="1">
      <c r="A3286" s="1989" t="b">
        <f>D108="AL-1A"</f>
        <v>0</v>
      </c>
    </row>
    <row r="3287" spans="1:1" ht="11.75" customHeight="1">
      <c r="A3287" s="1989">
        <f>IF(D108="AL-2A",0.71,IF(D108="AL-3A",0.53,IF(D108="AL-4A",0.35,IF(D108="AL-5A",0.21,IF(D108="AL-1B",1.17,IF(D108="AL-2B",0.98,IF(D108="AL-3B",0.78,IF(D108="AL-4B",0.59,IF(D108="AL-5B",0.39,IF(D108="AL-6B",0.23,IF(D108="PH Classic",0.6*D105/D101*3.6,IF(D108="PH Low",1*D105/D101*3.6,IF(D108="PH+",0.1)))))))))))))</f>
        <v>1.17</v>
      </c>
    </row>
    <row r="3288" spans="1:1" ht="11.75" customHeight="1">
      <c r="A3288" s="1989" t="b">
        <f>D108="AL-2A"</f>
        <v>0</v>
      </c>
    </row>
    <row r="3289" spans="1:1" ht="11.75" customHeight="1">
      <c r="A3289" s="1989">
        <f>IF(D108="AL-3A",0.53,IF(D108="AL-4A",0.35,IF(D108="AL-5A",0.21,IF(D108="AL-1B",1.17,IF(D108="AL-2B",0.98,IF(D108="AL-3B",0.78,IF(D108="AL-4B",0.59,IF(D108="AL-5B",0.39,IF(D108="AL-6B",0.23,IF(D108="PH Classic",0.6*D105/D101*3.6,IF(D108="PH Low",1*D105/D101*3.6,IF(D108="PH+",0.1))))))))))))</f>
        <v>1.17</v>
      </c>
    </row>
    <row r="3290" spans="1:1" ht="11.75" customHeight="1">
      <c r="A3290" s="1989" t="b">
        <f>D108="AL-3A"</f>
        <v>0</v>
      </c>
    </row>
    <row r="3291" spans="1:1" ht="11.75" customHeight="1">
      <c r="A3291" s="1989">
        <f>IF(D108="AL-4A",0.35,IF(D108="AL-5A",0.21,IF(D108="AL-1B",1.17,IF(D108="AL-2B",0.98,IF(D108="AL-3B",0.78,IF(D108="AL-4B",0.59,IF(D108="AL-5B",0.39,IF(D108="AL-6B",0.23,IF(D108="PH Classic",0.6*D105/D101*3.6,IF(D108="PH Low",1*D105/D101*3.6,IF(D108="PH+",0.1)))))))))))</f>
        <v>1.17</v>
      </c>
    </row>
    <row r="3292" spans="1:1" ht="11.75" customHeight="1">
      <c r="A3292" s="1989" t="b">
        <f>D108="AL-4A"</f>
        <v>0</v>
      </c>
    </row>
    <row r="3293" spans="1:1" ht="11.75" customHeight="1">
      <c r="A3293" s="1989">
        <f>IF(D108="AL-5A",0.21,IF(D108="AL-1B",1.17,IF(D108="AL-2B",0.98,IF(D108="AL-3B",0.78,IF(D108="AL-4B",0.59,IF(D108="AL-5B",0.39,IF(D108="AL-6B",0.23,IF(D108="PH Classic",0.6*D105/D101*3.6,IF(D108="PH Low",1*D105/D101*3.6,IF(D108="PH+",0.1))))))))))</f>
        <v>1.17</v>
      </c>
    </row>
    <row r="3294" spans="1:1" ht="11.75" customHeight="1">
      <c r="A3294" s="1989" t="b">
        <f>D108="AL-5A"</f>
        <v>0</v>
      </c>
    </row>
    <row r="3295" spans="1:1" ht="11.75" customHeight="1">
      <c r="A3295" s="1989">
        <f>IF(D108="AL-1B",1.17,IF(D108="AL-2B",0.98,IF(D108="AL-3B",0.78,IF(D108="AL-4B",0.59,IF(D108="AL-5B",0.39,IF(D108="AL-6B",0.23,IF(D108="PH Classic",0.6*D105/D101*3.6,IF(D108="PH Low",1*D105/D101*3.6,IF(D108="PH+",0.1)))))))))</f>
        <v>1.17</v>
      </c>
    </row>
    <row r="3296" spans="1:1" ht="11.75" customHeight="1">
      <c r="A3296" s="1989" t="b">
        <f>D108="AL-1B"</f>
        <v>1</v>
      </c>
    </row>
    <row r="3297" spans="1:1" ht="11.75" customHeight="1">
      <c r="A3297" s="1989" t="b">
        <f>IF(D108="AL-2B",0.98,IF(D108="AL-3B",0.78,IF(D108="AL-4B",0.59,IF(D108="AL-5B",0.39,IF(D108="AL-6B",0.23,IF(D108="PH Classic",0.6*D105/D101*3.6,IF(D108="PH Low",1*D105/D101*3.6,IF(D108="PH+",0.1))))))))</f>
        <v>0</v>
      </c>
    </row>
    <row r="3298" spans="1:1" ht="11.75" customHeight="1">
      <c r="A3298" s="1989" t="b">
        <f>D108="AL-2B"</f>
        <v>0</v>
      </c>
    </row>
    <row r="3299" spans="1:1" ht="11.75" customHeight="1">
      <c r="A3299" s="1989" t="b">
        <f>IF(D108="AL-3B",0.78,IF(D108="AL-4B",0.59,IF(D108="AL-5B",0.39,IF(D108="AL-6B",0.23,IF(D108="PH Classic",0.6*D105/D101*3.6,IF(D108="PH Low",1*D105/D101*3.6,IF(D108="PH+",0.1)))))))</f>
        <v>0</v>
      </c>
    </row>
    <row r="3300" spans="1:1" ht="11.75" customHeight="1">
      <c r="A3300" s="1989" t="b">
        <f>D108="AL-3B"</f>
        <v>0</v>
      </c>
    </row>
    <row r="3301" spans="1:1" ht="11.75" customHeight="1">
      <c r="A3301" s="1989" t="b">
        <f>IF(D108="AL-4B",0.59,IF(D108="AL-5B",0.39,IF(D108="AL-6B",0.23,IF(D108="PH Classic",0.6*D105/D101*3.6,IF(D108="PH Low",1*D105/D101*3.6,IF(D108="PH+",0.1))))))</f>
        <v>0</v>
      </c>
    </row>
    <row r="3302" spans="1:1" ht="11.75" customHeight="1">
      <c r="A3302" s="1989" t="b">
        <f>D108="AL-4B"</f>
        <v>0</v>
      </c>
    </row>
    <row r="3303" spans="1:1" ht="11.75" customHeight="1">
      <c r="A3303" s="1989" t="b">
        <f>IF(D108="AL-5B",0.39,IF(D108="AL-6B",0.23,IF(D108="PH Classic",0.6*D105/D101*3.6,IF(D108="PH Low",1*D105/D101*3.6,IF(D108="PH+",0.1)))))</f>
        <v>0</v>
      </c>
    </row>
    <row r="3304" spans="1:1" ht="11.75" customHeight="1">
      <c r="A3304" s="1989">
        <f>IF(H20="Present",VLOOKUP(H19,CANADA!A6:K699,9,FALSE),VLOOKUP(H19,CANADA!A6:K699,11,FALSE))</f>
        <v>4600</v>
      </c>
    </row>
    <row r="3305" spans="1:1" ht="11.75" customHeight="1">
      <c r="A3305" s="1989">
        <f>MATCH('NRL50-n-Factors'!D34,'NRL50-n-Factors'!C38:C49,0)</f>
        <v>5</v>
      </c>
    </row>
    <row r="3306" spans="1:1" ht="11.75" customHeight="1">
      <c r="A3306" s="1989">
        <f>MATCH(REPORT!D103,'NRL50-n-Factors'!D37:J37,0)</f>
        <v>2</v>
      </c>
    </row>
    <row r="3307" spans="1:1" ht="11.75" customHeight="1">
      <c r="A3307" s="1989" t="b">
        <f>D51="Gas"</f>
        <v>0</v>
      </c>
    </row>
    <row r="3308" spans="1:1" ht="11.75" customHeight="1">
      <c r="A3308" s="1989">
        <f>D$20*G101*24</f>
        <v>30728.853316304834</v>
      </c>
    </row>
    <row r="3309" spans="1:1" ht="11.75" customHeight="1">
      <c r="A3309" s="1989">
        <f>SUM(H65:H67)</f>
        <v>84390.33600000001</v>
      </c>
    </row>
    <row r="3310" spans="1:1" ht="11.75" customHeight="1">
      <c r="A3310" s="1989">
        <f>IF(D113="Heatpump",K51+D117+D114+M43+H70,IF(D113="Gas",K51+D117+M43+H70))</f>
        <v>132765.64793897627</v>
      </c>
    </row>
    <row r="3311" spans="1:1" ht="11.75" customHeight="1">
      <c r="A3311" s="1989" t="b">
        <f>D113="Heatpump"</f>
        <v>1</v>
      </c>
    </row>
    <row r="3312" spans="1:1" ht="11.75" customHeight="1">
      <c r="A3312" s="1990">
        <f>K51+D117+D114+M43+H70</f>
        <v>132765.64793897627</v>
      </c>
    </row>
    <row r="3313" spans="1:1" ht="11.75" customHeight="1">
      <c r="A3313" s="1989" t="b">
        <f>IF(D113="Gas",K51+D117+M43+H70)</f>
        <v>0</v>
      </c>
    </row>
    <row r="3314" spans="1:1" ht="11.75" customHeight="1">
      <c r="A3314" s="1989">
        <f>SUM(D44:D46)</f>
        <v>0</v>
      </c>
    </row>
    <row r="3315" spans="1:1" ht="11.75" customHeight="1">
      <c r="A3315" s="1990">
        <f>I44+I45</f>
        <v>0</v>
      </c>
    </row>
    <row r="3316" spans="1:1" ht="11.75" customHeight="1">
      <c r="A3316" s="1989">
        <f>H28*0.0373</f>
        <v>0</v>
      </c>
    </row>
    <row r="3317" spans="1:1" ht="11.75" customHeight="1">
      <c r="A3317" s="1989">
        <f>H30*36.72</f>
        <v>0</v>
      </c>
    </row>
    <row r="3318" spans="1:1" ht="11.75" customHeight="1">
      <c r="A3318" s="1990">
        <f>H27-D43</f>
        <v>132765.64793897627</v>
      </c>
    </row>
    <row r="3319" spans="1:1" ht="11.75" customHeight="1">
      <c r="A3319" s="1989" t="b">
        <f>D113="Electricity"</f>
        <v>0</v>
      </c>
    </row>
    <row r="3320" spans="1:1" ht="11.75" customHeight="1">
      <c r="A3320" s="1990">
        <f>I103+K51+D117+M121+I101+I102+M43+SUM(H65:H67)</f>
        <v>265287.6445956853</v>
      </c>
    </row>
    <row r="3321" spans="1:1" ht="11.75" customHeight="1">
      <c r="A3321" s="1990">
        <f>I103+K51+D117+M121+I101+I102+M43</f>
        <v>180897.30859568529</v>
      </c>
    </row>
    <row r="3322" spans="1:1" ht="11.75" customHeight="1">
      <c r="A3322" s="1990">
        <f>I103+K51+D117+M121+I101+I102</f>
        <v>180897.30859568529</v>
      </c>
    </row>
    <row r="3323" spans="1:1" ht="11.75" customHeight="1">
      <c r="A3323" s="1990">
        <f>I103+K51+D117+M121+I101</f>
        <v>164109.06314703665</v>
      </c>
    </row>
    <row r="3324" spans="1:1" ht="11.75" customHeight="1">
      <c r="A3324" s="1990">
        <f>I103+K51+D117+M121</f>
        <v>88005.3704468098</v>
      </c>
    </row>
    <row r="3325" spans="1:1" ht="11.75" customHeight="1">
      <c r="A3325" s="1990">
        <f>I103+K51+D117</f>
        <v>39024.570446809812</v>
      </c>
    </row>
    <row r="3326" spans="1:1" ht="11.75" customHeight="1">
      <c r="A3326" s="1990">
        <f>I103+K51</f>
        <v>36006.531012790423</v>
      </c>
    </row>
    <row r="3327" spans="1:1" ht="11.75" customHeight="1">
      <c r="A3327" s="1989">
        <f>1.21*G108*D20*24/1000*D101</f>
        <v>387079.06311359996</v>
      </c>
    </row>
    <row r="3328" spans="1:1" ht="11.75" customHeight="1">
      <c r="A3328" s="1989">
        <f>1.21*G108*D20*24/1000</f>
        <v>156.29328000000001</v>
      </c>
    </row>
    <row r="3329" spans="1:1" ht="11.75" customHeight="1">
      <c r="A3329" s="1989">
        <f>1.21*G108*D20*24</f>
        <v>156293.28</v>
      </c>
    </row>
    <row r="3330" spans="1:1" ht="11.75" customHeight="1">
      <c r="A3330" s="1989">
        <f>1.21*G108*D20</f>
        <v>6512.22</v>
      </c>
    </row>
    <row r="3331" spans="1:1" ht="11.75" customHeight="1">
      <c r="A3331" s="1989">
        <f>1.21*G108</f>
        <v>1.4157</v>
      </c>
    </row>
    <row r="3332" spans="1:1" ht="11.75" customHeight="1">
      <c r="A3332" s="1989" t="b">
        <f>D108="Measured"</f>
        <v>0</v>
      </c>
    </row>
    <row r="3333" spans="1:1" ht="11.75" customHeight="1">
      <c r="A3333" s="1989">
        <f>G109*D105/D101*3.6</f>
        <v>17.44312813431209</v>
      </c>
    </row>
    <row r="3334" spans="1:1" ht="11.75" customHeight="1">
      <c r="A3334" s="1989">
        <f>G109*D105</f>
        <v>12000</v>
      </c>
    </row>
    <row r="3335" spans="1:1" ht="11.75" customHeight="1">
      <c r="A3335" s="1989">
        <f>D101*3.6</f>
        <v>8915.8319999999985</v>
      </c>
    </row>
    <row r="3336" spans="1:1" ht="11.75" customHeight="1">
      <c r="A3336" s="1989">
        <f>IF(D108="AL-1A",0.89,IF(D108="AL-2A",0.71,IF(D108="AL-3A",0.53,IF(D108="AL-4A",0.35,IF(D108="AL-5A",0.21,IF(D108="AL-1B",1.17,IF(D108="AL-2B",0.98,IF(D108="AL-3B",0.78,IF(D108="AL-4B",0.59,IF(D108="AL-5B",0.39,IF(D108="AL-6B",0.23,IF(D108="PH Classic",0.6*D105/D101*3.6,IF(D108="PH Low",1*D105/D101*3.6,IF(D108="PH+",0.1))))))))))))))</f>
        <v>1.17</v>
      </c>
    </row>
    <row r="3337" spans="1:1" ht="11.75" customHeight="1">
      <c r="A3337" s="1989" t="b">
        <f>D108="AL-1A"</f>
        <v>0</v>
      </c>
    </row>
    <row r="3338" spans="1:1" ht="11.75" customHeight="1">
      <c r="A3338" s="1989">
        <f>IF(D108="AL-2A",0.71,IF(D108="AL-3A",0.53,IF(D108="AL-4A",0.35,IF(D108="AL-5A",0.21,IF(D108="AL-1B",1.17,IF(D108="AL-2B",0.98,IF(D108="AL-3B",0.78,IF(D108="AL-4B",0.59,IF(D108="AL-5B",0.39,IF(D108="AL-6B",0.23,IF(D108="PH Classic",0.6*D105/D101*3.6,IF(D108="PH Low",1*D105/D101*3.6,IF(D108="PH+",0.1)))))))))))))</f>
        <v>1.17</v>
      </c>
    </row>
    <row r="3339" spans="1:1" ht="11.75" customHeight="1">
      <c r="A3339" s="1989" t="b">
        <f>D108="AL-2A"</f>
        <v>0</v>
      </c>
    </row>
    <row r="3340" spans="1:1" ht="11.75" customHeight="1">
      <c r="A3340" s="1989">
        <f>IF(D108="AL-3A",0.53,IF(D108="AL-4A",0.35,IF(D108="AL-5A",0.21,IF(D108="AL-1B",1.17,IF(D108="AL-2B",0.98,IF(D108="AL-3B",0.78,IF(D108="AL-4B",0.59,IF(D108="AL-5B",0.39,IF(D108="AL-6B",0.23,IF(D108="PH Classic",0.6*D105/D101*3.6,IF(D108="PH Low",1*D105/D101*3.6,IF(D108="PH+",0.1))))))))))))</f>
        <v>1.17</v>
      </c>
    </row>
    <row r="3341" spans="1:1" ht="11.75" customHeight="1">
      <c r="A3341" s="1989" t="b">
        <f>D108="AL-3A"</f>
        <v>0</v>
      </c>
    </row>
    <row r="3342" spans="1:1" ht="11.75" customHeight="1">
      <c r="A3342" s="1989">
        <f>IF(D108="AL-4A",0.35,IF(D108="AL-5A",0.21,IF(D108="AL-1B",1.17,IF(D108="AL-2B",0.98,IF(D108="AL-3B",0.78,IF(D108="AL-4B",0.59,IF(D108="AL-5B",0.39,IF(D108="AL-6B",0.23,IF(D108="PH Classic",0.6*D105/D101*3.6,IF(D108="PH Low",1*D105/D101*3.6,IF(D108="PH+",0.1)))))))))))</f>
        <v>1.17</v>
      </c>
    </row>
    <row r="3343" spans="1:1" ht="11.75" customHeight="1">
      <c r="A3343" s="1989" t="b">
        <f>D108="AL-4A"</f>
        <v>0</v>
      </c>
    </row>
    <row r="3344" spans="1:1" ht="11.75" customHeight="1">
      <c r="A3344" s="1989">
        <f>IF(D108="AL-5A",0.21,IF(D108="AL-1B",1.17,IF(D108="AL-2B",0.98,IF(D108="AL-3B",0.78,IF(D108="AL-4B",0.59,IF(D108="AL-5B",0.39,IF(D108="AL-6B",0.23,IF(D108="PH Classic",0.6*D105/D101*3.6,IF(D108="PH Low",1*D105/D101*3.6,IF(D108="PH+",0.1))))))))))</f>
        <v>1.17</v>
      </c>
    </row>
    <row r="3345" spans="1:1" ht="11.75" customHeight="1">
      <c r="A3345" s="1989" t="b">
        <f>D108="AL-5A"</f>
        <v>0</v>
      </c>
    </row>
    <row r="3346" spans="1:1" ht="11.75" customHeight="1">
      <c r="A3346" s="1989">
        <f>IF(D108="AL-1B",1.17,IF(D108="AL-2B",0.98,IF(D108="AL-3B",0.78,IF(D108="AL-4B",0.59,IF(D108="AL-5B",0.39,IF(D108="AL-6B",0.23,IF(D108="PH Classic",0.6*D105/D101*3.6,IF(D108="PH Low",1*D105/D101*3.6,IF(D108="PH+",0.1)))))))))</f>
        <v>1.17</v>
      </c>
    </row>
    <row r="3347" spans="1:1" ht="11.75" customHeight="1">
      <c r="A3347" s="1989" t="b">
        <f>D108="AL-1B"</f>
        <v>1</v>
      </c>
    </row>
    <row r="3348" spans="1:1" ht="11.75" customHeight="1">
      <c r="A3348" s="1989" t="b">
        <f>IF(D108="AL-2B",0.98,IF(D108="AL-3B",0.78,IF(D108="AL-4B",0.59,IF(D108="AL-5B",0.39,IF(D108="AL-6B",0.23,IF(D108="PH Classic",0.6*D105/D101*3.6,IF(D108="PH Low",1*D105/D101*3.6,IF(D108="PH+",0.1))))))))</f>
        <v>0</v>
      </c>
    </row>
    <row r="3349" spans="1:1" ht="11.75" customHeight="1">
      <c r="A3349" s="1989" t="b">
        <f>D108="AL-2B"</f>
        <v>0</v>
      </c>
    </row>
    <row r="3350" spans="1:1" ht="11.75" customHeight="1">
      <c r="A3350" s="1989" t="b">
        <f>IF(D108="AL-3B",0.78,IF(D108="AL-4B",0.59,IF(D108="AL-5B",0.39,IF(D108="AL-6B",0.23,IF(D108="PH Classic",0.6*D105/D101*3.6,IF(D108="PH Low",1*D105/D101*3.6,IF(D108="PH+",0.1)))))))</f>
        <v>0</v>
      </c>
    </row>
    <row r="3351" spans="1:1" ht="11.75" customHeight="1">
      <c r="A3351" s="1989" t="b">
        <f>D108="AL-3B"</f>
        <v>0</v>
      </c>
    </row>
    <row r="3352" spans="1:1" ht="11.75" customHeight="1">
      <c r="A3352" s="1989" t="b">
        <f>IF(D108="AL-4B",0.59,IF(D108="AL-5B",0.39,IF(D108="AL-6B",0.23,IF(D108="PH Classic",0.6*D105/D101*3.6,IF(D108="PH Low",1*D105/D101*3.6,IF(D108="PH+",0.1))))))</f>
        <v>0</v>
      </c>
    </row>
    <row r="3353" spans="1:1" ht="11.75" customHeight="1">
      <c r="A3353" s="1989" t="b">
        <f>D108="AL-4B"</f>
        <v>0</v>
      </c>
    </row>
    <row r="3354" spans="1:1" ht="11.75" customHeight="1">
      <c r="A3354" s="1989" t="b">
        <f>IF(D108="AL-5B",0.39,IF(D108="AL-6B",0.23,IF(D108="PH Classic",0.6*D105/D101*3.6,IF(D108="PH Low",1*D105/D101*3.6,IF(D108="PH+",0.1)))))</f>
        <v>0</v>
      </c>
    </row>
    <row r="3355" spans="1:1" ht="11.75" customHeight="1">
      <c r="A3355" s="1989">
        <f>IF(H20="Present",VLOOKUP(H19,CANADA!A6:K699,9,FALSE),VLOOKUP(H19,CANADA!A6:K699,11,FALSE))</f>
        <v>4600</v>
      </c>
    </row>
    <row r="3356" spans="1:1" ht="11.75" customHeight="1">
      <c r="A3356" s="1989">
        <f>MATCH('NRL50-n-Factors'!D34,'NRL50-n-Factors'!C38:C49,0)</f>
        <v>5</v>
      </c>
    </row>
    <row r="3357" spans="1:1" ht="11.75" customHeight="1">
      <c r="A3357" s="1989">
        <f>MATCH(REPORT!D103,'NRL50-n-Factors'!D37:J37,0)</f>
        <v>2</v>
      </c>
    </row>
    <row r="3358" spans="1:1" ht="11.75" customHeight="1">
      <c r="A3358" s="1989" t="b">
        <f>D51="Gas"</f>
        <v>0</v>
      </c>
    </row>
    <row r="3359" spans="1:1" ht="11.75" customHeight="1">
      <c r="A3359" s="1989">
        <f>D$20*G101*24</f>
        <v>30728.853316304834</v>
      </c>
    </row>
    <row r="3360" spans="1:1" ht="11.75" customHeight="1">
      <c r="A3360" s="1989">
        <f>SUM(H65:H67)</f>
        <v>84390.33600000001</v>
      </c>
    </row>
    <row r="3361" spans="1:1" ht="11.75" customHeight="1">
      <c r="A3361" s="1989">
        <f>IF(D113="Heatpump",K51+D117+D114+M43+H70,IF(D113="Gas",K51+D117+M43+H70))</f>
        <v>132765.64793897627</v>
      </c>
    </row>
    <row r="3362" spans="1:1" ht="11.75" customHeight="1">
      <c r="A3362" s="1989" t="b">
        <f>D113="Heatpump"</f>
        <v>1</v>
      </c>
    </row>
    <row r="3363" spans="1:1" ht="11.75" customHeight="1">
      <c r="A3363" s="1990">
        <f>K51+D117+D114+M43+H70</f>
        <v>132765.64793897627</v>
      </c>
    </row>
    <row r="3364" spans="1:1" ht="11.75" customHeight="1">
      <c r="A3364" s="1989" t="b">
        <f>IF(D113="Gas",K51+D117+M43+H70)</f>
        <v>0</v>
      </c>
    </row>
    <row r="3365" spans="1:1" ht="11.75" customHeight="1">
      <c r="A3365" s="1989">
        <f>SUM(D44:D46)</f>
        <v>0</v>
      </c>
    </row>
    <row r="3366" spans="1:1" ht="11.75" customHeight="1">
      <c r="A3366" s="1990">
        <f>I44+I45</f>
        <v>0</v>
      </c>
    </row>
    <row r="3367" spans="1:1" ht="11.75" customHeight="1">
      <c r="A3367" s="1989">
        <f>H28*0.0373</f>
        <v>0</v>
      </c>
    </row>
    <row r="3368" spans="1:1" ht="11.75" customHeight="1">
      <c r="A3368" s="1989">
        <f>H30*36.72</f>
        <v>0</v>
      </c>
    </row>
    <row r="3369" spans="1:1" ht="11.75" customHeight="1">
      <c r="A3369" s="1990">
        <f>H27-D43</f>
        <v>132765.64793897627</v>
      </c>
    </row>
    <row r="3370" spans="1:1" ht="11.75" customHeight="1">
      <c r="A3370" s="1989" t="b">
        <f>D113="Electricity"</f>
        <v>0</v>
      </c>
    </row>
    <row r="3371" spans="1:1" ht="11.75" customHeight="1">
      <c r="A3371" s="1990">
        <f>I103+K51+D117+M121+I101+I102+M43+SUM(H65:H67)</f>
        <v>265287.6445956853</v>
      </c>
    </row>
    <row r="3372" spans="1:1" ht="11.75" customHeight="1">
      <c r="A3372" s="1990">
        <f>I103+K51+D117+M121+I101+I102+M43</f>
        <v>180897.30859568529</v>
      </c>
    </row>
    <row r="3373" spans="1:1" ht="11.75" customHeight="1">
      <c r="A3373" s="1990">
        <f>I103+K51+D117+M121+I101+I102</f>
        <v>180897.30859568529</v>
      </c>
    </row>
    <row r="3374" spans="1:1" ht="11.75" customHeight="1">
      <c r="A3374" s="1990">
        <f>I103+K51+D117+M121+I101</f>
        <v>164109.06314703665</v>
      </c>
    </row>
    <row r="3375" spans="1:1" ht="11.75" customHeight="1">
      <c r="A3375" s="1990">
        <f>I103+K51+D117+M121</f>
        <v>88005.3704468098</v>
      </c>
    </row>
    <row r="3376" spans="1:1" ht="11.75" customHeight="1">
      <c r="A3376" s="1990">
        <f>I103+K51+D117</f>
        <v>39024.570446809812</v>
      </c>
    </row>
    <row r="3377" spans="1:1" ht="11.75" customHeight="1">
      <c r="A3377" s="1990">
        <f>I103+K51</f>
        <v>36006.531012790423</v>
      </c>
    </row>
    <row r="3378" spans="1:1" ht="11.75" customHeight="1">
      <c r="A3378" s="1989">
        <f>1.21*G108*D20*24/1000*D101</f>
        <v>387079.06311359996</v>
      </c>
    </row>
    <row r="3379" spans="1:1" ht="11.75" customHeight="1">
      <c r="A3379" s="1989">
        <f>1.21*G108*D20*24/1000</f>
        <v>156.29328000000001</v>
      </c>
    </row>
    <row r="3380" spans="1:1" ht="11.75" customHeight="1">
      <c r="A3380" s="1989">
        <f>1.21*G108*D20*24</f>
        <v>156293.28</v>
      </c>
    </row>
    <row r="3381" spans="1:1" ht="11.75" customHeight="1">
      <c r="A3381" s="1989">
        <f>1.21*G108*D20</f>
        <v>6512.22</v>
      </c>
    </row>
    <row r="3382" spans="1:1" ht="11.75" customHeight="1">
      <c r="A3382" s="1989">
        <f>1.21*G108</f>
        <v>1.4157</v>
      </c>
    </row>
    <row r="3383" spans="1:1" ht="11.75" customHeight="1">
      <c r="A3383" s="1989" t="b">
        <f>D108="Measured"</f>
        <v>0</v>
      </c>
    </row>
    <row r="3384" spans="1:1" ht="11.75" customHeight="1">
      <c r="A3384" s="1989">
        <f>G109*D105/D101*3.6</f>
        <v>17.44312813431209</v>
      </c>
    </row>
    <row r="3385" spans="1:1" ht="11.75" customHeight="1">
      <c r="A3385" s="1989">
        <f>G109*D105</f>
        <v>12000</v>
      </c>
    </row>
    <row r="3386" spans="1:1" ht="11.75" customHeight="1">
      <c r="A3386" s="1989">
        <f>D101*3.6</f>
        <v>8915.8319999999985</v>
      </c>
    </row>
    <row r="3387" spans="1:1" ht="11.75" customHeight="1">
      <c r="A3387" s="1989">
        <f>IF(D108="AL-1A",0.89,IF(D108="AL-2A",0.71,IF(D108="AL-3A",0.53,IF(D108="AL-4A",0.35,IF(D108="AL-5A",0.21,IF(D108="AL-1B",1.17,IF(D108="AL-2B",0.98,IF(D108="AL-3B",0.78,IF(D108="AL-4B",0.59,IF(D108="AL-5B",0.39,IF(D108="AL-6B",0.23,IF(D108="PH Classic",0.6*D105/D101*3.6,IF(D108="PH Low",1*D105/D101*3.6,IF(D108="PH+",0.1))))))))))))))</f>
        <v>1.17</v>
      </c>
    </row>
    <row r="3388" spans="1:1" ht="11.75" customHeight="1">
      <c r="A3388" s="1989" t="b">
        <f>D108="AL-1A"</f>
        <v>0</v>
      </c>
    </row>
    <row r="3389" spans="1:1" ht="11.75" customHeight="1">
      <c r="A3389" s="1989">
        <f>IF(D108="AL-2A",0.71,IF(D108="AL-3A",0.53,IF(D108="AL-4A",0.35,IF(D108="AL-5A",0.21,IF(D108="AL-1B",1.17,IF(D108="AL-2B",0.98,IF(D108="AL-3B",0.78,IF(D108="AL-4B",0.59,IF(D108="AL-5B",0.39,IF(D108="AL-6B",0.23,IF(D108="PH Classic",0.6*D105/D101*3.6,IF(D108="PH Low",1*D105/D101*3.6,IF(D108="PH+",0.1)))))))))))))</f>
        <v>1.17</v>
      </c>
    </row>
    <row r="3390" spans="1:1" ht="11.75" customHeight="1">
      <c r="A3390" s="1989" t="b">
        <f>D108="AL-2A"</f>
        <v>0</v>
      </c>
    </row>
    <row r="3391" spans="1:1" ht="11.75" customHeight="1">
      <c r="A3391" s="1989">
        <f>IF(D108="AL-3A",0.53,IF(D108="AL-4A",0.35,IF(D108="AL-5A",0.21,IF(D108="AL-1B",1.17,IF(D108="AL-2B",0.98,IF(D108="AL-3B",0.78,IF(D108="AL-4B",0.59,IF(D108="AL-5B",0.39,IF(D108="AL-6B",0.23,IF(D108="PH Classic",0.6*D105/D101*3.6,IF(D108="PH Low",1*D105/D101*3.6,IF(D108="PH+",0.1))))))))))))</f>
        <v>1.17</v>
      </c>
    </row>
    <row r="3392" spans="1:1" ht="11.75" customHeight="1">
      <c r="A3392" s="1989" t="b">
        <f>D108="AL-3A"</f>
        <v>0</v>
      </c>
    </row>
    <row r="3393" spans="1:1" ht="11.75" customHeight="1">
      <c r="A3393" s="1989">
        <f>IF(D108="AL-4A",0.35,IF(D108="AL-5A",0.21,IF(D108="AL-1B",1.17,IF(D108="AL-2B",0.98,IF(D108="AL-3B",0.78,IF(D108="AL-4B",0.59,IF(D108="AL-5B",0.39,IF(D108="AL-6B",0.23,IF(D108="PH Classic",0.6*D105/D101*3.6,IF(D108="PH Low",1*D105/D101*3.6,IF(D108="PH+",0.1)))))))))))</f>
        <v>1.17</v>
      </c>
    </row>
    <row r="3394" spans="1:1" ht="11.75" customHeight="1">
      <c r="A3394" s="1989" t="b">
        <f>D108="AL-4A"</f>
        <v>0</v>
      </c>
    </row>
    <row r="3395" spans="1:1" ht="11.75" customHeight="1">
      <c r="A3395" s="1989">
        <f>IF(D108="AL-5A",0.21,IF(D108="AL-1B",1.17,IF(D108="AL-2B",0.98,IF(D108="AL-3B",0.78,IF(D108="AL-4B",0.59,IF(D108="AL-5B",0.39,IF(D108="AL-6B",0.23,IF(D108="PH Classic",0.6*D105/D101*3.6,IF(D108="PH Low",1*D105/D101*3.6,IF(D108="PH+",0.1))))))))))</f>
        <v>1.17</v>
      </c>
    </row>
    <row r="3396" spans="1:1" ht="11.75" customHeight="1">
      <c r="A3396" s="1989" t="b">
        <f>D108="AL-5A"</f>
        <v>0</v>
      </c>
    </row>
    <row r="3397" spans="1:1" ht="11.75" customHeight="1">
      <c r="A3397" s="1989">
        <f>IF(D108="AL-1B",1.17,IF(D108="AL-2B",0.98,IF(D108="AL-3B",0.78,IF(D108="AL-4B",0.59,IF(D108="AL-5B",0.39,IF(D108="AL-6B",0.23,IF(D108="PH Classic",0.6*D105/D101*3.6,IF(D108="PH Low",1*D105/D101*3.6,IF(D108="PH+",0.1)))))))))</f>
        <v>1.17</v>
      </c>
    </row>
    <row r="3398" spans="1:1" ht="11.75" customHeight="1">
      <c r="A3398" s="1989" t="b">
        <f>D108="AL-1B"</f>
        <v>1</v>
      </c>
    </row>
    <row r="3399" spans="1:1" ht="11.75" customHeight="1">
      <c r="A3399" s="1989" t="b">
        <f>IF(D108="AL-2B",0.98,IF(D108="AL-3B",0.78,IF(D108="AL-4B",0.59,IF(D108="AL-5B",0.39,IF(D108="AL-6B",0.23,IF(D108="PH Classic",0.6*D105/D101*3.6,IF(D108="PH Low",1*D105/D101*3.6,IF(D108="PH+",0.1))))))))</f>
        <v>0</v>
      </c>
    </row>
    <row r="3400" spans="1:1" ht="11.75" customHeight="1">
      <c r="A3400" s="1989" t="b">
        <f>D108="AL-2B"</f>
        <v>0</v>
      </c>
    </row>
    <row r="3401" spans="1:1" ht="11.75" customHeight="1">
      <c r="A3401" s="1989" t="b">
        <f>IF(D108="AL-3B",0.78,IF(D108="AL-4B",0.59,IF(D108="AL-5B",0.39,IF(D108="AL-6B",0.23,IF(D108="PH Classic",0.6*D105/D101*3.6,IF(D108="PH Low",1*D105/D101*3.6,IF(D108="PH+",0.1)))))))</f>
        <v>0</v>
      </c>
    </row>
    <row r="3402" spans="1:1" ht="11.75" customHeight="1">
      <c r="A3402" s="1989" t="b">
        <f>D108="AL-3B"</f>
        <v>0</v>
      </c>
    </row>
    <row r="3403" spans="1:1" ht="11.75" customHeight="1">
      <c r="A3403" s="1989" t="b">
        <f>IF(D108="AL-4B",0.59,IF(D108="AL-5B",0.39,IF(D108="AL-6B",0.23,IF(D108="PH Classic",0.6*D105/D101*3.6,IF(D108="PH Low",1*D105/D101*3.6,IF(D108="PH+",0.1))))))</f>
        <v>0</v>
      </c>
    </row>
    <row r="3404" spans="1:1" ht="11.75" customHeight="1">
      <c r="A3404" s="1989" t="b">
        <f>D108="AL-4B"</f>
        <v>0</v>
      </c>
    </row>
    <row r="3405" spans="1:1" ht="11.75" customHeight="1">
      <c r="A3405" s="1989" t="b">
        <f>IF(D108="AL-5B",0.39,IF(D108="AL-6B",0.23,IF(D108="PH Classic",0.6*D105/D101*3.6,IF(D108="PH Low",1*D105/D101*3.6,IF(D108="PH+",0.1)))))</f>
        <v>0</v>
      </c>
    </row>
    <row r="3406" spans="1:1" ht="11.75" customHeight="1">
      <c r="A3406" s="1989">
        <f>IF(H20="Present",VLOOKUP(H19,CANADA!A6:K699,9,FALSE),VLOOKUP(H19,CANADA!A6:K699,11,FALSE))</f>
        <v>4600</v>
      </c>
    </row>
    <row r="3407" spans="1:1" ht="11.75" customHeight="1">
      <c r="A3407" s="1989">
        <f>MATCH('NRL50-n-Factors'!D34,'NRL50-n-Factors'!C38:C49,0)</f>
        <v>5</v>
      </c>
    </row>
    <row r="3408" spans="1:1" ht="11.75" customHeight="1">
      <c r="A3408" s="1989">
        <f>MATCH(REPORT!D103,'NRL50-n-Factors'!D37:J37,0)</f>
        <v>2</v>
      </c>
    </row>
    <row r="3409" spans="1:1" ht="11.75" customHeight="1">
      <c r="A3409" s="1989" t="b">
        <f>D51="Gas"</f>
        <v>0</v>
      </c>
    </row>
    <row r="3410" spans="1:1" ht="11.75" customHeight="1">
      <c r="A3410" s="1989">
        <f>D$20*G101*24</f>
        <v>30728.853316304834</v>
      </c>
    </row>
    <row r="3411" spans="1:1" ht="11.75" customHeight="1">
      <c r="A3411" s="1989">
        <f>SUM(H65:H67)</f>
        <v>84390.33600000001</v>
      </c>
    </row>
    <row r="3412" spans="1:1" ht="11.75" customHeight="1">
      <c r="A3412" s="1989">
        <f>IF(D113="Heatpump",K51+D117+D114+M43+H70,IF(D113="Gas",K51+D117+M43+H70))</f>
        <v>132765.64793897627</v>
      </c>
    </row>
    <row r="3413" spans="1:1" ht="11.75" customHeight="1">
      <c r="A3413" s="1989" t="b">
        <f>D113="Heatpump"</f>
        <v>1</v>
      </c>
    </row>
    <row r="3414" spans="1:1" ht="11.75" customHeight="1">
      <c r="A3414" s="1990">
        <f>K51+D117+D114+M43+H70</f>
        <v>132765.64793897627</v>
      </c>
    </row>
    <row r="3415" spans="1:1" ht="11.75" customHeight="1">
      <c r="A3415" s="1989" t="b">
        <f>IF(D113="Gas",K51+D117+M43+H70)</f>
        <v>0</v>
      </c>
    </row>
    <row r="3416" spans="1:1" ht="11.75" customHeight="1">
      <c r="A3416" s="1989">
        <f>SUM(D44:D46)</f>
        <v>0</v>
      </c>
    </row>
    <row r="3417" spans="1:1" ht="11.75" customHeight="1">
      <c r="A3417" s="1990">
        <f>I44+I45</f>
        <v>0</v>
      </c>
    </row>
    <row r="3418" spans="1:1" ht="11.75" customHeight="1">
      <c r="A3418" s="1989">
        <f>H28*0.0373</f>
        <v>0</v>
      </c>
    </row>
    <row r="3419" spans="1:1" ht="11.75" customHeight="1">
      <c r="A3419" s="1989">
        <f>H30*36.72</f>
        <v>0</v>
      </c>
    </row>
    <row r="3420" spans="1:1" ht="11.75" customHeight="1">
      <c r="A3420" s="1990">
        <f>H27-D43</f>
        <v>132765.64793897627</v>
      </c>
    </row>
    <row r="3421" spans="1:1" ht="11.75" customHeight="1">
      <c r="A3421" s="1989" t="b">
        <f>D113="Electricity"</f>
        <v>0</v>
      </c>
    </row>
    <row r="3422" spans="1:1" ht="11.75" customHeight="1">
      <c r="A3422" s="1990">
        <f>I103+K51+D117+M121+I101+I102+M43+SUM(H65:H67)</f>
        <v>265287.6445956853</v>
      </c>
    </row>
    <row r="3423" spans="1:1" ht="11.75" customHeight="1">
      <c r="A3423" s="1990">
        <f>I103+K51+D117+M121+I101+I102+M43</f>
        <v>180897.30859568529</v>
      </c>
    </row>
    <row r="3424" spans="1:1" ht="11.75" customHeight="1">
      <c r="A3424" s="1990">
        <f>I103+K51+D117+M121+I101+I102</f>
        <v>180897.30859568529</v>
      </c>
    </row>
    <row r="3425" spans="1:1" ht="11.75" customHeight="1">
      <c r="A3425" s="1990">
        <f>I103+K51+D117+M121+I101</f>
        <v>164109.06314703665</v>
      </c>
    </row>
    <row r="3426" spans="1:1" ht="11.75" customHeight="1">
      <c r="A3426" s="1990">
        <f>I103+K51+D117+M121</f>
        <v>88005.3704468098</v>
      </c>
    </row>
    <row r="3427" spans="1:1" ht="11.75" customHeight="1">
      <c r="A3427" s="1990">
        <f>I103+K51+D117</f>
        <v>39024.570446809812</v>
      </c>
    </row>
    <row r="3428" spans="1:1" ht="11.75" customHeight="1">
      <c r="A3428" s="1990">
        <f>I103+K51</f>
        <v>36006.531012790423</v>
      </c>
    </row>
    <row r="3429" spans="1:1" ht="11.75" customHeight="1">
      <c r="A3429" s="1989">
        <f>1.21*G108*D20*24/1000*D101</f>
        <v>387079.06311359996</v>
      </c>
    </row>
    <row r="3430" spans="1:1" ht="11.75" customHeight="1">
      <c r="A3430" s="1989">
        <f>1.21*G108*D20*24/1000</f>
        <v>156.29328000000001</v>
      </c>
    </row>
    <row r="3431" spans="1:1" ht="11.75" customHeight="1">
      <c r="A3431" s="1989">
        <f>1.21*G108*D20*24</f>
        <v>156293.28</v>
      </c>
    </row>
    <row r="3432" spans="1:1" ht="11.75" customHeight="1">
      <c r="A3432" s="1989">
        <f>1.21*G108*D20</f>
        <v>6512.22</v>
      </c>
    </row>
    <row r="3433" spans="1:1" ht="11.75" customHeight="1">
      <c r="A3433" s="1989">
        <f>1.21*G108</f>
        <v>1.4157</v>
      </c>
    </row>
    <row r="3434" spans="1:1" ht="11.75" customHeight="1">
      <c r="A3434" s="1989" t="b">
        <f>D108="Measured"</f>
        <v>0</v>
      </c>
    </row>
    <row r="3435" spans="1:1" ht="11.75" customHeight="1">
      <c r="A3435" s="1989">
        <f>G109*D105/D101*3.6</f>
        <v>17.44312813431209</v>
      </c>
    </row>
    <row r="3436" spans="1:1" ht="11.75" customHeight="1">
      <c r="A3436" s="1989">
        <f>G109*D105</f>
        <v>12000</v>
      </c>
    </row>
    <row r="3437" spans="1:1" ht="11.75" customHeight="1">
      <c r="A3437" s="1989">
        <f>D101*3.6</f>
        <v>8915.8319999999985</v>
      </c>
    </row>
    <row r="3438" spans="1:1" ht="11.75" customHeight="1">
      <c r="A3438" s="1989">
        <f>IF(D108="AL-1A",0.89,IF(D108="AL-2A",0.71,IF(D108="AL-3A",0.53,IF(D108="AL-4A",0.35,IF(D108="AL-5A",0.21,IF(D108="AL-1B",1.17,IF(D108="AL-2B",0.98,IF(D108="AL-3B",0.78,IF(D108="AL-4B",0.59,IF(D108="AL-5B",0.39,IF(D108="AL-6B",0.23,IF(D108="PH Classic",0.6*D105/D101*3.6,IF(D108="PH Low",1*D105/D101*3.6,IF(D108="PH+",0.1))))))))))))))</f>
        <v>1.17</v>
      </c>
    </row>
    <row r="3439" spans="1:1" ht="11.75" customHeight="1">
      <c r="A3439" s="1989" t="b">
        <f>D108="AL-1A"</f>
        <v>0</v>
      </c>
    </row>
    <row r="3440" spans="1:1" ht="11.75" customHeight="1">
      <c r="A3440" s="1989">
        <f>IF(D108="AL-2A",0.71,IF(D108="AL-3A",0.53,IF(D108="AL-4A",0.35,IF(D108="AL-5A",0.21,IF(D108="AL-1B",1.17,IF(D108="AL-2B",0.98,IF(D108="AL-3B",0.78,IF(D108="AL-4B",0.59,IF(D108="AL-5B",0.39,IF(D108="AL-6B",0.23,IF(D108="PH Classic",0.6*D105/D101*3.6,IF(D108="PH Low",1*D105/D101*3.6,IF(D108="PH+",0.1)))))))))))))</f>
        <v>1.17</v>
      </c>
    </row>
    <row r="3441" spans="1:1" ht="11.75" customHeight="1">
      <c r="A3441" s="1989" t="b">
        <f>D108="AL-2A"</f>
        <v>0</v>
      </c>
    </row>
    <row r="3442" spans="1:1" ht="11.75" customHeight="1">
      <c r="A3442" s="1989">
        <f>IF(D108="AL-3A",0.53,IF(D108="AL-4A",0.35,IF(D108="AL-5A",0.21,IF(D108="AL-1B",1.17,IF(D108="AL-2B",0.98,IF(D108="AL-3B",0.78,IF(D108="AL-4B",0.59,IF(D108="AL-5B",0.39,IF(D108="AL-6B",0.23,IF(D108="PH Classic",0.6*D105/D101*3.6,IF(D108="PH Low",1*D105/D101*3.6,IF(D108="PH+",0.1))))))))))))</f>
        <v>1.17</v>
      </c>
    </row>
    <row r="3443" spans="1:1" ht="11.75" customHeight="1">
      <c r="A3443" s="1989" t="b">
        <f>D108="AL-3A"</f>
        <v>0</v>
      </c>
    </row>
    <row r="3444" spans="1:1" ht="11.75" customHeight="1">
      <c r="A3444" s="1989">
        <f>IF(D108="AL-4A",0.35,IF(D108="AL-5A",0.21,IF(D108="AL-1B",1.17,IF(D108="AL-2B",0.98,IF(D108="AL-3B",0.78,IF(D108="AL-4B",0.59,IF(D108="AL-5B",0.39,IF(D108="AL-6B",0.23,IF(D108="PH Classic",0.6*D105/D101*3.6,IF(D108="PH Low",1*D105/D101*3.6,IF(D108="PH+",0.1)))))))))))</f>
        <v>1.17</v>
      </c>
    </row>
    <row r="3445" spans="1:1" ht="11.75" customHeight="1">
      <c r="A3445" s="1989" t="b">
        <f>D108="AL-4A"</f>
        <v>0</v>
      </c>
    </row>
    <row r="3446" spans="1:1" ht="11.75" customHeight="1">
      <c r="A3446" s="1989">
        <f>IF(D108="AL-5A",0.21,IF(D108="AL-1B",1.17,IF(D108="AL-2B",0.98,IF(D108="AL-3B",0.78,IF(D108="AL-4B",0.59,IF(D108="AL-5B",0.39,IF(D108="AL-6B",0.23,IF(D108="PH Classic",0.6*D105/D101*3.6,IF(D108="PH Low",1*D105/D101*3.6,IF(D108="PH+",0.1))))))))))</f>
        <v>1.17</v>
      </c>
    </row>
    <row r="3447" spans="1:1" ht="11.75" customHeight="1">
      <c r="A3447" s="1989" t="b">
        <f>D108="AL-5A"</f>
        <v>0</v>
      </c>
    </row>
    <row r="3448" spans="1:1" ht="11.75" customHeight="1">
      <c r="A3448" s="1989">
        <f>IF(D108="AL-1B",1.17,IF(D108="AL-2B",0.98,IF(D108="AL-3B",0.78,IF(D108="AL-4B",0.59,IF(D108="AL-5B",0.39,IF(D108="AL-6B",0.23,IF(D108="PH Classic",0.6*D105/D101*3.6,IF(D108="PH Low",1*D105/D101*3.6,IF(D108="PH+",0.1)))))))))</f>
        <v>1.17</v>
      </c>
    </row>
    <row r="3449" spans="1:1" ht="11.75" customHeight="1">
      <c r="A3449" s="1989" t="b">
        <f>D108="AL-1B"</f>
        <v>1</v>
      </c>
    </row>
    <row r="3450" spans="1:1" ht="11.75" customHeight="1">
      <c r="A3450" s="1989" t="b">
        <f>IF(D108="AL-2B",0.98,IF(D108="AL-3B",0.78,IF(D108="AL-4B",0.59,IF(D108="AL-5B",0.39,IF(D108="AL-6B",0.23,IF(D108="PH Classic",0.6*D105/D101*3.6,IF(D108="PH Low",1*D105/D101*3.6,IF(D108="PH+",0.1))))))))</f>
        <v>0</v>
      </c>
    </row>
    <row r="3451" spans="1:1" ht="11.75" customHeight="1">
      <c r="A3451" s="1989" t="b">
        <f>D108="AL-2B"</f>
        <v>0</v>
      </c>
    </row>
    <row r="3452" spans="1:1" ht="11.75" customHeight="1">
      <c r="A3452" s="1989" t="b">
        <f>IF(D108="AL-3B",0.78,IF(D108="AL-4B",0.59,IF(D108="AL-5B",0.39,IF(D108="AL-6B",0.23,IF(D108="PH Classic",0.6*D105/D101*3.6,IF(D108="PH Low",1*D105/D101*3.6,IF(D108="PH+",0.1)))))))</f>
        <v>0</v>
      </c>
    </row>
    <row r="3453" spans="1:1" ht="11.75" customHeight="1">
      <c r="A3453" s="1989" t="b">
        <f>D108="AL-3B"</f>
        <v>0</v>
      </c>
    </row>
    <row r="3454" spans="1:1" ht="11.75" customHeight="1">
      <c r="A3454" s="1989" t="b">
        <f>IF(D108="AL-4B",0.59,IF(D108="AL-5B",0.39,IF(D108="AL-6B",0.23,IF(D108="PH Classic",0.6*D105/D101*3.6,IF(D108="PH Low",1*D105/D101*3.6,IF(D108="PH+",0.1))))))</f>
        <v>0</v>
      </c>
    </row>
    <row r="3455" spans="1:1" ht="11.75" customHeight="1">
      <c r="A3455" s="1989" t="b">
        <f>D108="AL-4B"</f>
        <v>0</v>
      </c>
    </row>
    <row r="3456" spans="1:1" ht="11.75" customHeight="1">
      <c r="A3456" s="1989" t="b">
        <f>IF(D108="AL-5B",0.39,IF(D108="AL-6B",0.23,IF(D108="PH Classic",0.6*D105/D101*3.6,IF(D108="PH Low",1*D105/D101*3.6,IF(D108="PH+",0.1)))))</f>
        <v>0</v>
      </c>
    </row>
    <row r="3457" spans="1:1" ht="11.75" customHeight="1">
      <c r="A3457" s="1989" t="b">
        <f>D108="AL-5B"</f>
        <v>0</v>
      </c>
    </row>
    <row r="3458" spans="1:1" ht="11.75" customHeight="1">
      <c r="A3458" s="1989" t="b">
        <f>IF(D108="AL-6B",0.23,IF(D108="PH Classic",0.6*D105/D101*3.6,IF(D108="PH Low",1*D105/D101*3.6,IF(D108="PH+",0.1))))</f>
        <v>0</v>
      </c>
    </row>
    <row r="3459" spans="1:1" ht="11.75" customHeight="1">
      <c r="A3459" s="1989">
        <f>IF(H20="Present",VLOOKUP(H19,CANADA!A6:K699,9,FALSE),VLOOKUP(H19,CANADA!A6:K699,11,FALSE))</f>
        <v>4600</v>
      </c>
    </row>
    <row r="3460" spans="1:1" ht="11.75" customHeight="1">
      <c r="A3460" s="1989">
        <f>MATCH('NRL50-n-Factors'!D34,'NRL50-n-Factors'!C38:C49,0)</f>
        <v>5</v>
      </c>
    </row>
    <row r="3461" spans="1:1" ht="11.75" customHeight="1">
      <c r="A3461" s="1989">
        <f>MATCH(REPORT!D103,'NRL50-n-Factors'!D37:J37,0)</f>
        <v>2</v>
      </c>
    </row>
    <row r="3462" spans="1:1" ht="11.75" customHeight="1">
      <c r="A3462" s="1989" t="b">
        <f>D51="Gas"</f>
        <v>0</v>
      </c>
    </row>
    <row r="3463" spans="1:1" ht="11.75" customHeight="1">
      <c r="A3463" s="1989">
        <f>D$20*G101*24</f>
        <v>30728.853316304834</v>
      </c>
    </row>
    <row r="3464" spans="1:1" ht="11.75" customHeight="1">
      <c r="A3464" s="1989">
        <f>SUM(H65:H67)</f>
        <v>84390.33600000001</v>
      </c>
    </row>
    <row r="3465" spans="1:1" ht="11.75" customHeight="1">
      <c r="A3465" s="1989">
        <f>IF(D113="Heatpump",K51+D117+D114+M43+H70,IF(D113="Gas",K51+D117+M43+H70))</f>
        <v>132765.64793897627</v>
      </c>
    </row>
    <row r="3466" spans="1:1" ht="11.75" customHeight="1">
      <c r="A3466" s="1989" t="b">
        <f>D113="Heatpump"</f>
        <v>1</v>
      </c>
    </row>
    <row r="3467" spans="1:1" ht="11.75" customHeight="1">
      <c r="A3467" s="1990">
        <f>K51+D117+D114+M43+H70</f>
        <v>132765.64793897627</v>
      </c>
    </row>
    <row r="3468" spans="1:1" ht="11.75" customHeight="1">
      <c r="A3468" s="1989" t="b">
        <f>IF(D113="Gas",K51+D117+M43+H70)</f>
        <v>0</v>
      </c>
    </row>
    <row r="3469" spans="1:1" ht="11.75" customHeight="1">
      <c r="A3469" s="1989">
        <f>SUM(D44:D46)</f>
        <v>0</v>
      </c>
    </row>
    <row r="3470" spans="1:1" ht="11.75" customHeight="1">
      <c r="A3470" s="1990">
        <f>I44+I45</f>
        <v>0</v>
      </c>
    </row>
    <row r="3471" spans="1:1" ht="11.75" customHeight="1">
      <c r="A3471" s="1989">
        <f>H28*0.0373</f>
        <v>0</v>
      </c>
    </row>
    <row r="3472" spans="1:1" ht="11.75" customHeight="1">
      <c r="A3472" s="1989">
        <f>H30*36.72</f>
        <v>0</v>
      </c>
    </row>
    <row r="3473" spans="1:1" ht="11.75" customHeight="1">
      <c r="A3473" s="1990">
        <f>H27-D43</f>
        <v>132765.64793897627</v>
      </c>
    </row>
    <row r="3474" spans="1:1" ht="11.75" customHeight="1">
      <c r="A3474" s="1989" t="b">
        <f>D113="Electricity"</f>
        <v>0</v>
      </c>
    </row>
    <row r="3475" spans="1:1" ht="11.75" customHeight="1">
      <c r="A3475" s="1990">
        <f>I103+K51+D117+M121+I101+I102+M43+SUM(H65:H67)</f>
        <v>265287.6445956853</v>
      </c>
    </row>
    <row r="3476" spans="1:1" ht="11.75" customHeight="1">
      <c r="A3476" s="1990">
        <f>I103+K51+D117+M121+I101+I102+M43</f>
        <v>180897.30859568529</v>
      </c>
    </row>
    <row r="3477" spans="1:1" ht="11.75" customHeight="1">
      <c r="A3477" s="1990">
        <f>I103+K51+D117+M121+I101+I102</f>
        <v>180897.30859568529</v>
      </c>
    </row>
    <row r="3478" spans="1:1" ht="11.75" customHeight="1">
      <c r="A3478" s="1990">
        <f>I103+K51+D117+M121+I101</f>
        <v>164109.06314703665</v>
      </c>
    </row>
    <row r="3479" spans="1:1" ht="11.75" customHeight="1">
      <c r="A3479" s="1990">
        <f>I103+K51+D117+M121</f>
        <v>88005.3704468098</v>
      </c>
    </row>
    <row r="3480" spans="1:1" ht="11.75" customHeight="1">
      <c r="A3480" s="1990">
        <f>I103+K51+D117</f>
        <v>39024.570446809812</v>
      </c>
    </row>
    <row r="3481" spans="1:1" ht="11.75" customHeight="1">
      <c r="A3481" s="1990">
        <f>I103+K51</f>
        <v>36006.531012790423</v>
      </c>
    </row>
    <row r="3482" spans="1:1" ht="11.75" customHeight="1">
      <c r="A3482" s="1989">
        <f>1.21*G108*D20*24/1000*D101</f>
        <v>387079.06311359996</v>
      </c>
    </row>
    <row r="3483" spans="1:1" ht="11.75" customHeight="1">
      <c r="A3483" s="1989">
        <f>1.21*G108*D20*24/1000</f>
        <v>156.29328000000001</v>
      </c>
    </row>
    <row r="3484" spans="1:1" ht="11.75" customHeight="1">
      <c r="A3484" s="1989">
        <f>1.21*G108*D20*24</f>
        <v>156293.28</v>
      </c>
    </row>
    <row r="3485" spans="1:1" ht="11.75" customHeight="1">
      <c r="A3485" s="1989">
        <f>1.21*G108*D20</f>
        <v>6512.22</v>
      </c>
    </row>
    <row r="3486" spans="1:1" ht="11.75" customHeight="1">
      <c r="A3486" s="1989">
        <f>1.21*G108</f>
        <v>1.4157</v>
      </c>
    </row>
    <row r="3487" spans="1:1" ht="11.75" customHeight="1">
      <c r="A3487" s="1989" t="b">
        <f>D108="Measured"</f>
        <v>0</v>
      </c>
    </row>
    <row r="3488" spans="1:1" ht="11.75" customHeight="1">
      <c r="A3488" s="1989">
        <f>G109*D105/D101*3.6</f>
        <v>17.44312813431209</v>
      </c>
    </row>
    <row r="3489" spans="1:1" ht="11.75" customHeight="1">
      <c r="A3489" s="1989">
        <f>G109*D105</f>
        <v>12000</v>
      </c>
    </row>
    <row r="3490" spans="1:1" ht="11.75" customHeight="1">
      <c r="A3490" s="1989">
        <f>D101*3.6</f>
        <v>8915.8319999999985</v>
      </c>
    </row>
    <row r="3491" spans="1:1" ht="11.75" customHeight="1">
      <c r="A3491" s="1989">
        <f>IF(D108="AL-1A",0.89,IF(D108="AL-2A",0.71,IF(D108="AL-3A",0.53,IF(D108="AL-4A",0.35,IF(D108="AL-5A",0.21,IF(D108="AL-1B",1.17,IF(D108="AL-2B",0.98,IF(D108="AL-3B",0.78,IF(D108="AL-4B",0.59,IF(D108="AL-5B",0.39,IF(D108="AL-6B",0.23,IF(D108="PH Classic",0.6*D105/D101*3.6,IF(D108="PH Low",1*D105/D101*3.6,IF(D108="PH+",0.1))))))))))))))</f>
        <v>1.17</v>
      </c>
    </row>
    <row r="3492" spans="1:1" ht="11.75" customHeight="1">
      <c r="A3492" s="1989" t="b">
        <f>D108="AL-1A"</f>
        <v>0</v>
      </c>
    </row>
    <row r="3493" spans="1:1" ht="11.75" customHeight="1">
      <c r="A3493" s="1989">
        <f>IF(D108="AL-2A",0.71,IF(D108="AL-3A",0.53,IF(D108="AL-4A",0.35,IF(D108="AL-5A",0.21,IF(D108="AL-1B",1.17,IF(D108="AL-2B",0.98,IF(D108="AL-3B",0.78,IF(D108="AL-4B",0.59,IF(D108="AL-5B",0.39,IF(D108="AL-6B",0.23,IF(D108="PH Classic",0.6*D105/D101*3.6,IF(D108="PH Low",1*D105/D101*3.6,IF(D108="PH+",0.1)))))))))))))</f>
        <v>1.17</v>
      </c>
    </row>
    <row r="3494" spans="1:1" ht="11.75" customHeight="1">
      <c r="A3494" s="1989" t="b">
        <f>D108="AL-2A"</f>
        <v>0</v>
      </c>
    </row>
    <row r="3495" spans="1:1" ht="11.75" customHeight="1">
      <c r="A3495" s="1989">
        <f>IF(D108="AL-3A",0.53,IF(D108="AL-4A",0.35,IF(D108="AL-5A",0.21,IF(D108="AL-1B",1.17,IF(D108="AL-2B",0.98,IF(D108="AL-3B",0.78,IF(D108="AL-4B",0.59,IF(D108="AL-5B",0.39,IF(D108="AL-6B",0.23,IF(D108="PH Classic",0.6*D105/D101*3.6,IF(D108="PH Low",1*D105/D101*3.6,IF(D108="PH+",0.1))))))))))))</f>
        <v>1.17</v>
      </c>
    </row>
    <row r="3496" spans="1:1" ht="11.75" customHeight="1">
      <c r="A3496" s="1989" t="b">
        <f>D108="AL-3A"</f>
        <v>0</v>
      </c>
    </row>
    <row r="3497" spans="1:1" ht="11.75" customHeight="1">
      <c r="A3497" s="1989">
        <f>IF(D108="AL-4A",0.35,IF(D108="AL-5A",0.21,IF(D108="AL-1B",1.17,IF(D108="AL-2B",0.98,IF(D108="AL-3B",0.78,IF(D108="AL-4B",0.59,IF(D108="AL-5B",0.39,IF(D108="AL-6B",0.23,IF(D108="PH Classic",0.6*D105/D101*3.6,IF(D108="PH Low",1*D105/D101*3.6,IF(D108="PH+",0.1)))))))))))</f>
        <v>1.17</v>
      </c>
    </row>
    <row r="3498" spans="1:1" ht="11.75" customHeight="1">
      <c r="A3498" s="1989" t="b">
        <f>D108="AL-4A"</f>
        <v>0</v>
      </c>
    </row>
    <row r="3499" spans="1:1" ht="11.75" customHeight="1">
      <c r="A3499" s="1989">
        <f>IF(D108="AL-5A",0.21,IF(D108="AL-1B",1.17,IF(D108="AL-2B",0.98,IF(D108="AL-3B",0.78,IF(D108="AL-4B",0.59,IF(D108="AL-5B",0.39,IF(D108="AL-6B",0.23,IF(D108="PH Classic",0.6*D105/D101*3.6,IF(D108="PH Low",1*D105/D101*3.6,IF(D108="PH+",0.1))))))))))</f>
        <v>1.17</v>
      </c>
    </row>
    <row r="3500" spans="1:1" ht="11.75" customHeight="1">
      <c r="A3500" s="1989" t="b">
        <f>D108="AL-5A"</f>
        <v>0</v>
      </c>
    </row>
    <row r="3501" spans="1:1" ht="11.75" customHeight="1">
      <c r="A3501" s="1989">
        <f>IF(D108="AL-1B",1.17,IF(D108="AL-2B",0.98,IF(D108="AL-3B",0.78,IF(D108="AL-4B",0.59,IF(D108="AL-5B",0.39,IF(D108="AL-6B",0.23,IF(D108="PH Classic",0.6*D105/D101*3.6,IF(D108="PH Low",1*D105/D101*3.6,IF(D108="PH+",0.1)))))))))</f>
        <v>1.17</v>
      </c>
    </row>
    <row r="3502" spans="1:1" ht="11.75" customHeight="1">
      <c r="A3502" s="1989" t="b">
        <f>D108="AL-1B"</f>
        <v>1</v>
      </c>
    </row>
    <row r="3503" spans="1:1" ht="11.75" customHeight="1">
      <c r="A3503" s="1989" t="b">
        <f>IF(D108="AL-2B",0.98,IF(D108="AL-3B",0.78,IF(D108="AL-4B",0.59,IF(D108="AL-5B",0.39,IF(D108="AL-6B",0.23,IF(D108="PH Classic",0.6*D105/D101*3.6,IF(D108="PH Low",1*D105/D101*3.6,IF(D108="PH+",0.1))))))))</f>
        <v>0</v>
      </c>
    </row>
    <row r="3504" spans="1:1" ht="11.75" customHeight="1">
      <c r="A3504" s="1989" t="b">
        <f>D108="AL-2B"</f>
        <v>0</v>
      </c>
    </row>
    <row r="3505" spans="1:1" ht="11.75" customHeight="1">
      <c r="A3505" s="1989" t="b">
        <f>IF(D108="AL-3B",0.78,IF(D108="AL-4B",0.59,IF(D108="AL-5B",0.39,IF(D108="AL-6B",0.23,IF(D108="PH Classic",0.6*D105/D101*3.6,IF(D108="PH Low",1*D105/D101*3.6,IF(D108="PH+",0.1)))))))</f>
        <v>0</v>
      </c>
    </row>
    <row r="3506" spans="1:1" ht="11.75" customHeight="1">
      <c r="A3506" s="1989" t="b">
        <f>D108="AL-3B"</f>
        <v>0</v>
      </c>
    </row>
    <row r="3507" spans="1:1" ht="11.75" customHeight="1">
      <c r="A3507" s="1989" t="b">
        <f>IF(D108="AL-4B",0.59,IF(D108="AL-5B",0.39,IF(D108="AL-6B",0.23,IF(D108="PH Classic",0.6*D105/D101*3.6,IF(D108="PH Low",1*D105/D101*3.6,IF(D108="PH+",0.1))))))</f>
        <v>0</v>
      </c>
    </row>
    <row r="3508" spans="1:1" ht="11.75" customHeight="1">
      <c r="A3508" s="1989" t="b">
        <f>D108="AL-4B"</f>
        <v>0</v>
      </c>
    </row>
    <row r="3509" spans="1:1" ht="11.75" customHeight="1">
      <c r="A3509" s="1989" t="b">
        <f>IF(D108="AL-5B",0.39,IF(D108="AL-6B",0.23,IF(D108="PH Classic",0.6*D105/D101*3.6,IF(D108="PH Low",1*D105/D101*3.6,IF(D108="PH+",0.1)))))</f>
        <v>0</v>
      </c>
    </row>
    <row r="3510" spans="1:1" ht="11.75" customHeight="1">
      <c r="A3510" s="1989" t="b">
        <f>D108="AL-5B"</f>
        <v>0</v>
      </c>
    </row>
    <row r="3511" spans="1:1" ht="11.75" customHeight="1">
      <c r="A3511" s="1989" t="b">
        <f>IF(D108="AL-6B",0.23,IF(D108="PH Classic",0.6*D105/D101*3.6,IF(D108="PH Low",1*D105/D101*3.6,IF(D108="PH+",0.1))))</f>
        <v>0</v>
      </c>
    </row>
    <row r="3512" spans="1:1" ht="11.75" customHeight="1">
      <c r="A3512" s="1989">
        <f>IF(H20="Present",VLOOKUP(H19,CANADA!A6:K699,9,FALSE),VLOOKUP(H19,CANADA!A6:K699,11,FALSE))</f>
        <v>4600</v>
      </c>
    </row>
    <row r="3513" spans="1:1" ht="11.75" customHeight="1">
      <c r="A3513" s="1989">
        <f>MATCH('NRL50-n-Factors'!D34,'NRL50-n-Factors'!C38:C49,0)</f>
        <v>5</v>
      </c>
    </row>
    <row r="3514" spans="1:1" ht="11.75" customHeight="1">
      <c r="A3514" s="1989">
        <f>MATCH(REPORT!D103,'NRL50-n-Factors'!D37:J37,0)</f>
        <v>2</v>
      </c>
    </row>
    <row r="3515" spans="1:1" ht="11.75" customHeight="1">
      <c r="A3515" s="1989" t="b">
        <f>D51="Gas"</f>
        <v>0</v>
      </c>
    </row>
    <row r="3516" spans="1:1" ht="11.75" customHeight="1">
      <c r="A3516" s="1989">
        <f>D$20*G101*24</f>
        <v>30728.853316304834</v>
      </c>
    </row>
    <row r="3517" spans="1:1" ht="11.75" customHeight="1">
      <c r="A3517" s="1989">
        <f>SUM(H65:H67)</f>
        <v>84390.33600000001</v>
      </c>
    </row>
    <row r="3518" spans="1:1" ht="11.75" customHeight="1">
      <c r="A3518" s="1989">
        <f>IF(D113="Heatpump",K51+D117+D114+M43+H70,IF(D113="Gas",K51+D117+M43+H70))</f>
        <v>132765.64793897627</v>
      </c>
    </row>
    <row r="3519" spans="1:1" ht="11.75" customHeight="1">
      <c r="A3519" s="1989" t="b">
        <f>D113="Heatpump"</f>
        <v>1</v>
      </c>
    </row>
    <row r="3520" spans="1:1" ht="11.75" customHeight="1">
      <c r="A3520" s="1990">
        <f>K51+D117+D114+M43+H70</f>
        <v>132765.64793897627</v>
      </c>
    </row>
    <row r="3521" spans="1:1" ht="11.75" customHeight="1">
      <c r="A3521" s="1989" t="b">
        <f>IF(D113="Gas",K51+D117+M43+H70)</f>
        <v>0</v>
      </c>
    </row>
    <row r="3522" spans="1:1" ht="11.75" customHeight="1">
      <c r="A3522" s="1989">
        <f>SUM(D44:D46)</f>
        <v>0</v>
      </c>
    </row>
    <row r="3523" spans="1:1" ht="11.75" customHeight="1">
      <c r="A3523" s="1990">
        <f>H27-D43</f>
        <v>132765.64793897627</v>
      </c>
    </row>
    <row r="3524" spans="1:1" ht="11.75" customHeight="1">
      <c r="A3524" s="1989" t="b">
        <f>D113="Electricity"</f>
        <v>0</v>
      </c>
    </row>
    <row r="3525" spans="1:1" ht="11.75" customHeight="1">
      <c r="A3525" s="1990">
        <f>I103+K51+D117+M121+I101+I102+M43+SUM(H65:H67)</f>
        <v>265287.6445956853</v>
      </c>
    </row>
    <row r="3526" spans="1:1" ht="11.75" customHeight="1">
      <c r="A3526" s="1990">
        <f>I103+K51+D117+M121+I101+I102+M43</f>
        <v>180897.30859568529</v>
      </c>
    </row>
    <row r="3527" spans="1:1" ht="11.75" customHeight="1">
      <c r="A3527" s="1990">
        <f>I103+K51+D117+M121+I101+I102</f>
        <v>180897.30859568529</v>
      </c>
    </row>
    <row r="3528" spans="1:1" ht="11.75" customHeight="1">
      <c r="A3528" s="1990">
        <f>I103+K51+D117+M121+I101</f>
        <v>164109.06314703665</v>
      </c>
    </row>
    <row r="3529" spans="1:1" ht="11.75" customHeight="1">
      <c r="A3529" s="1990">
        <f>I103+K51+D117+M121</f>
        <v>88005.3704468098</v>
      </c>
    </row>
    <row r="3530" spans="1:1" ht="11.75" customHeight="1">
      <c r="A3530" s="1990">
        <f>I103+K51+D117</f>
        <v>39024.570446809812</v>
      </c>
    </row>
    <row r="3531" spans="1:1" ht="11.75" customHeight="1">
      <c r="A3531" s="1990">
        <f>I103+K51</f>
        <v>36006.531012790423</v>
      </c>
    </row>
    <row r="3532" spans="1:1" ht="11.75" customHeight="1">
      <c r="A3532" s="1989">
        <f>1.21*G108*D20*24/1000*D101</f>
        <v>387079.06311359996</v>
      </c>
    </row>
    <row r="3533" spans="1:1" ht="11.75" customHeight="1">
      <c r="A3533" s="1989">
        <f>1.21*G108*D20*24/1000</f>
        <v>156.29328000000001</v>
      </c>
    </row>
    <row r="3534" spans="1:1" ht="11.75" customHeight="1">
      <c r="A3534" s="1989">
        <f>1.21*G108*D20*24</f>
        <v>156293.28</v>
      </c>
    </row>
    <row r="3535" spans="1:1" ht="11.75" customHeight="1">
      <c r="A3535" s="1989">
        <f>1.21*G108*D20</f>
        <v>6512.22</v>
      </c>
    </row>
    <row r="3536" spans="1:1" ht="11.75" customHeight="1">
      <c r="A3536" s="1989">
        <f>1.21*G108</f>
        <v>1.4157</v>
      </c>
    </row>
    <row r="3537" spans="1:1" ht="11.75" customHeight="1">
      <c r="A3537" s="1989" t="b">
        <f>D108="Measured"</f>
        <v>0</v>
      </c>
    </row>
    <row r="3538" spans="1:1" ht="11.75" customHeight="1">
      <c r="A3538" s="1989">
        <f>G109*D105/D101*3.6</f>
        <v>17.44312813431209</v>
      </c>
    </row>
    <row r="3539" spans="1:1" ht="11.75" customHeight="1">
      <c r="A3539" s="1989">
        <f>G109*D105</f>
        <v>12000</v>
      </c>
    </row>
    <row r="3540" spans="1:1" ht="11.75" customHeight="1">
      <c r="A3540" s="1989">
        <f>D101*3.6</f>
        <v>8915.8319999999985</v>
      </c>
    </row>
    <row r="3541" spans="1:1" ht="11.75" customHeight="1">
      <c r="A3541" s="1989">
        <f>IF(D108="AL-1A",0.89,IF(D108="AL-2A",0.71,IF(D108="AL-3A",0.53,IF(D108="AL-4A",0.35,IF(D108="AL-5A",0.21,IF(D108="AL-1B",1.17,IF(D108="AL-2B",0.98,IF(D108="AL-3B",0.78,IF(D108="AL-4B",0.59,IF(D108="AL-5B",0.39,IF(D108="AL-6B",0.23,IF(D108="PH Classic",0.6*D105/D101*3.6,IF(D108="PH Low",1*D105/D101*3.6,IF(D108="PH+",0.1))))))))))))))</f>
        <v>1.17</v>
      </c>
    </row>
    <row r="3542" spans="1:1" ht="11.75" customHeight="1">
      <c r="A3542" s="1989" t="b">
        <f>D108="AL-1A"</f>
        <v>0</v>
      </c>
    </row>
    <row r="3543" spans="1:1" ht="11.75" customHeight="1">
      <c r="A3543" s="1989">
        <f>IF(D108="AL-2A",0.71,IF(D108="AL-3A",0.53,IF(D108="AL-4A",0.35,IF(D108="AL-5A",0.21,IF(D108="AL-1B",1.17,IF(D108="AL-2B",0.98,IF(D108="AL-3B",0.78,IF(D108="AL-4B",0.59,IF(D108="AL-5B",0.39,IF(D108="AL-6B",0.23,IF(D108="PH Classic",0.6*D105/D101*3.6,IF(D108="PH Low",1*D105/D101*3.6,IF(D108="PH+",0.1)))))))))))))</f>
        <v>1.17</v>
      </c>
    </row>
    <row r="3544" spans="1:1" ht="11.75" customHeight="1">
      <c r="A3544" s="1989" t="b">
        <f>D108="AL-2A"</f>
        <v>0</v>
      </c>
    </row>
    <row r="3545" spans="1:1" ht="11.75" customHeight="1">
      <c r="A3545" s="1989">
        <f>IF(D108="AL-3A",0.53,IF(D108="AL-4A",0.35,IF(D108="AL-5A",0.21,IF(D108="AL-1B",1.17,IF(D108="AL-2B",0.98,IF(D108="AL-3B",0.78,IF(D108="AL-4B",0.59,IF(D108="AL-5B",0.39,IF(D108="AL-6B",0.23,IF(D108="PH Classic",0.6*D105/D101*3.6,IF(D108="PH Low",1*D105/D101*3.6,IF(D108="PH+",0.1))))))))))))</f>
        <v>1.17</v>
      </c>
    </row>
    <row r="3546" spans="1:1" ht="11.75" customHeight="1">
      <c r="A3546" s="1989" t="b">
        <f>D108="AL-3A"</f>
        <v>0</v>
      </c>
    </row>
    <row r="3547" spans="1:1" ht="11.75" customHeight="1">
      <c r="A3547" s="1989">
        <f>IF(D108="AL-4A",0.35,IF(D108="AL-5A",0.21,IF(D108="AL-1B",1.17,IF(D108="AL-2B",0.98,IF(D108="AL-3B",0.78,IF(D108="AL-4B",0.59,IF(D108="AL-5B",0.39,IF(D108="AL-6B",0.23,IF(D108="PH Classic",0.6*D105/D101*3.6,IF(D108="PH Low",1*D105/D101*3.6,IF(D108="PH+",0.1)))))))))))</f>
        <v>1.17</v>
      </c>
    </row>
    <row r="3548" spans="1:1" ht="11.75" customHeight="1">
      <c r="A3548" s="1989" t="b">
        <f>D108="AL-4A"</f>
        <v>0</v>
      </c>
    </row>
    <row r="3549" spans="1:1" ht="11.75" customHeight="1">
      <c r="A3549" s="1989">
        <f>IF(D108="AL-5A",0.21,IF(D108="AL-1B",1.17,IF(D108="AL-2B",0.98,IF(D108="AL-3B",0.78,IF(D108="AL-4B",0.59,IF(D108="AL-5B",0.39,IF(D108="AL-6B",0.23,IF(D108="PH Classic",0.6*D105/D101*3.6,IF(D108="PH Low",1*D105/D101*3.6,IF(D108="PH+",0.1))))))))))</f>
        <v>1.17</v>
      </c>
    </row>
    <row r="3550" spans="1:1" ht="11.75" customHeight="1">
      <c r="A3550" s="1989" t="b">
        <f>D108="AL-5A"</f>
        <v>0</v>
      </c>
    </row>
    <row r="3551" spans="1:1" ht="11.75" customHeight="1">
      <c r="A3551" s="1989">
        <f>IF(D108="AL-1B",1.17,IF(D108="AL-2B",0.98,IF(D108="AL-3B",0.78,IF(D108="AL-4B",0.59,IF(D108="AL-5B",0.39,IF(D108="AL-6B",0.23,IF(D108="PH Classic",0.6*D105/D101*3.6,IF(D108="PH Low",1*D105/D101*3.6,IF(D108="PH+",0.1)))))))))</f>
        <v>1.17</v>
      </c>
    </row>
    <row r="3552" spans="1:1" ht="11.75" customHeight="1">
      <c r="A3552" s="1989" t="b">
        <f>D108="AL-1B"</f>
        <v>1</v>
      </c>
    </row>
    <row r="3553" spans="1:1" ht="11.75" customHeight="1">
      <c r="A3553" s="1989" t="b">
        <f>IF(D108="AL-2B",0.98,IF(D108="AL-3B",0.78,IF(D108="AL-4B",0.59,IF(D108="AL-5B",0.39,IF(D108="AL-6B",0.23,IF(D108="PH Classic",0.6*D105/D101*3.6,IF(D108="PH Low",1*D105/D101*3.6,IF(D108="PH+",0.1))))))))</f>
        <v>0</v>
      </c>
    </row>
    <row r="3554" spans="1:1" ht="11.75" customHeight="1">
      <c r="A3554" s="1989" t="b">
        <f>D108="AL-2B"</f>
        <v>0</v>
      </c>
    </row>
    <row r="3555" spans="1:1" ht="11.75" customHeight="1">
      <c r="A3555" s="1989" t="b">
        <f>IF(D108="AL-3B",0.78,IF(D108="AL-4B",0.59,IF(D108="AL-5B",0.39,IF(D108="AL-6B",0.23,IF(D108="PH Classic",0.6*D105/D101*3.6,IF(D108="PH Low",1*D105/D101*3.6,IF(D108="PH+",0.1)))))))</f>
        <v>0</v>
      </c>
    </row>
    <row r="3556" spans="1:1" ht="11.75" customHeight="1">
      <c r="A3556" s="1989" t="b">
        <f>D108="AL-3B"</f>
        <v>0</v>
      </c>
    </row>
    <row r="3557" spans="1:1" ht="11.75" customHeight="1">
      <c r="A3557" s="1989" t="b">
        <f>IF(D108="AL-4B",0.59,IF(D108="AL-5B",0.39,IF(D108="AL-6B",0.23,IF(D108="PH Classic",0.6*D105/D101*3.6,IF(D108="PH Low",1*D105/D101*3.6,IF(D108="PH+",0.1))))))</f>
        <v>0</v>
      </c>
    </row>
    <row r="3558" spans="1:1" ht="11.75" customHeight="1">
      <c r="A3558" s="1989" t="b">
        <f>D108="AL-4B"</f>
        <v>0</v>
      </c>
    </row>
    <row r="3559" spans="1:1" ht="11.75" customHeight="1">
      <c r="A3559" s="1989" t="b">
        <f>IF(D108="AL-5B",0.39,IF(D108="AL-6B",0.23,IF(D108="PH Classic",0.6*D105/D101*3.6,IF(D108="PH Low",1*D105/D101*3.6,IF(D108="PH+",0.1)))))</f>
        <v>0</v>
      </c>
    </row>
    <row r="3560" spans="1:1" ht="11.75" customHeight="1">
      <c r="A3560" s="1989" t="b">
        <f>D108="AL-5B"</f>
        <v>0</v>
      </c>
    </row>
    <row r="3561" spans="1:1" ht="11.75" customHeight="1">
      <c r="A3561" s="1989" t="b">
        <f>IF(D108="AL-6B",0.23,IF(D108="PH Classic",0.6*D105/D101*3.6,IF(D108="PH Low",1*D105/D101*3.6,IF(D108="PH+",0.1))))</f>
        <v>0</v>
      </c>
    </row>
    <row r="3562" spans="1:1" ht="11.75" customHeight="1">
      <c r="A3562" s="1989">
        <f>IF(H20="Present",VLOOKUP(H19,CANADA!A6:K699,9,FALSE),VLOOKUP(H19,CANADA!A6:K699,11,FALSE))</f>
        <v>4600</v>
      </c>
    </row>
    <row r="3563" spans="1:1" ht="11.75" customHeight="1">
      <c r="A3563" s="1989">
        <f>MATCH('NRL50-n-Factors'!D34,'NRL50-n-Factors'!C38:C49,0)</f>
        <v>5</v>
      </c>
    </row>
    <row r="3564" spans="1:1" ht="11.75" customHeight="1">
      <c r="A3564" s="1989">
        <f>MATCH(REPORT!D103,'NRL50-n-Factors'!D37:J37,0)</f>
        <v>2</v>
      </c>
    </row>
    <row r="3565" spans="1:1" ht="11.75" customHeight="1">
      <c r="A3565" s="1989" t="b">
        <f>D51="Gas"</f>
        <v>0</v>
      </c>
    </row>
    <row r="3566" spans="1:1" ht="11.75" customHeight="1">
      <c r="A3566" s="1989">
        <f>D$20*G101*24</f>
        <v>30728.853316304834</v>
      </c>
    </row>
    <row r="3567" spans="1:1" ht="11.75" customHeight="1">
      <c r="A3567" s="1989">
        <f>SUM(H65:H67)</f>
        <v>84390.33600000001</v>
      </c>
    </row>
    <row r="3568" spans="1:1" ht="11.75" customHeight="1">
      <c r="A3568" s="1989">
        <f>IF(D113="Heatpump",K51+D117+D114+M43+H70,IF(D113="Gas",K51+D117+M43+H70))</f>
        <v>132765.64793897627</v>
      </c>
    </row>
    <row r="3569" spans="1:1" ht="11.75" customHeight="1">
      <c r="A3569" s="1989" t="b">
        <f>D113="Heatpump"</f>
        <v>1</v>
      </c>
    </row>
    <row r="3570" spans="1:1" ht="11.75" customHeight="1">
      <c r="A3570" s="1990">
        <f>K51+D117+D114+M43+H70</f>
        <v>132765.64793897627</v>
      </c>
    </row>
    <row r="3571" spans="1:1" ht="11.75" customHeight="1">
      <c r="A3571" s="1989" t="b">
        <f>IF(D113="Gas",K51+D117+M43+H70)</f>
        <v>0</v>
      </c>
    </row>
    <row r="3572" spans="1:1" ht="11.75" customHeight="1">
      <c r="A3572" s="1989">
        <f>SUM(D44:D46)</f>
        <v>0</v>
      </c>
    </row>
    <row r="3573" spans="1:1" ht="11.75" customHeight="1">
      <c r="A3573" s="1990">
        <f>H27-D43</f>
        <v>132765.64793897627</v>
      </c>
    </row>
    <row r="3574" spans="1:1" ht="11.75" customHeight="1">
      <c r="A3574" s="1989" t="b">
        <f>D113="Electricity"</f>
        <v>0</v>
      </c>
    </row>
    <row r="3575" spans="1:1" ht="11.75" customHeight="1">
      <c r="A3575" s="1990">
        <f>I103+K51+D117+M121+I101+I102+M43+SUM(H65:H67)</f>
        <v>265287.6445956853</v>
      </c>
    </row>
    <row r="3576" spans="1:1" ht="11.75" customHeight="1">
      <c r="A3576" s="1990">
        <f>I103+K51+D117+M121+I101+I102+M43</f>
        <v>180897.30859568529</v>
      </c>
    </row>
    <row r="3577" spans="1:1" ht="11.75" customHeight="1">
      <c r="A3577" s="1990">
        <f>I103+K51+D117+M121+I101+I102</f>
        <v>180897.30859568529</v>
      </c>
    </row>
    <row r="3578" spans="1:1" ht="11.75" customHeight="1">
      <c r="A3578" s="1990">
        <f>I103+K51+D117+M121+I101</f>
        <v>164109.06314703665</v>
      </c>
    </row>
    <row r="3579" spans="1:1" ht="11.75" customHeight="1">
      <c r="A3579" s="1990">
        <f>I103+K51+D117+M121</f>
        <v>88005.3704468098</v>
      </c>
    </row>
    <row r="3580" spans="1:1" ht="11.75" customHeight="1">
      <c r="A3580" s="1990">
        <f>I103+K51+D117</f>
        <v>39024.570446809812</v>
      </c>
    </row>
    <row r="3581" spans="1:1" ht="11.75" customHeight="1">
      <c r="A3581" s="1990">
        <f>I103+K51</f>
        <v>36006.531012790423</v>
      </c>
    </row>
    <row r="3582" spans="1:1" ht="11.75" customHeight="1">
      <c r="A3582" s="1989">
        <f>1.21*G108*D20*24/1000*D101</f>
        <v>387079.06311359996</v>
      </c>
    </row>
    <row r="3583" spans="1:1" ht="11.75" customHeight="1">
      <c r="A3583" s="1989">
        <f>1.21*G108*D20*24/1000</f>
        <v>156.29328000000001</v>
      </c>
    </row>
    <row r="3584" spans="1:1" ht="11.75" customHeight="1">
      <c r="A3584" s="1989">
        <f>1.21*G108*D20*24</f>
        <v>156293.28</v>
      </c>
    </row>
    <row r="3585" spans="1:1" ht="11.75" customHeight="1">
      <c r="A3585" s="1989">
        <f>1.21*G108*D20</f>
        <v>6512.22</v>
      </c>
    </row>
    <row r="3586" spans="1:1" ht="11.75" customHeight="1">
      <c r="A3586" s="1989">
        <f>1.21*G108</f>
        <v>1.4157</v>
      </c>
    </row>
    <row r="3587" spans="1:1" ht="11.75" customHeight="1">
      <c r="A3587" s="1989" t="b">
        <f>D108="Measured"</f>
        <v>0</v>
      </c>
    </row>
    <row r="3588" spans="1:1" ht="11.75" customHeight="1">
      <c r="A3588" s="1989">
        <f>G109*D105/D101*3.6</f>
        <v>17.44312813431209</v>
      </c>
    </row>
    <row r="3589" spans="1:1" ht="11.75" customHeight="1">
      <c r="A3589" s="1989">
        <f>G109*D105</f>
        <v>12000</v>
      </c>
    </row>
    <row r="3590" spans="1:1" ht="11.75" customHeight="1">
      <c r="A3590" s="1989">
        <f>D101*3.6</f>
        <v>8915.8319999999985</v>
      </c>
    </row>
    <row r="3591" spans="1:1" ht="11.75" customHeight="1">
      <c r="A3591" s="1989">
        <f>IF(D108="AL-1A",0.89,IF(D108="AL-2A",0.71,IF(D108="AL-3A",0.53,IF(D108="AL-4A",0.35,IF(D108="AL-5A",0.21,IF(D108="AL-1B",1.17,IF(D108="AL-2B",0.98,IF(D108="AL-3B",0.78,IF(D108="AL-4B",0.59,IF(D108="AL-5B",0.39,IF(D108="AL-6B",0.23,IF(D108="PH Classic",0.6*D105/D101*3.6,IF(D108="PH Low",1*D105/D101*3.6,IF(D108="PH+",0.1))))))))))))))</f>
        <v>1.17</v>
      </c>
    </row>
    <row r="3592" spans="1:1" ht="11.75" customHeight="1">
      <c r="A3592" s="1989" t="b">
        <f>D108="AL-1A"</f>
        <v>0</v>
      </c>
    </row>
    <row r="3593" spans="1:1" ht="11.75" customHeight="1">
      <c r="A3593" s="1989">
        <f>IF(D108="AL-2A",0.71,IF(D108="AL-3A",0.53,IF(D108="AL-4A",0.35,IF(D108="AL-5A",0.21,IF(D108="AL-1B",1.17,IF(D108="AL-2B",0.98,IF(D108="AL-3B",0.78,IF(D108="AL-4B",0.59,IF(D108="AL-5B",0.39,IF(D108="AL-6B",0.23,IF(D108="PH Classic",0.6*D105/D101*3.6,IF(D108="PH Low",1*D105/D101*3.6,IF(D108="PH+",0.1)))))))))))))</f>
        <v>1.17</v>
      </c>
    </row>
    <row r="3594" spans="1:1" ht="11.75" customHeight="1">
      <c r="A3594" s="1989" t="b">
        <f>D108="AL-2A"</f>
        <v>0</v>
      </c>
    </row>
    <row r="3595" spans="1:1" ht="11.75" customHeight="1">
      <c r="A3595" s="1989">
        <f>IF(D108="AL-3A",0.53,IF(D108="AL-4A",0.35,IF(D108="AL-5A",0.21,IF(D108="AL-1B",1.17,IF(D108="AL-2B",0.98,IF(D108="AL-3B",0.78,IF(D108="AL-4B",0.59,IF(D108="AL-5B",0.39,IF(D108="AL-6B",0.23,IF(D108="PH Classic",0.6*D105/D101*3.6,IF(D108="PH Low",1*D105/D101*3.6,IF(D108="PH+",0.1))))))))))))</f>
        <v>1.17</v>
      </c>
    </row>
    <row r="3596" spans="1:1" ht="11.75" customHeight="1">
      <c r="A3596" s="1989" t="b">
        <f>D108="AL-3A"</f>
        <v>0</v>
      </c>
    </row>
    <row r="3597" spans="1:1" ht="11.75" customHeight="1">
      <c r="A3597" s="1989">
        <f>IF(D108="AL-4A",0.35,IF(D108="AL-5A",0.21,IF(D108="AL-1B",1.17,IF(D108="AL-2B",0.98,IF(D108="AL-3B",0.78,IF(D108="AL-4B",0.59,IF(D108="AL-5B",0.39,IF(D108="AL-6B",0.23,IF(D108="PH Classic",0.6*D105/D101*3.6,IF(D108="PH Low",1*D105/D101*3.6,IF(D108="PH+",0.1)))))))))))</f>
        <v>1.17</v>
      </c>
    </row>
    <row r="3598" spans="1:1" ht="11.75" customHeight="1">
      <c r="A3598" s="1989" t="b">
        <f>D108="AL-4A"</f>
        <v>0</v>
      </c>
    </row>
    <row r="3599" spans="1:1" ht="11.75" customHeight="1">
      <c r="A3599" s="1989">
        <f>IF(D108="AL-5A",0.21,IF(D108="AL-1B",1.17,IF(D108="AL-2B",0.98,IF(D108="AL-3B",0.78,IF(D108="AL-4B",0.59,IF(D108="AL-5B",0.39,IF(D108="AL-6B",0.23,IF(D108="PH Classic",0.6*D105/D101*3.6,IF(D108="PH Low",1*D105/D101*3.6,IF(D108="PH+",0.1))))))))))</f>
        <v>1.17</v>
      </c>
    </row>
    <row r="3600" spans="1:1" ht="11.75" customHeight="1">
      <c r="A3600" s="1989" t="b">
        <f>D108="AL-5A"</f>
        <v>0</v>
      </c>
    </row>
    <row r="3601" spans="1:1" ht="11.75" customHeight="1">
      <c r="A3601" s="1989">
        <f>IF(D108="AL-1B",1.17,IF(D108="AL-2B",0.98,IF(D108="AL-3B",0.78,IF(D108="AL-4B",0.59,IF(D108="AL-5B",0.39,IF(D108="AL-6B",0.23,IF(D108="PH Classic",0.6*D105/D101*3.6,IF(D108="PH Low",1*D105/D101*3.6,IF(D108="PH+",0.1)))))))))</f>
        <v>1.17</v>
      </c>
    </row>
    <row r="3602" spans="1:1" ht="11.75" customHeight="1">
      <c r="A3602" s="1989" t="b">
        <f>D108="AL-1B"</f>
        <v>1</v>
      </c>
    </row>
    <row r="3603" spans="1:1" ht="11.75" customHeight="1">
      <c r="A3603" s="1989" t="b">
        <f>IF(D108="AL-2B",0.98,IF(D108="AL-3B",0.78,IF(D108="AL-4B",0.59,IF(D108="AL-5B",0.39,IF(D108="AL-6B",0.23,IF(D108="PH Classic",0.6*D105/D101*3.6,IF(D108="PH Low",1*D105/D101*3.6,IF(D108="PH+",0.1))))))))</f>
        <v>0</v>
      </c>
    </row>
    <row r="3604" spans="1:1" ht="11.75" customHeight="1">
      <c r="A3604" s="1989" t="b">
        <f>D108="AL-2B"</f>
        <v>0</v>
      </c>
    </row>
    <row r="3605" spans="1:1" ht="11.75" customHeight="1">
      <c r="A3605" s="1989" t="b">
        <f>IF(D108="AL-3B",0.78,IF(D108="AL-4B",0.59,IF(D108="AL-5B",0.39,IF(D108="AL-6B",0.23,IF(D108="PH Classic",0.6*D105/D101*3.6,IF(D108="PH Low",1*D105/D101*3.6,IF(D108="PH+",0.1)))))))</f>
        <v>0</v>
      </c>
    </row>
    <row r="3606" spans="1:1" ht="11.75" customHeight="1">
      <c r="A3606" s="1989" t="b">
        <f>D108="AL-3B"</f>
        <v>0</v>
      </c>
    </row>
    <row r="3607" spans="1:1" ht="11.75" customHeight="1">
      <c r="A3607" s="1989" t="b">
        <f>IF(D108="AL-4B",0.59,IF(D108="AL-5B",0.39,IF(D108="AL-6B",0.23,IF(D108="PH Classic",0.6*D105/D101*3.6,IF(D108="PH Low",1*D105/D101*3.6,IF(D108="PH+",0.1))))))</f>
        <v>0</v>
      </c>
    </row>
    <row r="3608" spans="1:1" ht="11.75" customHeight="1">
      <c r="A3608" s="1989" t="b">
        <f>D108="AL-4B"</f>
        <v>0</v>
      </c>
    </row>
    <row r="3609" spans="1:1" ht="11.75" customHeight="1">
      <c r="A3609" s="1989" t="b">
        <f>IF(D108="AL-5B",0.39,IF(D108="AL-6B",0.23,IF(D108="PH Classic",0.6*D105/D101*3.6,IF(D108="PH Low",1*D105/D101*3.6,IF(D108="PH+",0.1)))))</f>
        <v>0</v>
      </c>
    </row>
    <row r="3610" spans="1:1" ht="11.75" customHeight="1">
      <c r="A3610" s="1989" t="b">
        <f>D108="AL-5B"</f>
        <v>0</v>
      </c>
    </row>
    <row r="3611" spans="1:1" ht="11.75" customHeight="1">
      <c r="A3611" s="1989" t="b">
        <f>IF(D108="AL-6B",0.23,IF(D108="PH Classic",0.6*D105/D101*3.6,IF(D108="PH Low",1*D105/D101*3.6,IF(D108="PH+",0.1))))</f>
        <v>0</v>
      </c>
    </row>
    <row r="3612" spans="1:1" ht="11.75" customHeight="1">
      <c r="A3612" s="1989" t="b">
        <f>D108="AL-6B"</f>
        <v>0</v>
      </c>
    </row>
    <row r="3613" spans="1:1" ht="11.75" customHeight="1">
      <c r="A3613" s="1989" t="b">
        <f>IF(D108="PH Classic",0.6*D105/D101*3.6,IF(D108="PH Low",1*D105/D101*3.6,IF(D108="PH+",0.1)))</f>
        <v>0</v>
      </c>
    </row>
    <row r="3614" spans="1:1" ht="11.75" customHeight="1">
      <c r="A3614" s="1989">
        <f>IF(H20="Present",VLOOKUP(H19,CANADA!A6:K699,9,FALSE),VLOOKUP(H19,CANADA!A6:K699,11,FALSE))</f>
        <v>4600</v>
      </c>
    </row>
    <row r="3615" spans="1:1" ht="11.75" customHeight="1">
      <c r="A3615" s="1989">
        <f>MATCH('NRL50-n-Factors'!D34,'NRL50-n-Factors'!C38:C49,0)</f>
        <v>5</v>
      </c>
    </row>
    <row r="3616" spans="1:1" ht="11.75" customHeight="1">
      <c r="A3616" s="1989">
        <f>MATCH(REPORT!D103,'NRL50-n-Factors'!D37:J37,0)</f>
        <v>2</v>
      </c>
    </row>
    <row r="3617" spans="1:1" ht="11.75" customHeight="1">
      <c r="A3617" s="1989" t="b">
        <f>D51="Gas"</f>
        <v>0</v>
      </c>
    </row>
    <row r="3618" spans="1:1" ht="11.75" customHeight="1">
      <c r="A3618" s="1989">
        <f>D$20*G101*24</f>
        <v>30728.853316304834</v>
      </c>
    </row>
    <row r="3619" spans="1:1" ht="11.75" customHeight="1">
      <c r="A3619" s="1989">
        <f>SUM(H65:H67)</f>
        <v>84390.33600000001</v>
      </c>
    </row>
    <row r="3620" spans="1:1" ht="11.75" customHeight="1">
      <c r="A3620" s="1989">
        <f>IF(D113="Heatpump",K51+D117+D114+M43+H70,IF(D113="Gas",K51+D117+M43+H70))</f>
        <v>132765.64793897627</v>
      </c>
    </row>
    <row r="3621" spans="1:1" ht="11.75" customHeight="1">
      <c r="A3621" s="1989" t="b">
        <f>D113="Heatpump"</f>
        <v>1</v>
      </c>
    </row>
    <row r="3622" spans="1:1" ht="11.75" customHeight="1">
      <c r="A3622" s="1990">
        <f>K51+D117+D114+M43+H70</f>
        <v>132765.64793897627</v>
      </c>
    </row>
    <row r="3623" spans="1:1" ht="11.75" customHeight="1">
      <c r="A3623" s="1989" t="b">
        <f>IF(D113="Gas",K51+D117+M43+H70)</f>
        <v>0</v>
      </c>
    </row>
    <row r="3624" spans="1:1" ht="11.75" customHeight="1">
      <c r="A3624" s="1990">
        <f>H27-D43</f>
        <v>132765.64793897627</v>
      </c>
    </row>
    <row r="3625" spans="1:1" ht="11.75" customHeight="1">
      <c r="A3625" s="1989" t="b">
        <f>D113="Electricity"</f>
        <v>0</v>
      </c>
    </row>
    <row r="3626" spans="1:1" ht="11.75" customHeight="1">
      <c r="A3626" s="1990">
        <f>I103+K51+D117+M121+I101+I102+M43+SUM(H65:H67)</f>
        <v>265287.6445956853</v>
      </c>
    </row>
    <row r="3627" spans="1:1" ht="11.75" customHeight="1">
      <c r="A3627" s="1990">
        <f>I103+K51+D117+M121+I101+I102+M43</f>
        <v>180897.30859568529</v>
      </c>
    </row>
    <row r="3628" spans="1:1" ht="11.75" customHeight="1">
      <c r="A3628" s="1990">
        <f>I103+K51+D117+M121+I101+I102</f>
        <v>180897.30859568529</v>
      </c>
    </row>
    <row r="3629" spans="1:1" ht="11.75" customHeight="1">
      <c r="A3629" s="1990">
        <f>I103+K51+D117+M121+I101</f>
        <v>164109.06314703665</v>
      </c>
    </row>
    <row r="3630" spans="1:1" ht="11.75" customHeight="1">
      <c r="A3630" s="1990">
        <f>I103+K51+D117+M121</f>
        <v>88005.3704468098</v>
      </c>
    </row>
    <row r="3631" spans="1:1" ht="11.75" customHeight="1">
      <c r="A3631" s="1990">
        <f>I103+K51+D117</f>
        <v>39024.570446809812</v>
      </c>
    </row>
    <row r="3632" spans="1:1" ht="11.75" customHeight="1">
      <c r="A3632" s="1990">
        <f>I103+K51</f>
        <v>36006.531012790423</v>
      </c>
    </row>
    <row r="3633" spans="1:1" ht="11.75" customHeight="1">
      <c r="A3633" s="1989">
        <f>1.21*G108*D20*24/1000*D101</f>
        <v>387079.06311359996</v>
      </c>
    </row>
    <row r="3634" spans="1:1" ht="11.75" customHeight="1">
      <c r="A3634" s="1989">
        <f>1.21*G108*D20*24/1000</f>
        <v>156.29328000000001</v>
      </c>
    </row>
    <row r="3635" spans="1:1" ht="11.75" customHeight="1">
      <c r="A3635" s="1989">
        <f>1.21*G108*D20*24</f>
        <v>156293.28</v>
      </c>
    </row>
    <row r="3636" spans="1:1" ht="11.75" customHeight="1">
      <c r="A3636" s="1989">
        <f>1.21*G108*D20</f>
        <v>6512.22</v>
      </c>
    </row>
    <row r="3637" spans="1:1" ht="11.75" customHeight="1">
      <c r="A3637" s="1989">
        <f>1.21*G108</f>
        <v>1.4157</v>
      </c>
    </row>
    <row r="3638" spans="1:1" ht="11.75" customHeight="1">
      <c r="A3638" s="1989" t="b">
        <f>D108="Measured"</f>
        <v>0</v>
      </c>
    </row>
    <row r="3639" spans="1:1" ht="11.75" customHeight="1">
      <c r="A3639" s="1989">
        <f>G109*D105/D101*3.6</f>
        <v>17.44312813431209</v>
      </c>
    </row>
    <row r="3640" spans="1:1" ht="11.75" customHeight="1">
      <c r="A3640" s="1989">
        <f>G109*D105</f>
        <v>12000</v>
      </c>
    </row>
    <row r="3641" spans="1:1" ht="11.75" customHeight="1">
      <c r="A3641" s="1989">
        <f>D101*3.6</f>
        <v>8915.8319999999985</v>
      </c>
    </row>
    <row r="3642" spans="1:1" ht="11.75" customHeight="1">
      <c r="A3642" s="1989">
        <f>IF(D108="AL-1A",0.89,IF(D108="AL-2A",0.71,IF(D108="AL-3A",0.53,IF(D108="AL-4A",0.35,IF(D108="AL-5A",0.21,IF(D108="AL-1B",1.17,IF(D108="AL-2B",0.98,IF(D108="AL-3B",0.78,IF(D108="AL-4B",0.59,IF(D108="AL-5B",0.39,IF(D108="AL-6B",0.23,IF(D108="PH Classic",0.6*D105/D101*3.6,IF(D108="PH Low",1*D105/D101*3.6,IF(D108="PH+",0.1))))))))))))))</f>
        <v>1.17</v>
      </c>
    </row>
    <row r="3643" spans="1:1" ht="11.75" customHeight="1">
      <c r="A3643" s="1989" t="b">
        <f>D108="AL-1A"</f>
        <v>0</v>
      </c>
    </row>
    <row r="3644" spans="1:1" ht="11.75" customHeight="1">
      <c r="A3644" s="1989">
        <f>IF(D108="AL-2A",0.71,IF(D108="AL-3A",0.53,IF(D108="AL-4A",0.35,IF(D108="AL-5A",0.21,IF(D108="AL-1B",1.17,IF(D108="AL-2B",0.98,IF(D108="AL-3B",0.78,IF(D108="AL-4B",0.59,IF(D108="AL-5B",0.39,IF(D108="AL-6B",0.23,IF(D108="PH Classic",0.6*D105/D101*3.6,IF(D108="PH Low",1*D105/D101*3.6,IF(D108="PH+",0.1)))))))))))))</f>
        <v>1.17</v>
      </c>
    </row>
    <row r="3645" spans="1:1" ht="11.75" customHeight="1">
      <c r="A3645" s="1989" t="b">
        <f>D108="AL-2A"</f>
        <v>0</v>
      </c>
    </row>
    <row r="3646" spans="1:1" ht="11.75" customHeight="1">
      <c r="A3646" s="1989">
        <f>IF(D108="AL-3A",0.53,IF(D108="AL-4A",0.35,IF(D108="AL-5A",0.21,IF(D108="AL-1B",1.17,IF(D108="AL-2B",0.98,IF(D108="AL-3B",0.78,IF(D108="AL-4B",0.59,IF(D108="AL-5B",0.39,IF(D108="AL-6B",0.23,IF(D108="PH Classic",0.6*D105/D101*3.6,IF(D108="PH Low",1*D105/D101*3.6,IF(D108="PH+",0.1))))))))))))</f>
        <v>1.17</v>
      </c>
    </row>
    <row r="3647" spans="1:1" ht="11.75" customHeight="1">
      <c r="A3647" s="1989" t="b">
        <f>D108="AL-3A"</f>
        <v>0</v>
      </c>
    </row>
    <row r="3648" spans="1:1" ht="11.75" customHeight="1">
      <c r="A3648" s="1989">
        <f>IF(D108="AL-4A",0.35,IF(D108="AL-5A",0.21,IF(D108="AL-1B",1.17,IF(D108="AL-2B",0.98,IF(D108="AL-3B",0.78,IF(D108="AL-4B",0.59,IF(D108="AL-5B",0.39,IF(D108="AL-6B",0.23,IF(D108="PH Classic",0.6*D105/D101*3.6,IF(D108="PH Low",1*D105/D101*3.6,IF(D108="PH+",0.1)))))))))))</f>
        <v>1.17</v>
      </c>
    </row>
    <row r="3649" spans="1:1" ht="11.75" customHeight="1">
      <c r="A3649" s="1989" t="b">
        <f>D108="AL-4A"</f>
        <v>0</v>
      </c>
    </row>
    <row r="3650" spans="1:1" ht="11.75" customHeight="1">
      <c r="A3650" s="1989">
        <f>IF(D108="AL-5A",0.21,IF(D108="AL-1B",1.17,IF(D108="AL-2B",0.98,IF(D108="AL-3B",0.78,IF(D108="AL-4B",0.59,IF(D108="AL-5B",0.39,IF(D108="AL-6B",0.23,IF(D108="PH Classic",0.6*D105/D101*3.6,IF(D108="PH Low",1*D105/D101*3.6,IF(D108="PH+",0.1))))))))))</f>
        <v>1.17</v>
      </c>
    </row>
    <row r="3651" spans="1:1" ht="11.75" customHeight="1">
      <c r="A3651" s="1989" t="b">
        <f>D108="AL-5A"</f>
        <v>0</v>
      </c>
    </row>
    <row r="3652" spans="1:1" ht="11.75" customHeight="1">
      <c r="A3652" s="1989">
        <f>IF(D108="AL-1B",1.17,IF(D108="AL-2B",0.98,IF(D108="AL-3B",0.78,IF(D108="AL-4B",0.59,IF(D108="AL-5B",0.39,IF(D108="AL-6B",0.23,IF(D108="PH Classic",0.6*D105/D101*3.6,IF(D108="PH Low",1*D105/D101*3.6,IF(D108="PH+",0.1)))))))))</f>
        <v>1.17</v>
      </c>
    </row>
    <row r="3653" spans="1:1" ht="11.75" customHeight="1">
      <c r="A3653" s="1989" t="b">
        <f>D108="AL-1B"</f>
        <v>1</v>
      </c>
    </row>
    <row r="3654" spans="1:1" ht="11.75" customHeight="1">
      <c r="A3654" s="1989" t="b">
        <f>IF(D108="AL-2B",0.98,IF(D108="AL-3B",0.78,IF(D108="AL-4B",0.59,IF(D108="AL-5B",0.39,IF(D108="AL-6B",0.23,IF(D108="PH Classic",0.6*D105/D101*3.6,IF(D108="PH Low",1*D105/D101*3.6,IF(D108="PH+",0.1))))))))</f>
        <v>0</v>
      </c>
    </row>
    <row r="3655" spans="1:1" ht="11.75" customHeight="1">
      <c r="A3655" s="1989" t="b">
        <f>D108="AL-2B"</f>
        <v>0</v>
      </c>
    </row>
    <row r="3656" spans="1:1" ht="11.75" customHeight="1">
      <c r="A3656" s="1989" t="b">
        <f>IF(D108="AL-3B",0.78,IF(D108="AL-4B",0.59,IF(D108="AL-5B",0.39,IF(D108="AL-6B",0.23,IF(D108="PH Classic",0.6*D105/D101*3.6,IF(D108="PH Low",1*D105/D101*3.6,IF(D108="PH+",0.1)))))))</f>
        <v>0</v>
      </c>
    </row>
    <row r="3657" spans="1:1" ht="11.75" customHeight="1">
      <c r="A3657" s="1989" t="b">
        <f>D108="AL-3B"</f>
        <v>0</v>
      </c>
    </row>
    <row r="3658" spans="1:1" ht="11.75" customHeight="1">
      <c r="A3658" s="1989" t="b">
        <f>IF(D108="AL-4B",0.59,IF(D108="AL-5B",0.39,IF(D108="AL-6B",0.23,IF(D108="PH Classic",0.6*D105/D101*3.6,IF(D108="PH Low",1*D105/D101*3.6,IF(D108="PH+",0.1))))))</f>
        <v>0</v>
      </c>
    </row>
    <row r="3659" spans="1:1" ht="11.75" customHeight="1">
      <c r="A3659" s="1989" t="b">
        <f>D108="AL-4B"</f>
        <v>0</v>
      </c>
    </row>
    <row r="3660" spans="1:1" ht="11.75" customHeight="1">
      <c r="A3660" s="1989" t="b">
        <f>IF(D108="AL-5B",0.39,IF(D108="AL-6B",0.23,IF(D108="PH Classic",0.6*D105/D101*3.6,IF(D108="PH Low",1*D105/D101*3.6,IF(D108="PH+",0.1)))))</f>
        <v>0</v>
      </c>
    </row>
    <row r="3661" spans="1:1" ht="11.75" customHeight="1">
      <c r="A3661" s="1989" t="b">
        <f>D108="AL-5B"</f>
        <v>0</v>
      </c>
    </row>
    <row r="3662" spans="1:1" ht="11.75" customHeight="1">
      <c r="A3662" s="1989" t="b">
        <f>IF(D108="AL-6B",0.23,IF(D108="PH Classic",0.6*D105/D101*3.6,IF(D108="PH Low",1*D105/D101*3.6,IF(D108="PH+",0.1))))</f>
        <v>0</v>
      </c>
    </row>
    <row r="3663" spans="1:1" ht="11.75" customHeight="1">
      <c r="A3663" s="1989" t="b">
        <f>D108="AL-6B"</f>
        <v>0</v>
      </c>
    </row>
    <row r="3664" spans="1:1" ht="11.75" customHeight="1">
      <c r="A3664" s="1989" t="b">
        <f>IF(D108="PH Classic",0.6*D105/D101*3.6,IF(D108="PH Low",1*D105/D101*3.6,IF(D108="PH+",0.1)))</f>
        <v>0</v>
      </c>
    </row>
    <row r="3665" spans="1:1" ht="11.75" customHeight="1">
      <c r="A3665" s="1989">
        <f>IF(H20="Present",VLOOKUP(H19,CANADA!A6:K699,9,FALSE),VLOOKUP(H19,CANADA!A6:K699,11,FALSE))</f>
        <v>4600</v>
      </c>
    </row>
    <row r="3666" spans="1:1" ht="11.75" customHeight="1">
      <c r="A3666" s="1989">
        <f>MATCH('NRL50-n-Factors'!D34,'NRL50-n-Factors'!C38:C49,0)</f>
        <v>5</v>
      </c>
    </row>
    <row r="3667" spans="1:1" ht="11.75" customHeight="1">
      <c r="A3667" s="1989">
        <f>MATCH(REPORT!D103,'NRL50-n-Factors'!D37:J37,0)</f>
        <v>2</v>
      </c>
    </row>
    <row r="3668" spans="1:1" ht="11.75" customHeight="1">
      <c r="A3668" s="1989" t="b">
        <f>D51="Gas"</f>
        <v>0</v>
      </c>
    </row>
    <row r="3669" spans="1:1" ht="11.75" customHeight="1">
      <c r="A3669" s="1989">
        <f>D$20*G101*24</f>
        <v>30728.853316304834</v>
      </c>
    </row>
    <row r="3670" spans="1:1" ht="11.75" customHeight="1">
      <c r="A3670" s="1989">
        <f>SUM(H65:H67)</f>
        <v>84390.33600000001</v>
      </c>
    </row>
    <row r="3671" spans="1:1" ht="11.75" customHeight="1">
      <c r="A3671" s="1989">
        <f>IF(D113="Heatpump",K51+D117+D114+M43+H70,IF(D113="Gas",K51+D117+M43+H70))</f>
        <v>132765.64793897627</v>
      </c>
    </row>
    <row r="3672" spans="1:1" ht="11.75" customHeight="1">
      <c r="A3672" s="1989" t="b">
        <f>D113="Heatpump"</f>
        <v>1</v>
      </c>
    </row>
    <row r="3673" spans="1:1" ht="11.75" customHeight="1">
      <c r="A3673" s="1990">
        <f>K51+D117+D114+M43+H70</f>
        <v>132765.64793897627</v>
      </c>
    </row>
    <row r="3674" spans="1:1" ht="11.75" customHeight="1">
      <c r="A3674" s="1989" t="b">
        <f>IF(D113="Gas",K51+D117+M43+H70)</f>
        <v>0</v>
      </c>
    </row>
    <row r="3675" spans="1:1" ht="11.75" customHeight="1">
      <c r="A3675" s="1990">
        <f>H27-D43</f>
        <v>132765.64793897627</v>
      </c>
    </row>
    <row r="3676" spans="1:1" ht="11.75" customHeight="1">
      <c r="A3676" s="1989" t="b">
        <f>D113="Electricity"</f>
        <v>0</v>
      </c>
    </row>
    <row r="3677" spans="1:1" ht="11.75" customHeight="1">
      <c r="A3677" s="1990">
        <f>I103+K51+D117+M121+I101+I102+M43+SUM(H65:H67)</f>
        <v>265287.6445956853</v>
      </c>
    </row>
    <row r="3678" spans="1:1" ht="11.75" customHeight="1">
      <c r="A3678" s="1990">
        <f>I103+K51+D117+M121+I101+I102+M43</f>
        <v>180897.30859568529</v>
      </c>
    </row>
    <row r="3679" spans="1:1" ht="11.75" customHeight="1">
      <c r="A3679" s="1990">
        <f>I103+K51+D117+M121+I101+I102</f>
        <v>180897.30859568529</v>
      </c>
    </row>
    <row r="3680" spans="1:1" ht="11.75" customHeight="1">
      <c r="A3680" s="1990">
        <f>I103+K51+D117+M121+I101</f>
        <v>164109.06314703665</v>
      </c>
    </row>
    <row r="3681" spans="1:1" ht="11.75" customHeight="1">
      <c r="A3681" s="1990">
        <f>I103+K51+D117+M121</f>
        <v>88005.3704468098</v>
      </c>
    </row>
    <row r="3682" spans="1:1" ht="11.75" customHeight="1">
      <c r="A3682" s="1990">
        <f>I103+K51+D117</f>
        <v>39024.570446809812</v>
      </c>
    </row>
    <row r="3683" spans="1:1" ht="11.75" customHeight="1">
      <c r="A3683" s="1990">
        <f>I103+K51</f>
        <v>36006.531012790423</v>
      </c>
    </row>
    <row r="3684" spans="1:1" ht="11.75" customHeight="1">
      <c r="A3684" s="1989">
        <f>1.21*G108*D20*24/1000*D101</f>
        <v>387079.06311359996</v>
      </c>
    </row>
    <row r="3685" spans="1:1" ht="11.75" customHeight="1">
      <c r="A3685" s="1989">
        <f>1.21*G108*D20*24/1000</f>
        <v>156.29328000000001</v>
      </c>
    </row>
    <row r="3686" spans="1:1" ht="11.75" customHeight="1">
      <c r="A3686" s="1989">
        <f>1.21*G108*D20*24</f>
        <v>156293.28</v>
      </c>
    </row>
    <row r="3687" spans="1:1" ht="11.75" customHeight="1">
      <c r="A3687" s="1989">
        <f>1.21*G108*D20</f>
        <v>6512.22</v>
      </c>
    </row>
    <row r="3688" spans="1:1" ht="11.75" customHeight="1">
      <c r="A3688" s="1989">
        <f>1.21*G108</f>
        <v>1.4157</v>
      </c>
    </row>
    <row r="3689" spans="1:1" ht="11.75" customHeight="1">
      <c r="A3689" s="1989" t="b">
        <f>D108="Measured"</f>
        <v>0</v>
      </c>
    </row>
    <row r="3690" spans="1:1" ht="11.75" customHeight="1">
      <c r="A3690" s="1989">
        <f>G109*D105/D101*3.6</f>
        <v>17.44312813431209</v>
      </c>
    </row>
    <row r="3691" spans="1:1" ht="11.75" customHeight="1">
      <c r="A3691" s="1989">
        <f>G109*D105</f>
        <v>12000</v>
      </c>
    </row>
    <row r="3692" spans="1:1" ht="11.75" customHeight="1">
      <c r="A3692" s="1989">
        <f>D101*3.6</f>
        <v>8915.8319999999985</v>
      </c>
    </row>
    <row r="3693" spans="1:1" ht="11.75" customHeight="1">
      <c r="A3693" s="1989">
        <f>IF(D108="AL-1A",0.89,IF(D108="AL-2A",0.71,IF(D108="AL-3A",0.53,IF(D108="AL-4A",0.35,IF(D108="AL-5A",0.21,IF(D108="AL-1B",1.17,IF(D108="AL-2B",0.98,IF(D108="AL-3B",0.78,IF(D108="AL-4B",0.59,IF(D108="AL-5B",0.39,IF(D108="AL-6B",0.23,IF(D108="PH Classic",0.6*D105/D101*3.6,IF(D108="PH Low",1*D105/D101*3.6,IF(D108="PH+",0.1))))))))))))))</f>
        <v>1.17</v>
      </c>
    </row>
    <row r="3694" spans="1:1" ht="11.75" customHeight="1">
      <c r="A3694" s="1989" t="b">
        <f>D108="AL-1A"</f>
        <v>0</v>
      </c>
    </row>
    <row r="3695" spans="1:1" ht="11.75" customHeight="1">
      <c r="A3695" s="1989">
        <f>IF(D108="AL-2A",0.71,IF(D108="AL-3A",0.53,IF(D108="AL-4A",0.35,IF(D108="AL-5A",0.21,IF(D108="AL-1B",1.17,IF(D108="AL-2B",0.98,IF(D108="AL-3B",0.78,IF(D108="AL-4B",0.59,IF(D108="AL-5B",0.39,IF(D108="AL-6B",0.23,IF(D108="PH Classic",0.6*D105/D101*3.6,IF(D108="PH Low",1*D105/D101*3.6,IF(D108="PH+",0.1)))))))))))))</f>
        <v>1.17</v>
      </c>
    </row>
    <row r="3696" spans="1:1" ht="11.75" customHeight="1">
      <c r="A3696" s="1989" t="b">
        <f>D108="AL-2A"</f>
        <v>0</v>
      </c>
    </row>
    <row r="3697" spans="1:1" ht="11.75" customHeight="1">
      <c r="A3697" s="1989">
        <f>IF(D108="AL-3A",0.53,IF(D108="AL-4A",0.35,IF(D108="AL-5A",0.21,IF(D108="AL-1B",1.17,IF(D108="AL-2B",0.98,IF(D108="AL-3B",0.78,IF(D108="AL-4B",0.59,IF(D108="AL-5B",0.39,IF(D108="AL-6B",0.23,IF(D108="PH Classic",0.6*D105/D101*3.6,IF(D108="PH Low",1*D105/D101*3.6,IF(D108="PH+",0.1))))))))))))</f>
        <v>1.17</v>
      </c>
    </row>
    <row r="3698" spans="1:1" ht="11.75" customHeight="1">
      <c r="A3698" s="1989" t="b">
        <f>D108="AL-3A"</f>
        <v>0</v>
      </c>
    </row>
    <row r="3699" spans="1:1" ht="11.75" customHeight="1">
      <c r="A3699" s="1989">
        <f>IF(D108="AL-4A",0.35,IF(D108="AL-5A",0.21,IF(D108="AL-1B",1.17,IF(D108="AL-2B",0.98,IF(D108="AL-3B",0.78,IF(D108="AL-4B",0.59,IF(D108="AL-5B",0.39,IF(D108="AL-6B",0.23,IF(D108="PH Classic",0.6*D105/D101*3.6,IF(D108="PH Low",1*D105/D101*3.6,IF(D108="PH+",0.1)))))))))))</f>
        <v>1.17</v>
      </c>
    </row>
    <row r="3700" spans="1:1" ht="11.75" customHeight="1">
      <c r="A3700" s="1989" t="b">
        <f>D108="AL-4A"</f>
        <v>0</v>
      </c>
    </row>
    <row r="3701" spans="1:1" ht="11.75" customHeight="1">
      <c r="A3701" s="1989">
        <f>IF(D108="AL-5A",0.21,IF(D108="AL-1B",1.17,IF(D108="AL-2B",0.98,IF(D108="AL-3B",0.78,IF(D108="AL-4B",0.59,IF(D108="AL-5B",0.39,IF(D108="AL-6B",0.23,IF(D108="PH Classic",0.6*D105/D101*3.6,IF(D108="PH Low",1*D105/D101*3.6,IF(D108="PH+",0.1))))))))))</f>
        <v>1.17</v>
      </c>
    </row>
    <row r="3702" spans="1:1" ht="11.75" customHeight="1">
      <c r="A3702" s="1989" t="b">
        <f>D108="AL-5A"</f>
        <v>0</v>
      </c>
    </row>
    <row r="3703" spans="1:1" ht="11.75" customHeight="1">
      <c r="A3703" s="1989">
        <f>IF(D108="AL-1B",1.17,IF(D108="AL-2B",0.98,IF(D108="AL-3B",0.78,IF(D108="AL-4B",0.59,IF(D108="AL-5B",0.39,IF(D108="AL-6B",0.23,IF(D108="PH Classic",0.6*D105/D101*3.6,IF(D108="PH Low",1*D105/D101*3.6,IF(D108="PH+",0.1)))))))))</f>
        <v>1.17</v>
      </c>
    </row>
    <row r="3704" spans="1:1" ht="11.75" customHeight="1">
      <c r="A3704" s="1989" t="b">
        <f>D108="AL-1B"</f>
        <v>1</v>
      </c>
    </row>
    <row r="3705" spans="1:1" ht="11.75" customHeight="1">
      <c r="A3705" s="1989" t="b">
        <f>IF(D108="AL-2B",0.98,IF(D108="AL-3B",0.78,IF(D108="AL-4B",0.59,IF(D108="AL-5B",0.39,IF(D108="AL-6B",0.23,IF(D108="PH Classic",0.6*D105/D101*3.6,IF(D108="PH Low",1*D105/D101*3.6,IF(D108="PH+",0.1))))))))</f>
        <v>0</v>
      </c>
    </row>
    <row r="3706" spans="1:1" ht="11.75" customHeight="1">
      <c r="A3706" s="1989" t="b">
        <f>D108="AL-2B"</f>
        <v>0</v>
      </c>
    </row>
    <row r="3707" spans="1:1" ht="11.75" customHeight="1">
      <c r="A3707" s="1989" t="b">
        <f>IF(D108="AL-3B",0.78,IF(D108="AL-4B",0.59,IF(D108="AL-5B",0.39,IF(D108="AL-6B",0.23,IF(D108="PH Classic",0.6*D105/D101*3.6,IF(D108="PH Low",1*D105/D101*3.6,IF(D108="PH+",0.1)))))))</f>
        <v>0</v>
      </c>
    </row>
    <row r="3708" spans="1:1" ht="11.75" customHeight="1">
      <c r="A3708" s="1989" t="b">
        <f>D108="AL-3B"</f>
        <v>0</v>
      </c>
    </row>
    <row r="3709" spans="1:1" ht="11.75" customHeight="1">
      <c r="A3709" s="1989" t="b">
        <f>IF(D108="AL-4B",0.59,IF(D108="AL-5B",0.39,IF(D108="AL-6B",0.23,IF(D108="PH Classic",0.6*D105/D101*3.6,IF(D108="PH Low",1*D105/D101*3.6,IF(D108="PH+",0.1))))))</f>
        <v>0</v>
      </c>
    </row>
    <row r="3710" spans="1:1" ht="11.75" customHeight="1">
      <c r="A3710" s="1989" t="b">
        <f>D108="AL-4B"</f>
        <v>0</v>
      </c>
    </row>
    <row r="3711" spans="1:1" ht="11.75" customHeight="1">
      <c r="A3711" s="1989" t="b">
        <f>IF(D108="AL-5B",0.39,IF(D108="AL-6B",0.23,IF(D108="PH Classic",0.6*D105/D101*3.6,IF(D108="PH Low",1*D105/D101*3.6,IF(D108="PH+",0.1)))))</f>
        <v>0</v>
      </c>
    </row>
    <row r="3712" spans="1:1" ht="11.75" customHeight="1">
      <c r="A3712" s="1989" t="b">
        <f>D108="AL-5B"</f>
        <v>0</v>
      </c>
    </row>
    <row r="3713" spans="1:1" ht="11.75" customHeight="1">
      <c r="A3713" s="1989" t="b">
        <f>IF(D108="AL-6B",0.23,IF(D108="PH Classic",0.6*D105/D101*3.6,IF(D108="PH Low",1*D105/D101*3.6,IF(D108="PH+",0.1))))</f>
        <v>0</v>
      </c>
    </row>
    <row r="3714" spans="1:1" ht="11.75" customHeight="1">
      <c r="A3714" s="1989" t="b">
        <f>D108="AL-6B"</f>
        <v>0</v>
      </c>
    </row>
    <row r="3715" spans="1:1" ht="11.75" customHeight="1">
      <c r="A3715" s="1989" t="b">
        <f>IF(D108="PH Classic",0.6*D105/D101*3.6,IF(D108="PH Low",1*D105/D101*3.6,IF(D108="PH+",0.1)))</f>
        <v>0</v>
      </c>
    </row>
    <row r="3716" spans="1:1" ht="11.75" customHeight="1">
      <c r="A3716" s="1989">
        <f>IF(H20="Present",VLOOKUP(H19,CANADA!A6:K699,9,FALSE),VLOOKUP(H19,CANADA!A6:K699,11,FALSE))</f>
        <v>4600</v>
      </c>
    </row>
    <row r="3717" spans="1:1" ht="11.75" customHeight="1">
      <c r="A3717" s="1989">
        <f>MATCH('NRL50-n-Factors'!D34,'NRL50-n-Factors'!C38:C49,0)</f>
        <v>5</v>
      </c>
    </row>
    <row r="3718" spans="1:1" ht="11.75" customHeight="1">
      <c r="A3718" s="1989">
        <f>MATCH(REPORT!D103,'NRL50-n-Factors'!D37:J37,0)</f>
        <v>2</v>
      </c>
    </row>
    <row r="3719" spans="1:1" ht="11.75" customHeight="1">
      <c r="A3719" s="1989" t="b">
        <f>D51="Gas"</f>
        <v>0</v>
      </c>
    </row>
    <row r="3720" spans="1:1" ht="11.75" customHeight="1">
      <c r="A3720" s="1989">
        <f>D$20*G101*24</f>
        <v>30728.853316304834</v>
      </c>
    </row>
    <row r="3721" spans="1:1" ht="11.75" customHeight="1">
      <c r="A3721" s="1989">
        <f>SUM(H65:H67)</f>
        <v>84390.33600000001</v>
      </c>
    </row>
    <row r="3722" spans="1:1" ht="11.75" customHeight="1">
      <c r="A3722" s="1989">
        <f>IF(D113="Heatpump",K51+D117+D114+M43+H70,IF(D113="Gas",K51+D117+M43+H70))</f>
        <v>132765.64793897627</v>
      </c>
    </row>
    <row r="3723" spans="1:1" ht="11.75" customHeight="1">
      <c r="A3723" s="1989" t="b">
        <f>D113="Heatpump"</f>
        <v>1</v>
      </c>
    </row>
    <row r="3724" spans="1:1" ht="11.75" customHeight="1">
      <c r="A3724" s="1990">
        <f>K51+D117+D114+M43+H70</f>
        <v>132765.64793897627</v>
      </c>
    </row>
    <row r="3725" spans="1:1" ht="11.75" customHeight="1">
      <c r="A3725" s="1989" t="b">
        <f>IF(D113="Gas",K51+D117+M43+H70)</f>
        <v>0</v>
      </c>
    </row>
    <row r="3726" spans="1:1" ht="11.75" customHeight="1">
      <c r="A3726" s="1989">
        <f>SUM(D44:D46)</f>
        <v>0</v>
      </c>
    </row>
    <row r="3727" spans="1:1" ht="11.75" customHeight="1">
      <c r="A3727" s="1990">
        <f>H27-D43</f>
        <v>132765.64793897627</v>
      </c>
    </row>
    <row r="3728" spans="1:1" ht="11.75" customHeight="1">
      <c r="A3728" s="1989" t="b">
        <f>D113="Electricity"</f>
        <v>0</v>
      </c>
    </row>
    <row r="3729" spans="1:1" ht="11.75" customHeight="1">
      <c r="A3729" s="1990">
        <f>I103+K51+D117+M121+I101+I102+M43+SUM(H65:H67)</f>
        <v>265287.6445956853</v>
      </c>
    </row>
    <row r="3730" spans="1:1" ht="11.75" customHeight="1">
      <c r="A3730" s="1990">
        <f>I103+K51+D117+M121+I101+I102+M43</f>
        <v>180897.30859568529</v>
      </c>
    </row>
    <row r="3731" spans="1:1" ht="11.75" customHeight="1">
      <c r="A3731" s="1990">
        <f>I103+K51+D117+M121+I101+I102</f>
        <v>180897.30859568529</v>
      </c>
    </row>
    <row r="3732" spans="1:1" ht="11.75" customHeight="1">
      <c r="A3732" s="1990">
        <f>I103+K51+D117+M121+I101</f>
        <v>164109.06314703665</v>
      </c>
    </row>
    <row r="3733" spans="1:1" ht="11.75" customHeight="1">
      <c r="A3733" s="1990">
        <f>I103+K51+D117+M121</f>
        <v>88005.3704468098</v>
      </c>
    </row>
    <row r="3734" spans="1:1" ht="11.75" customHeight="1">
      <c r="A3734" s="1990">
        <f>I103+K51+D117</f>
        <v>39024.570446809812</v>
      </c>
    </row>
    <row r="3735" spans="1:1" ht="11.75" customHeight="1">
      <c r="A3735" s="1990">
        <f>I103+K51</f>
        <v>36006.531012790423</v>
      </c>
    </row>
    <row r="3736" spans="1:1" ht="11.75" customHeight="1">
      <c r="A3736" s="1989">
        <f>1.21*G108*D20*24/1000*D101</f>
        <v>387079.06311359996</v>
      </c>
    </row>
    <row r="3737" spans="1:1" ht="11.75" customHeight="1">
      <c r="A3737" s="1989">
        <f>1.21*G108*D20*24/1000</f>
        <v>156.29328000000001</v>
      </c>
    </row>
    <row r="3738" spans="1:1" ht="11.75" customHeight="1">
      <c r="A3738" s="1989">
        <f>1.21*G108*D20*24</f>
        <v>156293.28</v>
      </c>
    </row>
    <row r="3739" spans="1:1" ht="11.75" customHeight="1">
      <c r="A3739" s="1989">
        <f>1.21*G108*D20</f>
        <v>6512.22</v>
      </c>
    </row>
    <row r="3740" spans="1:1" ht="11.75" customHeight="1">
      <c r="A3740" s="1989">
        <f>1.21*G108</f>
        <v>1.4157</v>
      </c>
    </row>
    <row r="3741" spans="1:1" ht="11.75" customHeight="1">
      <c r="A3741" s="1989" t="b">
        <f>D108="Measured"</f>
        <v>0</v>
      </c>
    </row>
    <row r="3742" spans="1:1" ht="11.75" customHeight="1">
      <c r="A3742" s="1989">
        <f>G109*D105/D101*3.6</f>
        <v>17.44312813431209</v>
      </c>
    </row>
    <row r="3743" spans="1:1" ht="11.75" customHeight="1">
      <c r="A3743" s="1989">
        <f>G109*D105</f>
        <v>12000</v>
      </c>
    </row>
    <row r="3744" spans="1:1" ht="11.75" customHeight="1">
      <c r="A3744" s="1989">
        <f>D101*3.6</f>
        <v>8915.8319999999985</v>
      </c>
    </row>
    <row r="3745" spans="1:1" ht="11.75" customHeight="1">
      <c r="A3745" s="1989">
        <f>IF(D108="AL-1A",0.89,IF(D108="AL-2A",0.71,IF(D108="AL-3A",0.53,IF(D108="AL-4A",0.35,IF(D108="AL-5A",0.21,IF(D108="AL-1B",1.17,IF(D108="AL-2B",0.98,IF(D108="AL-3B",0.78,IF(D108="AL-4B",0.59,IF(D108="AL-5B",0.39,IF(D108="AL-6B",0.23,IF(D108="PH Classic",0.6*D105/D101*3.6,IF(D108="PH Low",1*D105/D101*3.6,IF(D108="PH+",0.1))))))))))))))</f>
        <v>1.17</v>
      </c>
    </row>
    <row r="3746" spans="1:1" ht="11.75" customHeight="1">
      <c r="A3746" s="1989" t="b">
        <f>D108="AL-1A"</f>
        <v>0</v>
      </c>
    </row>
    <row r="3747" spans="1:1" ht="11.75" customHeight="1">
      <c r="A3747" s="1989">
        <f>IF(D108="AL-2A",0.71,IF(D108="AL-3A",0.53,IF(D108="AL-4A",0.35,IF(D108="AL-5A",0.21,IF(D108="AL-1B",1.17,IF(D108="AL-2B",0.98,IF(D108="AL-3B",0.78,IF(D108="AL-4B",0.59,IF(D108="AL-5B",0.39,IF(D108="AL-6B",0.23,IF(D108="PH Classic",0.6*D105/D101*3.6,IF(D108="PH Low",1*D105/D101*3.6,IF(D108="PH+",0.1)))))))))))))</f>
        <v>1.17</v>
      </c>
    </row>
    <row r="3748" spans="1:1" ht="11.75" customHeight="1">
      <c r="A3748" s="1989" t="b">
        <f>D108="AL-2A"</f>
        <v>0</v>
      </c>
    </row>
    <row r="3749" spans="1:1" ht="11.75" customHeight="1">
      <c r="A3749" s="1989">
        <f>IF(D108="AL-3A",0.53,IF(D108="AL-4A",0.35,IF(D108="AL-5A",0.21,IF(D108="AL-1B",1.17,IF(D108="AL-2B",0.98,IF(D108="AL-3B",0.78,IF(D108="AL-4B",0.59,IF(D108="AL-5B",0.39,IF(D108="AL-6B",0.23,IF(D108="PH Classic",0.6*D105/D101*3.6,IF(D108="PH Low",1*D105/D101*3.6,IF(D108="PH+",0.1))))))))))))</f>
        <v>1.17</v>
      </c>
    </row>
    <row r="3750" spans="1:1" ht="11.75" customHeight="1">
      <c r="A3750" s="1989" t="b">
        <f>D108="AL-3A"</f>
        <v>0</v>
      </c>
    </row>
    <row r="3751" spans="1:1" ht="11.75" customHeight="1">
      <c r="A3751" s="1989">
        <f>IF(D108="AL-4A",0.35,IF(D108="AL-5A",0.21,IF(D108="AL-1B",1.17,IF(D108="AL-2B",0.98,IF(D108="AL-3B",0.78,IF(D108="AL-4B",0.59,IF(D108="AL-5B",0.39,IF(D108="AL-6B",0.23,IF(D108="PH Classic",0.6*D105/D101*3.6,IF(D108="PH Low",1*D105/D101*3.6,IF(D108="PH+",0.1)))))))))))</f>
        <v>1.17</v>
      </c>
    </row>
    <row r="3752" spans="1:1" ht="11.75" customHeight="1">
      <c r="A3752" s="1989" t="b">
        <f>D108="AL-4A"</f>
        <v>0</v>
      </c>
    </row>
    <row r="3753" spans="1:1" ht="11.75" customHeight="1">
      <c r="A3753" s="1989">
        <f>IF(D108="AL-5A",0.21,IF(D108="AL-1B",1.17,IF(D108="AL-2B",0.98,IF(D108="AL-3B",0.78,IF(D108="AL-4B",0.59,IF(D108="AL-5B",0.39,IF(D108="AL-6B",0.23,IF(D108="PH Classic",0.6*D105/D101*3.6,IF(D108="PH Low",1*D105/D101*3.6,IF(D108="PH+",0.1))))))))))</f>
        <v>1.17</v>
      </c>
    </row>
    <row r="3754" spans="1:1" ht="11.75" customHeight="1">
      <c r="A3754" s="1989" t="b">
        <f>D108="AL-5A"</f>
        <v>0</v>
      </c>
    </row>
    <row r="3755" spans="1:1" ht="11.75" customHeight="1">
      <c r="A3755" s="1989">
        <f>IF(D108="AL-1B",1.17,IF(D108="AL-2B",0.98,IF(D108="AL-3B",0.78,IF(D108="AL-4B",0.59,IF(D108="AL-5B",0.39,IF(D108="AL-6B",0.23,IF(D108="PH Classic",0.6*D105/D101*3.6,IF(D108="PH Low",1*D105/D101*3.6,IF(D108="PH+",0.1)))))))))</f>
        <v>1.17</v>
      </c>
    </row>
    <row r="3756" spans="1:1" ht="11.75" customHeight="1">
      <c r="A3756" s="1989" t="b">
        <f>D108="AL-1B"</f>
        <v>1</v>
      </c>
    </row>
    <row r="3757" spans="1:1" ht="11.75" customHeight="1">
      <c r="A3757" s="1989" t="b">
        <f>IF(D108="AL-2B",0.98,IF(D108="AL-3B",0.78,IF(D108="AL-4B",0.59,IF(D108="AL-5B",0.39,IF(D108="AL-6B",0.23,IF(D108="PH Classic",0.6*D105/D101*3.6,IF(D108="PH Low",1*D105/D101*3.6,IF(D108="PH+",0.1))))))))</f>
        <v>0</v>
      </c>
    </row>
    <row r="3758" spans="1:1" ht="11.75" customHeight="1">
      <c r="A3758" s="1989" t="b">
        <f>D108="AL-2B"</f>
        <v>0</v>
      </c>
    </row>
    <row r="3759" spans="1:1" ht="11.75" customHeight="1">
      <c r="A3759" s="1989" t="b">
        <f>IF(D108="AL-3B",0.78,IF(D108="AL-4B",0.59,IF(D108="AL-5B",0.39,IF(D108="AL-6B",0.23,IF(D108="PH Classic",0.6*D105/D101*3.6,IF(D108="PH Low",1*D105/D101*3.6,IF(D108="PH+",0.1)))))))</f>
        <v>0</v>
      </c>
    </row>
    <row r="3760" spans="1:1" ht="11.75" customHeight="1">
      <c r="A3760" s="1989" t="b">
        <f>D108="AL-3B"</f>
        <v>0</v>
      </c>
    </row>
    <row r="3761" spans="1:1" ht="11.75" customHeight="1">
      <c r="A3761" s="1989" t="b">
        <f>IF(D108="AL-4B",0.59,IF(D108="AL-5B",0.39,IF(D108="AL-6B",0.23,IF(D108="PH Classic",0.6*D105/D101*3.6,IF(D108="PH Low",1*D105/D101*3.6,IF(D108="PH+",0.1))))))</f>
        <v>0</v>
      </c>
    </row>
    <row r="3762" spans="1:1" ht="11.75" customHeight="1">
      <c r="A3762" s="1989" t="b">
        <f>D108="AL-4B"</f>
        <v>0</v>
      </c>
    </row>
    <row r="3763" spans="1:1" ht="11.75" customHeight="1">
      <c r="A3763" s="1989" t="b">
        <f>IF(D108="AL-5B",0.39,IF(D108="AL-6B",0.23,IF(D108="PH Classic",0.6*D105/D101*3.6,IF(D108="PH Low",1*D105/D101*3.6,IF(D108="PH+",0.1)))))</f>
        <v>0</v>
      </c>
    </row>
    <row r="3764" spans="1:1" ht="11.75" customHeight="1">
      <c r="A3764" s="1989" t="b">
        <f>D108="AL-5B"</f>
        <v>0</v>
      </c>
    </row>
    <row r="3765" spans="1:1" ht="11.75" customHeight="1">
      <c r="A3765" s="1989" t="b">
        <f>IF(D108="AL-6B",0.23,IF(D108="PH Classic",0.6*D105/D101*3.6,IF(D108="PH Low",1*D105/D101*3.6,IF(D108="PH+",0.1))))</f>
        <v>0</v>
      </c>
    </row>
    <row r="3766" spans="1:1" ht="11.75" customHeight="1">
      <c r="A3766" s="1989" t="b">
        <f>D108="AL-6B"</f>
        <v>0</v>
      </c>
    </row>
    <row r="3767" spans="1:1" ht="11.75" customHeight="1">
      <c r="A3767" s="1989" t="b">
        <f>IF(D108="PH Classic",0.6*D105/D101*3.6,IF(D108="PH Low",1*D105/D101*3.6,IF(D108="PH+",0.1)))</f>
        <v>0</v>
      </c>
    </row>
    <row r="3768" spans="1:1" ht="11.75" customHeight="1">
      <c r="A3768" s="1989" t="b">
        <f>D108="PH Classic"</f>
        <v>0</v>
      </c>
    </row>
    <row r="3769" spans="1:1" ht="11.75" customHeight="1">
      <c r="A3769" s="1989">
        <f>0.6*D105/D101*3.6</f>
        <v>6.9772512537248366</v>
      </c>
    </row>
    <row r="3770" spans="1:1" ht="11.75" customHeight="1">
      <c r="A3770" s="1989" t="b">
        <f>IF(D108="PH Low",1*D105/D101*3.6,IF(D108="PH+",0.1))</f>
        <v>0</v>
      </c>
    </row>
    <row r="3771" spans="1:1" ht="11.75" customHeight="1">
      <c r="A3771" s="1989">
        <f>IF(H20="Present",VLOOKUP(H19,CANADA!A6:K699,9,FALSE),VLOOKUP(H19,CANADA!A6:K699,11,FALSE))</f>
        <v>4600</v>
      </c>
    </row>
    <row r="3772" spans="1:1" ht="11.75" customHeight="1">
      <c r="A3772" s="1989">
        <f>MATCH('NRL50-n-Factors'!D34,'NRL50-n-Factors'!C38:C49,0)</f>
        <v>5</v>
      </c>
    </row>
    <row r="3773" spans="1:1" ht="11.75" customHeight="1">
      <c r="A3773" s="1989">
        <f>MATCH(REPORT!D103,'NRL50-n-Factors'!D37:J37,0)</f>
        <v>2</v>
      </c>
    </row>
    <row r="3774" spans="1:1" ht="11.75" customHeight="1">
      <c r="A3774" s="1989" t="b">
        <f>D51="Gas"</f>
        <v>0</v>
      </c>
    </row>
    <row r="3775" spans="1:1" ht="11.75" customHeight="1">
      <c r="A3775" s="1989">
        <f>D$20*G101*24</f>
        <v>30728.853316304834</v>
      </c>
    </row>
    <row r="3776" spans="1:1" ht="11.75" customHeight="1">
      <c r="A3776" s="1989">
        <f>SUM(H65:H67)</f>
        <v>84390.33600000001</v>
      </c>
    </row>
    <row r="3777" spans="1:1" ht="11.75" customHeight="1">
      <c r="A3777" s="1989">
        <f>IF(D113="Heatpump",K51+D117+D114+M43+H70,IF(D113="Gas",K51+D117+M43+H70))</f>
        <v>132765.64793897627</v>
      </c>
    </row>
    <row r="3778" spans="1:1" ht="11.75" customHeight="1">
      <c r="A3778" s="1989" t="b">
        <f>D113="Heatpump"</f>
        <v>1</v>
      </c>
    </row>
    <row r="3779" spans="1:1" ht="11.75" customHeight="1">
      <c r="A3779" s="1990">
        <f>K51+D117+D114+M43+H70</f>
        <v>132765.64793897627</v>
      </c>
    </row>
    <row r="3780" spans="1:1" ht="11.75" customHeight="1">
      <c r="A3780" s="1989" t="b">
        <f>IF(D113="Gas",K51+D117+M43+H70)</f>
        <v>0</v>
      </c>
    </row>
    <row r="3781" spans="1:1" ht="11.75" customHeight="1">
      <c r="A3781" s="1989">
        <f>SUM(D44:D46)</f>
        <v>0</v>
      </c>
    </row>
    <row r="3782" spans="1:1" ht="11.75" customHeight="1">
      <c r="A3782" s="1990">
        <f>I44+I45</f>
        <v>0</v>
      </c>
    </row>
    <row r="3783" spans="1:1" ht="11.75" customHeight="1">
      <c r="A3783" s="1989">
        <f>H28*0.0373</f>
        <v>0</v>
      </c>
    </row>
    <row r="3784" spans="1:1" ht="11.75" customHeight="1">
      <c r="A3784" s="1989">
        <f>H30*36.72</f>
        <v>0</v>
      </c>
    </row>
    <row r="3785" spans="1:1" ht="11.75" customHeight="1">
      <c r="A3785" s="1990">
        <f>H27-D43</f>
        <v>132765.64793897627</v>
      </c>
    </row>
    <row r="3786" spans="1:1" ht="11.75" customHeight="1">
      <c r="A3786" s="1989" t="b">
        <f>D113="Electricity"</f>
        <v>0</v>
      </c>
    </row>
    <row r="3787" spans="1:1" ht="11.75" customHeight="1">
      <c r="A3787" s="1990">
        <f>I103+K51+D117+M121+I101+I102+M43+SUM(H65:H67)</f>
        <v>265287.6445956853</v>
      </c>
    </row>
    <row r="3788" spans="1:1" ht="11.75" customHeight="1">
      <c r="A3788" s="1990">
        <f>I103+K51+D117+M121+I101+I102+M43</f>
        <v>180897.30859568529</v>
      </c>
    </row>
    <row r="3789" spans="1:1" ht="11.75" customHeight="1">
      <c r="A3789" s="1990">
        <f>I103+K51+D117+M121+I101+I102</f>
        <v>180897.30859568529</v>
      </c>
    </row>
    <row r="3790" spans="1:1" ht="11.75" customHeight="1">
      <c r="A3790" s="1990">
        <f>I103+K51+D117+M121+I101</f>
        <v>164109.06314703665</v>
      </c>
    </row>
    <row r="3791" spans="1:1" ht="11.75" customHeight="1">
      <c r="A3791" s="1990">
        <f>I103+K51+D117+M121</f>
        <v>88005.3704468098</v>
      </c>
    </row>
    <row r="3792" spans="1:1" ht="11.75" customHeight="1">
      <c r="A3792" s="1990">
        <f>I103+K51+D117</f>
        <v>39024.570446809812</v>
      </c>
    </row>
    <row r="3793" spans="1:1" ht="11.75" customHeight="1">
      <c r="A3793" s="1990">
        <f>I103+K51</f>
        <v>36006.531012790423</v>
      </c>
    </row>
    <row r="3794" spans="1:1" ht="11.75" customHeight="1">
      <c r="A3794" s="1989">
        <f>1.21*G108*D20*24/1000*D101</f>
        <v>387079.06311359996</v>
      </c>
    </row>
    <row r="3795" spans="1:1" ht="11.75" customHeight="1">
      <c r="A3795" s="1989">
        <f>1.21*G108*D20*24/1000</f>
        <v>156.29328000000001</v>
      </c>
    </row>
    <row r="3796" spans="1:1" ht="11.75" customHeight="1">
      <c r="A3796" s="1989">
        <f>1.21*G108*D20*24</f>
        <v>156293.28</v>
      </c>
    </row>
    <row r="3797" spans="1:1" ht="11.75" customHeight="1">
      <c r="A3797" s="1989">
        <f>1.21*G108*D20</f>
        <v>6512.22</v>
      </c>
    </row>
    <row r="3798" spans="1:1" ht="11.75" customHeight="1">
      <c r="A3798" s="1989">
        <f>1.21*G108</f>
        <v>1.4157</v>
      </c>
    </row>
    <row r="3799" spans="1:1" ht="11.75" customHeight="1">
      <c r="A3799" s="1989" t="b">
        <f>D108="Measured"</f>
        <v>0</v>
      </c>
    </row>
    <row r="3800" spans="1:1" ht="11.75" customHeight="1">
      <c r="A3800" s="1989">
        <f>G109*D105/D101*3.6</f>
        <v>17.44312813431209</v>
      </c>
    </row>
    <row r="3801" spans="1:1" ht="11.75" customHeight="1">
      <c r="A3801" s="1989">
        <f>G109*D105</f>
        <v>12000</v>
      </c>
    </row>
    <row r="3802" spans="1:1" ht="11.75" customHeight="1">
      <c r="A3802" s="1989">
        <f>D101*3.6</f>
        <v>8915.8319999999985</v>
      </c>
    </row>
    <row r="3803" spans="1:1" ht="11.75" customHeight="1">
      <c r="A3803" s="1989">
        <f>IF(D108="AL-1A",0.89,IF(D108="AL-2A",0.71,IF(D108="AL-3A",0.53,IF(D108="AL-4A",0.35,IF(D108="AL-5A",0.21,IF(D108="AL-1B",1.17,IF(D108="AL-2B",0.98,IF(D108="AL-3B",0.78,IF(D108="AL-4B",0.59,IF(D108="AL-5B",0.39,IF(D108="AL-6B",0.23,IF(D108="PH Classic",0.6*D105/D101*3.6,IF(D108="PH Low",1*D105/D101*3.6,IF(D108="PH+",0.1))))))))))))))</f>
        <v>1.17</v>
      </c>
    </row>
    <row r="3804" spans="1:1" ht="11.75" customHeight="1">
      <c r="A3804" s="1989" t="b">
        <f>D108="AL-1A"</f>
        <v>0</v>
      </c>
    </row>
    <row r="3805" spans="1:1" ht="11.75" customHeight="1">
      <c r="A3805" s="1989">
        <f>IF(D108="AL-2A",0.71,IF(D108="AL-3A",0.53,IF(D108="AL-4A",0.35,IF(D108="AL-5A",0.21,IF(D108="AL-1B",1.17,IF(D108="AL-2B",0.98,IF(D108="AL-3B",0.78,IF(D108="AL-4B",0.59,IF(D108="AL-5B",0.39,IF(D108="AL-6B",0.23,IF(D108="PH Classic",0.6*D105/D101*3.6,IF(D108="PH Low",1*D105/D101*3.6,IF(D108="PH+",0.1)))))))))))))</f>
        <v>1.17</v>
      </c>
    </row>
    <row r="3806" spans="1:1" ht="11.75" customHeight="1">
      <c r="A3806" s="1989" t="b">
        <f>D108="AL-2A"</f>
        <v>0</v>
      </c>
    </row>
    <row r="3807" spans="1:1" ht="11.75" customHeight="1">
      <c r="A3807" s="1989">
        <f>IF(D108="AL-3A",0.53,IF(D108="AL-4A",0.35,IF(D108="AL-5A",0.21,IF(D108="AL-1B",1.17,IF(D108="AL-2B",0.98,IF(D108="AL-3B",0.78,IF(D108="AL-4B",0.59,IF(D108="AL-5B",0.39,IF(D108="AL-6B",0.23,IF(D108="PH Classic",0.6*D105/D101*3.6,IF(D108="PH Low",1*D105/D101*3.6,IF(D108="PH+",0.1))))))))))))</f>
        <v>1.17</v>
      </c>
    </row>
    <row r="3808" spans="1:1" ht="11.75" customHeight="1">
      <c r="A3808" s="1989" t="b">
        <f>D108="AL-3A"</f>
        <v>0</v>
      </c>
    </row>
    <row r="3809" spans="1:1" ht="11.75" customHeight="1">
      <c r="A3809" s="1989">
        <f>IF(D108="AL-4A",0.35,IF(D108="AL-5A",0.21,IF(D108="AL-1B",1.17,IF(D108="AL-2B",0.98,IF(D108="AL-3B",0.78,IF(D108="AL-4B",0.59,IF(D108="AL-5B",0.39,IF(D108="AL-6B",0.23,IF(D108="PH Classic",0.6*D105/D101*3.6,IF(D108="PH Low",1*D105/D101*3.6,IF(D108="PH+",0.1)))))))))))</f>
        <v>1.17</v>
      </c>
    </row>
    <row r="3810" spans="1:1" ht="11.75" customHeight="1">
      <c r="A3810" s="1989" t="b">
        <f>D108="AL-4A"</f>
        <v>0</v>
      </c>
    </row>
    <row r="3811" spans="1:1" ht="11.75" customHeight="1">
      <c r="A3811" s="1989">
        <f>IF(D108="AL-5A",0.21,IF(D108="AL-1B",1.17,IF(D108="AL-2B",0.98,IF(D108="AL-3B",0.78,IF(D108="AL-4B",0.59,IF(D108="AL-5B",0.39,IF(D108="AL-6B",0.23,IF(D108="PH Classic",0.6*D105/D101*3.6,IF(D108="PH Low",1*D105/D101*3.6,IF(D108="PH+",0.1))))))))))</f>
        <v>1.17</v>
      </c>
    </row>
    <row r="3812" spans="1:1" ht="11.75" customHeight="1">
      <c r="A3812" s="1989" t="b">
        <f>D108="AL-5A"</f>
        <v>0</v>
      </c>
    </row>
    <row r="3813" spans="1:1" ht="11.75" customHeight="1">
      <c r="A3813" s="1989">
        <f>IF(D108="AL-1B",1.17,IF(D108="AL-2B",0.98,IF(D108="AL-3B",0.78,IF(D108="AL-4B",0.59,IF(D108="AL-5B",0.39,IF(D108="AL-6B",0.23,IF(D108="PH Classic",0.6*D105/D101*3.6,IF(D108="PH Low",1*D105/D101*3.6,IF(D108="PH+",0.1)))))))))</f>
        <v>1.17</v>
      </c>
    </row>
    <row r="3814" spans="1:1" ht="11.75" customHeight="1">
      <c r="A3814" s="1989" t="b">
        <f>D108="AL-1B"</f>
        <v>1</v>
      </c>
    </row>
    <row r="3815" spans="1:1" ht="11.75" customHeight="1">
      <c r="A3815" s="1989" t="b">
        <f>IF(D108="AL-2B",0.98,IF(D108="AL-3B",0.78,IF(D108="AL-4B",0.59,IF(D108="AL-5B",0.39,IF(D108="AL-6B",0.23,IF(D108="PH Classic",0.6*D105/D101*3.6,IF(D108="PH Low",1*D105/D101*3.6,IF(D108="PH+",0.1))))))))</f>
        <v>0</v>
      </c>
    </row>
    <row r="3816" spans="1:1" ht="11.75" customHeight="1">
      <c r="A3816" s="1989" t="b">
        <f>D108="AL-2B"</f>
        <v>0</v>
      </c>
    </row>
    <row r="3817" spans="1:1" ht="11.75" customHeight="1">
      <c r="A3817" s="1989" t="b">
        <f>IF(D108="AL-3B",0.78,IF(D108="AL-4B",0.59,IF(D108="AL-5B",0.39,IF(D108="AL-6B",0.23,IF(D108="PH Classic",0.6*D105/D101*3.6,IF(D108="PH Low",1*D105/D101*3.6,IF(D108="PH+",0.1)))))))</f>
        <v>0</v>
      </c>
    </row>
    <row r="3818" spans="1:1" ht="11.75" customHeight="1">
      <c r="A3818" s="1989" t="b">
        <f>D108="AL-3B"</f>
        <v>0</v>
      </c>
    </row>
    <row r="3819" spans="1:1" ht="11.75" customHeight="1">
      <c r="A3819" s="1989" t="b">
        <f>IF(D108="AL-4B",0.59,IF(D108="AL-5B",0.39,IF(D108="AL-6B",0.23,IF(D108="PH Classic",0.6*D105/D101*3.6,IF(D108="PH Low",1*D105/D101*3.6,IF(D108="PH+",0.1))))))</f>
        <v>0</v>
      </c>
    </row>
    <row r="3820" spans="1:1" ht="11.75" customHeight="1">
      <c r="A3820" s="1989" t="b">
        <f>D108="AL-4B"</f>
        <v>0</v>
      </c>
    </row>
    <row r="3821" spans="1:1" ht="11.75" customHeight="1">
      <c r="A3821" s="1989" t="b">
        <f>IF(D108="AL-5B",0.39,IF(D108="AL-6B",0.23,IF(D108="PH Classic",0.6*D105/D101*3.6,IF(D108="PH Low",1*D105/D101*3.6,IF(D108="PH+",0.1)))))</f>
        <v>0</v>
      </c>
    </row>
    <row r="3822" spans="1:1" ht="11.75" customHeight="1">
      <c r="A3822" s="1989" t="b">
        <f>D108="AL-5B"</f>
        <v>0</v>
      </c>
    </row>
    <row r="3823" spans="1:1" ht="11.75" customHeight="1">
      <c r="A3823" s="1989" t="b">
        <f>IF(D108="AL-6B",0.23,IF(D108="PH Classic",0.6*D105/D101*3.6,IF(D108="PH Low",1*D105/D101*3.6,IF(D108="PH+",0.1))))</f>
        <v>0</v>
      </c>
    </row>
    <row r="3824" spans="1:1" ht="11.75" customHeight="1">
      <c r="A3824" s="1989" t="b">
        <f>D108="AL-6B"</f>
        <v>0</v>
      </c>
    </row>
    <row r="3825" spans="1:1" ht="11.75" customHeight="1">
      <c r="A3825" s="1989" t="b">
        <f>IF(D108="PH Classic",0.6*D105/D101*3.6,IF(D108="PH Low",1*D105/D101*3.6,IF(D108="PH+",0.1)))</f>
        <v>0</v>
      </c>
    </row>
    <row r="3826" spans="1:1" ht="11.75" customHeight="1">
      <c r="A3826" s="1989" t="b">
        <f>D108="PH Classic"</f>
        <v>0</v>
      </c>
    </row>
    <row r="3827" spans="1:1" ht="11.75" customHeight="1">
      <c r="A3827" s="1989">
        <f>0.6*D105/D101*3.6</f>
        <v>6.9772512537248366</v>
      </c>
    </row>
    <row r="3828" spans="1:1" ht="11.75" customHeight="1">
      <c r="A3828" s="1989" t="b">
        <f>IF(D108="PH Low",1*D105/D101*3.6,IF(D108="PH+",0.1))</f>
        <v>0</v>
      </c>
    </row>
    <row r="3829" spans="1:1" ht="11.75" customHeight="1">
      <c r="A3829" s="1989">
        <f>IF(H20="Present",VLOOKUP(H19,CANADA!A6:K699,9,FALSE),VLOOKUP(H19,CANADA!A6:K699,11,FALSE))</f>
        <v>4600</v>
      </c>
    </row>
    <row r="3830" spans="1:1" ht="11.75" customHeight="1">
      <c r="A3830" s="1989">
        <f>MATCH('NRL50-n-Factors'!D34,'NRL50-n-Factors'!C38:C49,0)</f>
        <v>5</v>
      </c>
    </row>
    <row r="3831" spans="1:1" ht="11.75" customHeight="1">
      <c r="A3831" s="1989">
        <f>MATCH(REPORT!D103,'NRL50-n-Factors'!D37:J37,0)</f>
        <v>2</v>
      </c>
    </row>
    <row r="3832" spans="1:1" ht="11.75" customHeight="1">
      <c r="A3832" s="1989" t="b">
        <f>D51="Gas"</f>
        <v>0</v>
      </c>
    </row>
    <row r="3833" spans="1:1" ht="11.75" customHeight="1">
      <c r="A3833" s="1989">
        <f>D$20*G101*24</f>
        <v>30728.853316304834</v>
      </c>
    </row>
    <row r="3834" spans="1:1" ht="11.75" customHeight="1">
      <c r="A3834" s="1989">
        <f>SUM(H65:H67)</f>
        <v>84390.33600000001</v>
      </c>
    </row>
    <row r="3835" spans="1:1" ht="11.75" customHeight="1">
      <c r="A3835" s="1990">
        <f>H27-D43</f>
        <v>132765.64793897627</v>
      </c>
    </row>
    <row r="3836" spans="1:1" ht="11.75" customHeight="1">
      <c r="A3836" s="1989" t="b">
        <f>D113="Electricity"</f>
        <v>0</v>
      </c>
    </row>
    <row r="3837" spans="1:1" ht="11.75" customHeight="1">
      <c r="A3837" s="1990">
        <f>I103+K51+D117+M121+I101+I102+M43+SUM(H65:H67)</f>
        <v>265287.6445956853</v>
      </c>
    </row>
    <row r="3838" spans="1:1" ht="11.75" customHeight="1">
      <c r="A3838" s="1990">
        <f>I103+K51+D117+M121+I101+I102+M43</f>
        <v>180897.30859568529</v>
      </c>
    </row>
    <row r="3839" spans="1:1" ht="11.75" customHeight="1">
      <c r="A3839" s="1990">
        <f>I103+K51+D117+M121+I101+I102</f>
        <v>180897.30859568529</v>
      </c>
    </row>
    <row r="3840" spans="1:1" ht="11.75" customHeight="1">
      <c r="A3840" s="1990">
        <f>I103+K51+D117+M121+I101</f>
        <v>164109.06314703665</v>
      </c>
    </row>
    <row r="3841" spans="1:1" ht="11.75" customHeight="1">
      <c r="A3841" s="1990">
        <f>I103+K51+D117+M121</f>
        <v>88005.3704468098</v>
      </c>
    </row>
    <row r="3842" spans="1:1" ht="11.75" customHeight="1">
      <c r="A3842" s="1990">
        <f>I103+K51+D117</f>
        <v>39024.570446809812</v>
      </c>
    </row>
    <row r="3843" spans="1:1" ht="11.75" customHeight="1">
      <c r="A3843" s="1990">
        <f>I103+K51</f>
        <v>36006.531012790423</v>
      </c>
    </row>
    <row r="3844" spans="1:1" ht="11.75" customHeight="1">
      <c r="A3844" s="1989">
        <f>1.21*G108*D20*24/1000*D101</f>
        <v>387079.06311359996</v>
      </c>
    </row>
    <row r="3845" spans="1:1" ht="11.75" customHeight="1">
      <c r="A3845" s="1989">
        <f>1.21*G108*D20*24/1000</f>
        <v>156.29328000000001</v>
      </c>
    </row>
    <row r="3846" spans="1:1" ht="11.75" customHeight="1">
      <c r="A3846" s="1989">
        <f>1.21*G108*D20*24</f>
        <v>156293.28</v>
      </c>
    </row>
    <row r="3847" spans="1:1" ht="11.75" customHeight="1">
      <c r="A3847" s="1989">
        <f>1.21*G108*D20</f>
        <v>6512.22</v>
      </c>
    </row>
    <row r="3848" spans="1:1" ht="11.75" customHeight="1">
      <c r="A3848" s="1989">
        <f>1.21*G108</f>
        <v>1.4157</v>
      </c>
    </row>
    <row r="3849" spans="1:1" ht="11.75" customHeight="1">
      <c r="A3849" s="1989" t="b">
        <f>D108="Measured"</f>
        <v>0</v>
      </c>
    </row>
    <row r="3850" spans="1:1" ht="11.75" customHeight="1">
      <c r="A3850" s="1989">
        <f>G109*D105/D101*3.6</f>
        <v>17.44312813431209</v>
      </c>
    </row>
    <row r="3851" spans="1:1" ht="11.75" customHeight="1">
      <c r="A3851" s="1989">
        <f>G109*D105</f>
        <v>12000</v>
      </c>
    </row>
    <row r="3852" spans="1:1" ht="11.75" customHeight="1">
      <c r="A3852" s="1989">
        <f>D101*3.6</f>
        <v>8915.8319999999985</v>
      </c>
    </row>
    <row r="3853" spans="1:1" ht="11.75" customHeight="1">
      <c r="A3853" s="1989">
        <f>IF(D108="AL-1A",0.89,IF(D108="AL-2A",0.71,IF(D108="AL-3A",0.53,IF(D108="AL-4A",0.35,IF(D108="AL-5A",0.21,IF(D108="AL-1B",1.17,IF(D108="AL-2B",0.98,IF(D108="AL-3B",0.78,IF(D108="AL-4B",0.59,IF(D108="AL-5B",0.39,IF(D108="AL-6B",0.23,IF(D108="PH Classic",0.6*D105/D101*3.6,IF(D108="PH Low",1*D105/D101*3.6,IF(D108="PH+",0.1))))))))))))))</f>
        <v>1.17</v>
      </c>
    </row>
    <row r="3854" spans="1:1" ht="11.75" customHeight="1">
      <c r="A3854" s="1989" t="b">
        <f>D108="AL-1A"</f>
        <v>0</v>
      </c>
    </row>
    <row r="3855" spans="1:1" ht="11.75" customHeight="1">
      <c r="A3855" s="1989">
        <f>IF(D108="AL-2A",0.71,IF(D108="AL-3A",0.53,IF(D108="AL-4A",0.35,IF(D108="AL-5A",0.21,IF(D108="AL-1B",1.17,IF(D108="AL-2B",0.98,IF(D108="AL-3B",0.78,IF(D108="AL-4B",0.59,IF(D108="AL-5B",0.39,IF(D108="AL-6B",0.23,IF(D108="PH Classic",0.6*D105/D101*3.6,IF(D108="PH Low",1*D105/D101*3.6,IF(D108="PH+",0.1)))))))))))))</f>
        <v>1.17</v>
      </c>
    </row>
    <row r="3856" spans="1:1" ht="11.75" customHeight="1">
      <c r="A3856" s="1989" t="b">
        <f>D108="AL-2A"</f>
        <v>0</v>
      </c>
    </row>
    <row r="3857" spans="1:1" ht="11.75" customHeight="1">
      <c r="A3857" s="1989">
        <f>IF(D108="AL-3A",0.53,IF(D108="AL-4A",0.35,IF(D108="AL-5A",0.21,IF(D108="AL-1B",1.17,IF(D108="AL-2B",0.98,IF(D108="AL-3B",0.78,IF(D108="AL-4B",0.59,IF(D108="AL-5B",0.39,IF(D108="AL-6B",0.23,IF(D108="PH Classic",0.6*D105/D101*3.6,IF(D108="PH Low",1*D105/D101*3.6,IF(D108="PH+",0.1))))))))))))</f>
        <v>1.17</v>
      </c>
    </row>
    <row r="3858" spans="1:1" ht="11.75" customHeight="1">
      <c r="A3858" s="1989" t="b">
        <f>D108="AL-3A"</f>
        <v>0</v>
      </c>
    </row>
    <row r="3859" spans="1:1" ht="11.75" customHeight="1">
      <c r="A3859" s="1989">
        <f>IF(D108="AL-4A",0.35,IF(D108="AL-5A",0.21,IF(D108="AL-1B",1.17,IF(D108="AL-2B",0.98,IF(D108="AL-3B",0.78,IF(D108="AL-4B",0.59,IF(D108="AL-5B",0.39,IF(D108="AL-6B",0.23,IF(D108="PH Classic",0.6*D105/D101*3.6,IF(D108="PH Low",1*D105/D101*3.6,IF(D108="PH+",0.1)))))))))))</f>
        <v>1.17</v>
      </c>
    </row>
    <row r="3860" spans="1:1" ht="11.75" customHeight="1">
      <c r="A3860" s="1989" t="b">
        <f>D108="AL-4A"</f>
        <v>0</v>
      </c>
    </row>
    <row r="3861" spans="1:1" ht="11.75" customHeight="1">
      <c r="A3861" s="1989">
        <f>IF(D108="AL-5A",0.21,IF(D108="AL-1B",1.17,IF(D108="AL-2B",0.98,IF(D108="AL-3B",0.78,IF(D108="AL-4B",0.59,IF(D108="AL-5B",0.39,IF(D108="AL-6B",0.23,IF(D108="PH Classic",0.6*D105/D101*3.6,IF(D108="PH Low",1*D105/D101*3.6,IF(D108="PH+",0.1))))))))))</f>
        <v>1.17</v>
      </c>
    </row>
    <row r="3862" spans="1:1" ht="11.75" customHeight="1">
      <c r="A3862" s="1989" t="b">
        <f>D108="AL-5A"</f>
        <v>0</v>
      </c>
    </row>
    <row r="3863" spans="1:1" ht="11.75" customHeight="1">
      <c r="A3863" s="1989">
        <f>IF(D108="AL-1B",1.17,IF(D108="AL-2B",0.98,IF(D108="AL-3B",0.78,IF(D108="AL-4B",0.59,IF(D108="AL-5B",0.39,IF(D108="AL-6B",0.23,IF(D108="PH Classic",0.6*D105/D101*3.6,IF(D108="PH Low",1*D105/D101*3.6,IF(D108="PH+",0.1)))))))))</f>
        <v>1.17</v>
      </c>
    </row>
    <row r="3864" spans="1:1" ht="11.75" customHeight="1">
      <c r="A3864" s="1989" t="b">
        <f>D108="AL-1B"</f>
        <v>1</v>
      </c>
    </row>
    <row r="3865" spans="1:1" ht="11.75" customHeight="1">
      <c r="A3865" s="1989" t="b">
        <f>IF(D108="AL-2B",0.98,IF(D108="AL-3B",0.78,IF(D108="AL-4B",0.59,IF(D108="AL-5B",0.39,IF(D108="AL-6B",0.23,IF(D108="PH Classic",0.6*D105/D101*3.6,IF(D108="PH Low",1*D105/D101*3.6,IF(D108="PH+",0.1))))))))</f>
        <v>0</v>
      </c>
    </row>
    <row r="3866" spans="1:1" ht="11.75" customHeight="1">
      <c r="A3866" s="1989" t="b">
        <f>D108="AL-2B"</f>
        <v>0</v>
      </c>
    </row>
    <row r="3867" spans="1:1" ht="11.75" customHeight="1">
      <c r="A3867" s="1989" t="b">
        <f>IF(D108="AL-3B",0.78,IF(D108="AL-4B",0.59,IF(D108="AL-5B",0.39,IF(D108="AL-6B",0.23,IF(D108="PH Classic",0.6*D105/D101*3.6,IF(D108="PH Low",1*D105/D101*3.6,IF(D108="PH+",0.1)))))))</f>
        <v>0</v>
      </c>
    </row>
    <row r="3868" spans="1:1" ht="11.75" customHeight="1">
      <c r="A3868" s="1989" t="b">
        <f>D108="AL-3B"</f>
        <v>0</v>
      </c>
    </row>
    <row r="3869" spans="1:1" ht="11.75" customHeight="1">
      <c r="A3869" s="1989" t="b">
        <f>IF(D108="AL-4B",0.59,IF(D108="AL-5B",0.39,IF(D108="AL-6B",0.23,IF(D108="PH Classic",0.6*D105/D101*3.6,IF(D108="PH Low",1*D105/D101*3.6,IF(D108="PH+",0.1))))))</f>
        <v>0</v>
      </c>
    </row>
    <row r="3870" spans="1:1" ht="11.75" customHeight="1">
      <c r="A3870" s="1989" t="b">
        <f>D108="AL-4B"</f>
        <v>0</v>
      </c>
    </row>
    <row r="3871" spans="1:1" ht="11.75" customHeight="1">
      <c r="A3871" s="1989" t="b">
        <f>IF(D108="AL-5B",0.39,IF(D108="AL-6B",0.23,IF(D108="PH Classic",0.6*D105/D101*3.6,IF(D108="PH Low",1*D105/D101*3.6,IF(D108="PH+",0.1)))))</f>
        <v>0</v>
      </c>
    </row>
    <row r="3872" spans="1:1" ht="11.75" customHeight="1">
      <c r="A3872" s="1989" t="b">
        <f>D108="AL-5B"</f>
        <v>0</v>
      </c>
    </row>
    <row r="3873" spans="1:1" ht="11.75" customHeight="1">
      <c r="A3873" s="1989" t="b">
        <f>IF(D108="AL-6B",0.23,IF(D108="PH Classic",0.6*D105/D101*3.6,IF(D108="PH Low",1*D105/D101*3.6,IF(D108="PH+",0.1))))</f>
        <v>0</v>
      </c>
    </row>
    <row r="3874" spans="1:1" ht="11.75" customHeight="1">
      <c r="A3874" s="1989" t="b">
        <f>D108="AL-6B"</f>
        <v>0</v>
      </c>
    </row>
    <row r="3875" spans="1:1" ht="11.75" customHeight="1">
      <c r="A3875" s="1989" t="b">
        <f>IF(D108="PH Classic",0.6*D105/D101*3.6,IF(D108="PH Low",1*D105/D101*3.6,IF(D108="PH+",0.1)))</f>
        <v>0</v>
      </c>
    </row>
    <row r="3876" spans="1:1" ht="11.75" customHeight="1">
      <c r="A3876" s="1989" t="b">
        <f>D108="PH Classic"</f>
        <v>0</v>
      </c>
    </row>
    <row r="3877" spans="1:1" ht="11.75" customHeight="1">
      <c r="A3877" s="1989">
        <f>0.6*D105/D101*3.6</f>
        <v>6.9772512537248366</v>
      </c>
    </row>
    <row r="3878" spans="1:1" ht="11.75" customHeight="1">
      <c r="A3878" s="1989" t="b">
        <f>IF(D108="PH Low",1*D105/D101*3.6,IF(D108="PH+",0.1))</f>
        <v>0</v>
      </c>
    </row>
    <row r="3879" spans="1:1" ht="11.75" customHeight="1">
      <c r="A3879" s="1989">
        <f>IF(H20="Present",VLOOKUP(H19,CANADA!A6:K699,9,FALSE),VLOOKUP(H19,CANADA!A6:K699,11,FALSE))</f>
        <v>4600</v>
      </c>
    </row>
    <row r="3880" spans="1:1" ht="11.75" customHeight="1">
      <c r="A3880" s="1989">
        <f>MATCH('NRL50-n-Factors'!D34,'NRL50-n-Factors'!C38:C49,0)</f>
        <v>5</v>
      </c>
    </row>
    <row r="3881" spans="1:1" ht="11.75" customHeight="1">
      <c r="A3881" s="1989">
        <f>MATCH(REPORT!D103,'NRL50-n-Factors'!D37:J37,0)</f>
        <v>2</v>
      </c>
    </row>
    <row r="3882" spans="1:1" ht="11.75" customHeight="1">
      <c r="A3882" s="1989" t="b">
        <f>D51="Gas"</f>
        <v>0</v>
      </c>
    </row>
    <row r="3883" spans="1:1" ht="11.75" customHeight="1">
      <c r="A3883" s="1989">
        <f>D$20*G101*24</f>
        <v>30728.853316304834</v>
      </c>
    </row>
    <row r="3884" spans="1:1" ht="11.75" customHeight="1">
      <c r="A3884" s="1989">
        <f>SUM(H65:H67)</f>
        <v>84390.33600000001</v>
      </c>
    </row>
    <row r="3885" spans="1:1" ht="11.75" customHeight="1">
      <c r="A3885" s="1990">
        <f>H27-D43</f>
        <v>132765.64793897627</v>
      </c>
    </row>
    <row r="3886" spans="1:1" ht="11.75" customHeight="1">
      <c r="A3886" s="1989" t="b">
        <f>D113="Electricity"</f>
        <v>0</v>
      </c>
    </row>
    <row r="3887" spans="1:1" ht="11.75" customHeight="1">
      <c r="A3887" s="1990">
        <f>I103+K51+D117+M121+I101+I102+M43+SUM(H65:H67)</f>
        <v>265287.6445956853</v>
      </c>
    </row>
    <row r="3888" spans="1:1" ht="11.75" customHeight="1">
      <c r="A3888" s="1990">
        <f>I103+K51+D117+M121+I101+I102+M43</f>
        <v>180897.30859568529</v>
      </c>
    </row>
    <row r="3889" spans="1:1" ht="11.75" customHeight="1">
      <c r="A3889" s="1990">
        <f>I103+K51+D117+M121+I101+I102</f>
        <v>180897.30859568529</v>
      </c>
    </row>
    <row r="3890" spans="1:1" ht="11.75" customHeight="1">
      <c r="A3890" s="1990">
        <f>I103+K51+D117+M121+I101</f>
        <v>164109.06314703665</v>
      </c>
    </row>
    <row r="3891" spans="1:1" ht="11.75" customHeight="1">
      <c r="A3891" s="1990">
        <f>I103+K51+D117+M121</f>
        <v>88005.3704468098</v>
      </c>
    </row>
    <row r="3892" spans="1:1" ht="11.75" customHeight="1">
      <c r="A3892" s="1990">
        <f>I103+K51+D117</f>
        <v>39024.570446809812</v>
      </c>
    </row>
    <row r="3893" spans="1:1" ht="11.75" customHeight="1">
      <c r="A3893" s="1990">
        <f>I103+K51</f>
        <v>36006.531012790423</v>
      </c>
    </row>
    <row r="3894" spans="1:1" ht="11.75" customHeight="1">
      <c r="A3894" s="1989">
        <f>1.21*G108*D20*24/1000*D101</f>
        <v>387079.06311359996</v>
      </c>
    </row>
    <row r="3895" spans="1:1" ht="11.75" customHeight="1">
      <c r="A3895" s="1989">
        <f>1.21*G108*D20*24/1000</f>
        <v>156.29328000000001</v>
      </c>
    </row>
    <row r="3896" spans="1:1" ht="11.75" customHeight="1">
      <c r="A3896" s="1989">
        <f>1.21*G108*D20*24</f>
        <v>156293.28</v>
      </c>
    </row>
    <row r="3897" spans="1:1" ht="11.75" customHeight="1">
      <c r="A3897" s="1989">
        <f>1.21*G108*D20</f>
        <v>6512.22</v>
      </c>
    </row>
    <row r="3898" spans="1:1" ht="11.75" customHeight="1">
      <c r="A3898" s="1989">
        <f>1.21*G108</f>
        <v>1.4157</v>
      </c>
    </row>
    <row r="3899" spans="1:1" ht="11.75" customHeight="1">
      <c r="A3899" s="1989" t="b">
        <f>D108="Measured"</f>
        <v>0</v>
      </c>
    </row>
    <row r="3900" spans="1:1" ht="11.75" customHeight="1">
      <c r="A3900" s="1989">
        <f>G109*D105/D101*3.6</f>
        <v>17.44312813431209</v>
      </c>
    </row>
    <row r="3901" spans="1:1" ht="11.75" customHeight="1">
      <c r="A3901" s="1989">
        <f>G109*D105</f>
        <v>12000</v>
      </c>
    </row>
    <row r="3902" spans="1:1" ht="11.75" customHeight="1">
      <c r="A3902" s="1989">
        <f>D101*3.6</f>
        <v>8915.8319999999985</v>
      </c>
    </row>
    <row r="3903" spans="1:1" ht="11.75" customHeight="1">
      <c r="A3903" s="1989">
        <f>IF(D108="AL-1A",0.89,IF(D108="AL-2A",0.71,IF(D108="AL-3A",0.53,IF(D108="AL-4A",0.35,IF(D108="AL-5A",0.21,IF(D108="AL-1B",1.17,IF(D108="AL-2B",0.98,IF(D108="AL-3B",0.78,IF(D108="AL-4B",0.59,IF(D108="AL-5B",0.39,IF(D108="AL-6B",0.23,IF(D108="PH Classic",0.6*D105/D101*3.6,IF(D108="PH Low",1*D105/D101*3.6,IF(D108="PH+",0.1))))))))))))))</f>
        <v>1.17</v>
      </c>
    </row>
    <row r="3904" spans="1:1" ht="11.75" customHeight="1">
      <c r="A3904" s="1989" t="b">
        <f>D108="AL-1A"</f>
        <v>0</v>
      </c>
    </row>
    <row r="3905" spans="1:1" ht="11.75" customHeight="1">
      <c r="A3905" s="1989">
        <f>IF(D108="AL-2A",0.71,IF(D108="AL-3A",0.53,IF(D108="AL-4A",0.35,IF(D108="AL-5A",0.21,IF(D108="AL-1B",1.17,IF(D108="AL-2B",0.98,IF(D108="AL-3B",0.78,IF(D108="AL-4B",0.59,IF(D108="AL-5B",0.39,IF(D108="AL-6B",0.23,IF(D108="PH Classic",0.6*D105/D101*3.6,IF(D108="PH Low",1*D105/D101*3.6,IF(D108="PH+",0.1)))))))))))))</f>
        <v>1.17</v>
      </c>
    </row>
    <row r="3906" spans="1:1" ht="11.75" customHeight="1">
      <c r="A3906" s="1989" t="b">
        <f>D108="AL-2A"</f>
        <v>0</v>
      </c>
    </row>
    <row r="3907" spans="1:1" ht="11.75" customHeight="1">
      <c r="A3907" s="1989">
        <f>IF(D108="AL-3A",0.53,IF(D108="AL-4A",0.35,IF(D108="AL-5A",0.21,IF(D108="AL-1B",1.17,IF(D108="AL-2B",0.98,IF(D108="AL-3B",0.78,IF(D108="AL-4B",0.59,IF(D108="AL-5B",0.39,IF(D108="AL-6B",0.23,IF(D108="PH Classic",0.6*D105/D101*3.6,IF(D108="PH Low",1*D105/D101*3.6,IF(D108="PH+",0.1))))))))))))</f>
        <v>1.17</v>
      </c>
    </row>
    <row r="3908" spans="1:1" ht="11.75" customHeight="1">
      <c r="A3908" s="1989" t="b">
        <f>D108="AL-3A"</f>
        <v>0</v>
      </c>
    </row>
    <row r="3909" spans="1:1" ht="11.75" customHeight="1">
      <c r="A3909" s="1989">
        <f>IF(D108="AL-4A",0.35,IF(D108="AL-5A",0.21,IF(D108="AL-1B",1.17,IF(D108="AL-2B",0.98,IF(D108="AL-3B",0.78,IF(D108="AL-4B",0.59,IF(D108="AL-5B",0.39,IF(D108="AL-6B",0.23,IF(D108="PH Classic",0.6*D105/D101*3.6,IF(D108="PH Low",1*D105/D101*3.6,IF(D108="PH+",0.1)))))))))))</f>
        <v>1.17</v>
      </c>
    </row>
    <row r="3910" spans="1:1" ht="11.75" customHeight="1">
      <c r="A3910" s="1989" t="b">
        <f>D108="AL-4A"</f>
        <v>0</v>
      </c>
    </row>
    <row r="3911" spans="1:1" ht="11.75" customHeight="1">
      <c r="A3911" s="1989">
        <f>IF(D108="AL-5A",0.21,IF(D108="AL-1B",1.17,IF(D108="AL-2B",0.98,IF(D108="AL-3B",0.78,IF(D108="AL-4B",0.59,IF(D108="AL-5B",0.39,IF(D108="AL-6B",0.23,IF(D108="PH Classic",0.6*D105/D101*3.6,IF(D108="PH Low",1*D105/D101*3.6,IF(D108="PH+",0.1))))))))))</f>
        <v>1.17</v>
      </c>
    </row>
    <row r="3912" spans="1:1" ht="11.75" customHeight="1">
      <c r="A3912" s="1989" t="b">
        <f>D108="AL-5A"</f>
        <v>0</v>
      </c>
    </row>
    <row r="3913" spans="1:1" ht="11.75" customHeight="1">
      <c r="A3913" s="1989">
        <f>IF(D108="AL-1B",1.17,IF(D108="AL-2B",0.98,IF(D108="AL-3B",0.78,IF(D108="AL-4B",0.59,IF(D108="AL-5B",0.39,IF(D108="AL-6B",0.23,IF(D108="PH Classic",0.6*D105/D101*3.6,IF(D108="PH Low",1*D105/D101*3.6,IF(D108="PH+",0.1)))))))))</f>
        <v>1.17</v>
      </c>
    </row>
    <row r="3914" spans="1:1" ht="11.75" customHeight="1">
      <c r="A3914" s="1989" t="b">
        <f>D108="AL-1B"</f>
        <v>1</v>
      </c>
    </row>
    <row r="3915" spans="1:1" ht="11.75" customHeight="1">
      <c r="A3915" s="1989" t="b">
        <f>IF(D108="AL-2B",0.98,IF(D108="AL-3B",0.78,IF(D108="AL-4B",0.59,IF(D108="AL-5B",0.39,IF(D108="AL-6B",0.23,IF(D108="PH Classic",0.6*D105/D101*3.6,IF(D108="PH Low",1*D105/D101*3.6,IF(D108="PH+",0.1))))))))</f>
        <v>0</v>
      </c>
    </row>
    <row r="3916" spans="1:1" ht="11.75" customHeight="1">
      <c r="A3916" s="1989" t="b">
        <f>D108="AL-2B"</f>
        <v>0</v>
      </c>
    </row>
    <row r="3917" spans="1:1" ht="11.75" customHeight="1">
      <c r="A3917" s="1989" t="b">
        <f>IF(D108="AL-3B",0.78,IF(D108="AL-4B",0.59,IF(D108="AL-5B",0.39,IF(D108="AL-6B",0.23,IF(D108="PH Classic",0.6*D105/D101*3.6,IF(D108="PH Low",1*D105/D101*3.6,IF(D108="PH+",0.1)))))))</f>
        <v>0</v>
      </c>
    </row>
    <row r="3918" spans="1:1" ht="11.75" customHeight="1">
      <c r="A3918" s="1989" t="b">
        <f>D108="AL-3B"</f>
        <v>0</v>
      </c>
    </row>
    <row r="3919" spans="1:1" ht="11.75" customHeight="1">
      <c r="A3919" s="1989" t="b">
        <f>IF(D108="AL-4B",0.59,IF(D108="AL-5B",0.39,IF(D108="AL-6B",0.23,IF(D108="PH Classic",0.6*D105/D101*3.6,IF(D108="PH Low",1*D105/D101*3.6,IF(D108="PH+",0.1))))))</f>
        <v>0</v>
      </c>
    </row>
    <row r="3920" spans="1:1" ht="11.75" customHeight="1">
      <c r="A3920" s="1989" t="b">
        <f>D108="AL-4B"</f>
        <v>0</v>
      </c>
    </row>
    <row r="3921" spans="1:1" ht="11.75" customHeight="1">
      <c r="A3921" s="1989" t="b">
        <f>IF(D108="AL-5B",0.39,IF(D108="AL-6B",0.23,IF(D108="PH Classic",0.6*D105/D101*3.6,IF(D108="PH Low",1*D105/D101*3.6,IF(D108="PH+",0.1)))))</f>
        <v>0</v>
      </c>
    </row>
    <row r="3922" spans="1:1" ht="11.75" customHeight="1">
      <c r="A3922" s="1989" t="b">
        <f>D108="AL-5B"</f>
        <v>0</v>
      </c>
    </row>
    <row r="3923" spans="1:1" ht="11.75" customHeight="1">
      <c r="A3923" s="1989" t="b">
        <f>IF(D108="AL-6B",0.23,IF(D108="PH Classic",0.6*D105/D101*3.6,IF(D108="PH Low",1*D105/D101*3.6,IF(D108="PH+",0.1))))</f>
        <v>0</v>
      </c>
    </row>
    <row r="3924" spans="1:1" ht="11.75" customHeight="1">
      <c r="A3924" s="1989" t="b">
        <f>D108="AL-6B"</f>
        <v>0</v>
      </c>
    </row>
    <row r="3925" spans="1:1" ht="11.75" customHeight="1">
      <c r="A3925" s="1989" t="b">
        <f>IF(D108="PH Classic",0.6*D105/D101*3.6,IF(D108="PH Low",1*D105/D101*3.6,IF(D108="PH+",0.1)))</f>
        <v>0</v>
      </c>
    </row>
    <row r="3926" spans="1:1" ht="11.75" customHeight="1">
      <c r="A3926" s="1989" t="b">
        <f>D108="PH Classic"</f>
        <v>0</v>
      </c>
    </row>
    <row r="3927" spans="1:1" ht="11.75" customHeight="1">
      <c r="A3927" s="1989">
        <f>0.6*D105/D101*3.6</f>
        <v>6.9772512537248366</v>
      </c>
    </row>
    <row r="3928" spans="1:1" ht="11.75" customHeight="1">
      <c r="A3928" s="1989">
        <f>0.6*D105</f>
        <v>4800</v>
      </c>
    </row>
    <row r="3929" spans="1:1" ht="11.75" customHeight="1">
      <c r="A3929" s="1989">
        <f>D101*3.6</f>
        <v>8915.8319999999985</v>
      </c>
    </row>
    <row r="3930" spans="1:1" ht="11.75" customHeight="1">
      <c r="A3930" s="1989" t="b">
        <f>IF(D108="PH Low",1*D105/D101*3.6,IF(D108="PH+",0.1))</f>
        <v>0</v>
      </c>
    </row>
    <row r="3931" spans="1:1" ht="11.75" customHeight="1">
      <c r="A3931" s="1989">
        <f>IF(H20="Present",VLOOKUP(H19,CANADA!A6:K699,9,FALSE),VLOOKUP(H19,CANADA!A6:K699,11,FALSE))</f>
        <v>4600</v>
      </c>
    </row>
    <row r="3932" spans="1:1" ht="11.75" customHeight="1">
      <c r="A3932" s="1989">
        <f>MATCH('NRL50-n-Factors'!D34,'NRL50-n-Factors'!C38:C49,0)</f>
        <v>5</v>
      </c>
    </row>
    <row r="3933" spans="1:1" ht="11.75" customHeight="1">
      <c r="A3933" s="1989">
        <f>MATCH(REPORT!D103,'NRL50-n-Factors'!D37:J37,0)</f>
        <v>2</v>
      </c>
    </row>
    <row r="3934" spans="1:1" ht="11.75" customHeight="1">
      <c r="A3934" s="1989" t="b">
        <f>D51="Gas"</f>
        <v>0</v>
      </c>
    </row>
    <row r="3935" spans="1:1" ht="11.75" customHeight="1">
      <c r="A3935" s="1989">
        <f>D$20*G101*24</f>
        <v>30728.853316304834</v>
      </c>
    </row>
    <row r="3936" spans="1:1" ht="11.75" customHeight="1">
      <c r="A3936" s="1990">
        <f>H27-D43</f>
        <v>132765.64793897627</v>
      </c>
    </row>
    <row r="3937" spans="1:1" ht="11.75" customHeight="1">
      <c r="A3937" s="1989" t="b">
        <f>D113="Electricity"</f>
        <v>0</v>
      </c>
    </row>
    <row r="3938" spans="1:1" ht="11.75" customHeight="1">
      <c r="A3938" s="1990">
        <f>I103+K51+D117+M121+I101+I102+M43+SUM(H65:H67)</f>
        <v>265287.6445956853</v>
      </c>
    </row>
    <row r="3939" spans="1:1" ht="11.75" customHeight="1">
      <c r="A3939" s="1990">
        <f>I103+K51+D117+M121+I101+I102+M43</f>
        <v>180897.30859568529</v>
      </c>
    </row>
    <row r="3940" spans="1:1" ht="11.75" customHeight="1">
      <c r="A3940" s="1990">
        <f>I103+K51+D117+M121+I101+I102</f>
        <v>180897.30859568529</v>
      </c>
    </row>
    <row r="3941" spans="1:1" ht="11.75" customHeight="1">
      <c r="A3941" s="1990">
        <f>I103+K51+D117+M121+I101</f>
        <v>164109.06314703665</v>
      </c>
    </row>
    <row r="3942" spans="1:1" ht="11.75" customHeight="1">
      <c r="A3942" s="1990">
        <f>I103+K51+D117+M121</f>
        <v>88005.3704468098</v>
      </c>
    </row>
    <row r="3943" spans="1:1" ht="11.75" customHeight="1">
      <c r="A3943" s="1990">
        <f>I103+K51+D117</f>
        <v>39024.570446809812</v>
      </c>
    </row>
    <row r="3944" spans="1:1" ht="11.75" customHeight="1">
      <c r="A3944" s="1990">
        <f>I103+K51</f>
        <v>36006.531012790423</v>
      </c>
    </row>
    <row r="3945" spans="1:1" ht="11.75" customHeight="1">
      <c r="A3945" s="1989">
        <f>1.21*G108*D20*24/1000*D101</f>
        <v>387079.06311359996</v>
      </c>
    </row>
    <row r="3946" spans="1:1" ht="11.75" customHeight="1">
      <c r="A3946" s="1989">
        <f>1.21*G108*D20*24/1000</f>
        <v>156.29328000000001</v>
      </c>
    </row>
    <row r="3947" spans="1:1" ht="11.75" customHeight="1">
      <c r="A3947" s="1989">
        <f>1.21*G108*D20*24</f>
        <v>156293.28</v>
      </c>
    </row>
    <row r="3948" spans="1:1" ht="11.75" customHeight="1">
      <c r="A3948" s="1989">
        <f>1.21*G108*D20</f>
        <v>6512.22</v>
      </c>
    </row>
    <row r="3949" spans="1:1" ht="11.75" customHeight="1">
      <c r="A3949" s="1989">
        <f>1.21*G108</f>
        <v>1.4157</v>
      </c>
    </row>
    <row r="3950" spans="1:1" ht="11.75" customHeight="1">
      <c r="A3950" s="1989" t="b">
        <f>D108="Measured"</f>
        <v>0</v>
      </c>
    </row>
    <row r="3951" spans="1:1" ht="11.75" customHeight="1">
      <c r="A3951" s="1989">
        <f>G109*D105/D101*3.6</f>
        <v>17.44312813431209</v>
      </c>
    </row>
    <row r="3952" spans="1:1" ht="11.75" customHeight="1">
      <c r="A3952" s="1989">
        <f>G109*D105</f>
        <v>12000</v>
      </c>
    </row>
    <row r="3953" spans="1:1" ht="11.75" customHeight="1">
      <c r="A3953" s="1989">
        <f>D101*3.6</f>
        <v>8915.8319999999985</v>
      </c>
    </row>
    <row r="3954" spans="1:1" ht="11.75" customHeight="1">
      <c r="A3954" s="1989">
        <f>IF(D108="AL-1A",0.89,IF(D108="AL-2A",0.71,IF(D108="AL-3A",0.53,IF(D108="AL-4A",0.35,IF(D108="AL-5A",0.21,IF(D108="AL-1B",1.17,IF(D108="AL-2B",0.98,IF(D108="AL-3B",0.78,IF(D108="AL-4B",0.59,IF(D108="AL-5B",0.39,IF(D108="AL-6B",0.23,IF(D108="PH Classic",0.6*D105/D101*3.6,IF(D108="PH Low",1*D105/D101*3.6,IF(D108="PH+",0.1))))))))))))))</f>
        <v>1.17</v>
      </c>
    </row>
    <row r="3955" spans="1:1" ht="11.75" customHeight="1">
      <c r="A3955" s="1989" t="b">
        <f>D108="AL-1A"</f>
        <v>0</v>
      </c>
    </row>
    <row r="3956" spans="1:1" ht="11.75" customHeight="1">
      <c r="A3956" s="1989">
        <f>IF(D108="AL-2A",0.71,IF(D108="AL-3A",0.53,IF(D108="AL-4A",0.35,IF(D108="AL-5A",0.21,IF(D108="AL-1B",1.17,IF(D108="AL-2B",0.98,IF(D108="AL-3B",0.78,IF(D108="AL-4B",0.59,IF(D108="AL-5B",0.39,IF(D108="AL-6B",0.23,IF(D108="PH Classic",0.6*D105/D101*3.6,IF(D108="PH Low",1*D105/D101*3.6,IF(D108="PH+",0.1)))))))))))))</f>
        <v>1.17</v>
      </c>
    </row>
    <row r="3957" spans="1:1" ht="11.75" customHeight="1">
      <c r="A3957" s="1989" t="b">
        <f>D108="AL-2A"</f>
        <v>0</v>
      </c>
    </row>
    <row r="3958" spans="1:1" ht="11.75" customHeight="1">
      <c r="A3958" s="1989">
        <f>IF(D108="AL-3A",0.53,IF(D108="AL-4A",0.35,IF(D108="AL-5A",0.21,IF(D108="AL-1B",1.17,IF(D108="AL-2B",0.98,IF(D108="AL-3B",0.78,IF(D108="AL-4B",0.59,IF(D108="AL-5B",0.39,IF(D108="AL-6B",0.23,IF(D108="PH Classic",0.6*D105/D101*3.6,IF(D108="PH Low",1*D105/D101*3.6,IF(D108="PH+",0.1))))))))))))</f>
        <v>1.17</v>
      </c>
    </row>
    <row r="3959" spans="1:1" ht="11.75" customHeight="1">
      <c r="A3959" s="1989" t="b">
        <f>D108="AL-3A"</f>
        <v>0</v>
      </c>
    </row>
    <row r="3960" spans="1:1" ht="11.75" customHeight="1">
      <c r="A3960" s="1989">
        <f>IF(D108="AL-4A",0.35,IF(D108="AL-5A",0.21,IF(D108="AL-1B",1.17,IF(D108="AL-2B",0.98,IF(D108="AL-3B",0.78,IF(D108="AL-4B",0.59,IF(D108="AL-5B",0.39,IF(D108="AL-6B",0.23,IF(D108="PH Classic",0.6*D105/D101*3.6,IF(D108="PH Low",1*D105/D101*3.6,IF(D108="PH+",0.1)))))))))))</f>
        <v>1.17</v>
      </c>
    </row>
    <row r="3961" spans="1:1" ht="11.75" customHeight="1">
      <c r="A3961" s="1989" t="b">
        <f>D108="AL-4A"</f>
        <v>0</v>
      </c>
    </row>
    <row r="3962" spans="1:1" ht="11.75" customHeight="1">
      <c r="A3962" s="1989">
        <f>IF(D108="AL-5A",0.21,IF(D108="AL-1B",1.17,IF(D108="AL-2B",0.98,IF(D108="AL-3B",0.78,IF(D108="AL-4B",0.59,IF(D108="AL-5B",0.39,IF(D108="AL-6B",0.23,IF(D108="PH Classic",0.6*D105/D101*3.6,IF(D108="PH Low",1*D105/D101*3.6,IF(D108="PH+",0.1))))))))))</f>
        <v>1.17</v>
      </c>
    </row>
    <row r="3963" spans="1:1" ht="11.75" customHeight="1">
      <c r="A3963" s="1989" t="b">
        <f>D108="AL-5A"</f>
        <v>0</v>
      </c>
    </row>
    <row r="3964" spans="1:1" ht="11.75" customHeight="1">
      <c r="A3964" s="1989">
        <f>IF(D108="AL-1B",1.17,IF(D108="AL-2B",0.98,IF(D108="AL-3B",0.78,IF(D108="AL-4B",0.59,IF(D108="AL-5B",0.39,IF(D108="AL-6B",0.23,IF(D108="PH Classic",0.6*D105/D101*3.6,IF(D108="PH Low",1*D105/D101*3.6,IF(D108="PH+",0.1)))))))))</f>
        <v>1.17</v>
      </c>
    </row>
    <row r="3965" spans="1:1" ht="11.75" customHeight="1">
      <c r="A3965" s="1989" t="b">
        <f>D108="AL-1B"</f>
        <v>1</v>
      </c>
    </row>
    <row r="3966" spans="1:1" ht="11.75" customHeight="1">
      <c r="A3966" s="1989" t="b">
        <f>IF(D108="AL-2B",0.98,IF(D108="AL-3B",0.78,IF(D108="AL-4B",0.59,IF(D108="AL-5B",0.39,IF(D108="AL-6B",0.23,IF(D108="PH Classic",0.6*D105/D101*3.6,IF(D108="PH Low",1*D105/D101*3.6,IF(D108="PH+",0.1))))))))</f>
        <v>0</v>
      </c>
    </row>
    <row r="3967" spans="1:1" ht="11.75" customHeight="1">
      <c r="A3967" s="1989" t="b">
        <f>D108="AL-2B"</f>
        <v>0</v>
      </c>
    </row>
    <row r="3968" spans="1:1" ht="11.75" customHeight="1">
      <c r="A3968" s="1989" t="b">
        <f>IF(D108="AL-3B",0.78,IF(D108="AL-4B",0.59,IF(D108="AL-5B",0.39,IF(D108="AL-6B",0.23,IF(D108="PH Classic",0.6*D105/D101*3.6,IF(D108="PH Low",1*D105/D101*3.6,IF(D108="PH+",0.1)))))))</f>
        <v>0</v>
      </c>
    </row>
    <row r="3969" spans="1:1" ht="11.75" customHeight="1">
      <c r="A3969" s="1989" t="b">
        <f>D108="AL-3B"</f>
        <v>0</v>
      </c>
    </row>
    <row r="3970" spans="1:1" ht="11.75" customHeight="1">
      <c r="A3970" s="1989" t="b">
        <f>IF(D108="AL-4B",0.59,IF(D108="AL-5B",0.39,IF(D108="AL-6B",0.23,IF(D108="PH Classic",0.6*D105/D101*3.6,IF(D108="PH Low",1*D105/D101*3.6,IF(D108="PH+",0.1))))))</f>
        <v>0</v>
      </c>
    </row>
    <row r="3971" spans="1:1" ht="11.75" customHeight="1">
      <c r="A3971" s="1989" t="b">
        <f>D108="AL-4B"</f>
        <v>0</v>
      </c>
    </row>
    <row r="3972" spans="1:1" ht="11.75" customHeight="1">
      <c r="A3972" s="1989" t="b">
        <f>IF(D108="AL-5B",0.39,IF(D108="AL-6B",0.23,IF(D108="PH Classic",0.6*D105/D101*3.6,IF(D108="PH Low",1*D105/D101*3.6,IF(D108="PH+",0.1)))))</f>
        <v>0</v>
      </c>
    </row>
    <row r="3973" spans="1:1" ht="11.75" customHeight="1">
      <c r="A3973" s="1989" t="b">
        <f>D108="AL-5B"</f>
        <v>0</v>
      </c>
    </row>
    <row r="3974" spans="1:1" ht="11.75" customHeight="1">
      <c r="A3974" s="1989" t="b">
        <f>IF(D108="AL-6B",0.23,IF(D108="PH Classic",0.6*D105/D101*3.6,IF(D108="PH Low",1*D105/D101*3.6,IF(D108="PH+",0.1))))</f>
        <v>0</v>
      </c>
    </row>
    <row r="3975" spans="1:1" ht="11.75" customHeight="1">
      <c r="A3975" s="1989" t="b">
        <f>D108="AL-6B"</f>
        <v>0</v>
      </c>
    </row>
    <row r="3976" spans="1:1" ht="11.75" customHeight="1">
      <c r="A3976" s="1989" t="b">
        <f>IF(D108="PH Classic",0.6*D105/D101*3.6,IF(D108="PH Low",1*D105/D101*3.6,IF(D108="PH+",0.1)))</f>
        <v>0</v>
      </c>
    </row>
    <row r="3977" spans="1:1" ht="11.75" customHeight="1">
      <c r="A3977" s="1989" t="b">
        <f>D108="PH Classic"</f>
        <v>0</v>
      </c>
    </row>
    <row r="3978" spans="1:1" ht="11.75" customHeight="1">
      <c r="A3978" s="1989">
        <f>0.6*D105/D101*3.6</f>
        <v>6.9772512537248366</v>
      </c>
    </row>
    <row r="3979" spans="1:1" ht="11.75" customHeight="1">
      <c r="A3979" s="1989">
        <f>0.6*D105</f>
        <v>4800</v>
      </c>
    </row>
    <row r="3980" spans="1:1" ht="11.75" customHeight="1">
      <c r="A3980" s="1989">
        <f>D101*3.6</f>
        <v>8915.8319999999985</v>
      </c>
    </row>
    <row r="3981" spans="1:1" ht="11.75" customHeight="1">
      <c r="A3981" s="1989" t="b">
        <f>IF(D108="PH Low",1*D105/D101*3.6,IF(D108="PH+",0.1))</f>
        <v>0</v>
      </c>
    </row>
    <row r="3982" spans="1:1" ht="11.75" customHeight="1">
      <c r="A3982" s="1989" t="b">
        <f>D108="PH Low"</f>
        <v>0</v>
      </c>
    </row>
    <row r="3983" spans="1:1" ht="11.75" customHeight="1">
      <c r="A3983" s="1989">
        <f>1*D105/D101*3.6</f>
        <v>11.628752089541393</v>
      </c>
    </row>
    <row r="3984" spans="1:1" ht="11.75" customHeight="1">
      <c r="A3984" s="1989" t="b">
        <f>IF(D108="PH+",0.1)</f>
        <v>0</v>
      </c>
    </row>
    <row r="3985" spans="1:1" ht="11.75" customHeight="1">
      <c r="A3985" s="1989">
        <f>IF(H20="Present",VLOOKUP(H19,CANADA!A6:K699,9,FALSE),VLOOKUP(H19,CANADA!A6:K699,11,FALSE))</f>
        <v>4600</v>
      </c>
    </row>
    <row r="3986" spans="1:1" ht="11.75" customHeight="1">
      <c r="A3986" s="1989">
        <f>MATCH('NRL50-n-Factors'!D34,'NRL50-n-Factors'!C38:C49,0)</f>
        <v>5</v>
      </c>
    </row>
    <row r="3987" spans="1:1" ht="11.75" customHeight="1">
      <c r="A3987" s="1989">
        <f>MATCH(REPORT!D103,'NRL50-n-Factors'!D37:J37,0)</f>
        <v>2</v>
      </c>
    </row>
    <row r="3988" spans="1:1" ht="11.75" customHeight="1">
      <c r="A3988" s="1989" t="b">
        <f>D51="Gas"</f>
        <v>0</v>
      </c>
    </row>
    <row r="3989" spans="1:1" ht="11.75" customHeight="1">
      <c r="A3989" s="1989">
        <f>D$20*G101*24</f>
        <v>30728.853316304834</v>
      </c>
    </row>
    <row r="3990" spans="1:1" ht="11.75" customHeight="1">
      <c r="A3990" s="1989">
        <f>SUM(H65:H67)</f>
        <v>84390.33600000001</v>
      </c>
    </row>
    <row r="3991" spans="1:1" ht="11.75" customHeight="1">
      <c r="A3991" s="1989">
        <f>IF(D113="Heatpump",K51+D117+D114+M43+H70,IF(D113="Gas",K51+D117+M43+H70))</f>
        <v>132765.64793897627</v>
      </c>
    </row>
    <row r="3992" spans="1:1" ht="11.75" customHeight="1">
      <c r="A3992" s="1989" t="b">
        <f>D113="Heatpump"</f>
        <v>1</v>
      </c>
    </row>
    <row r="3993" spans="1:1" ht="11.75" customHeight="1">
      <c r="A3993" s="1990">
        <f>K51+D117+D114+M43+H70</f>
        <v>132765.64793897627</v>
      </c>
    </row>
    <row r="3994" spans="1:1" ht="11.75" customHeight="1">
      <c r="A3994" s="1989" t="b">
        <f>IF(D113="Gas",K51+D117+M43+H70)</f>
        <v>0</v>
      </c>
    </row>
    <row r="3995" spans="1:1" ht="11.75" customHeight="1">
      <c r="A3995" s="1989">
        <f>SUM(D44:D46)</f>
        <v>0</v>
      </c>
    </row>
    <row r="3996" spans="1:1" ht="11.75" customHeight="1">
      <c r="A3996" s="1990">
        <f>I44+I45</f>
        <v>0</v>
      </c>
    </row>
    <row r="3997" spans="1:1" ht="11.75" customHeight="1">
      <c r="A3997" s="1989">
        <f>H28*0.0373</f>
        <v>0</v>
      </c>
    </row>
    <row r="3998" spans="1:1" ht="11.75" customHeight="1">
      <c r="A3998" s="1990">
        <f>H27-D43</f>
        <v>132765.64793897627</v>
      </c>
    </row>
    <row r="3999" spans="1:1" ht="11.75" customHeight="1">
      <c r="A3999" s="1989" t="b">
        <f>D113="Electricity"</f>
        <v>0</v>
      </c>
    </row>
    <row r="4000" spans="1:1" ht="11.75" customHeight="1">
      <c r="A4000" s="1990">
        <f>I103+K51+D117+M121+I101+I102+M43+SUM(H65:H67)</f>
        <v>265287.6445956853</v>
      </c>
    </row>
    <row r="4001" spans="1:1" ht="11.75" customHeight="1">
      <c r="A4001" s="1990">
        <f>I103+K51+D117+M121+I101+I102+M43</f>
        <v>180897.30859568529</v>
      </c>
    </row>
    <row r="4002" spans="1:1" ht="11.75" customHeight="1">
      <c r="A4002" s="1990">
        <f>I103+K51+D117+M121+I101+I102</f>
        <v>180897.30859568529</v>
      </c>
    </row>
    <row r="4003" spans="1:1" ht="11.75" customHeight="1">
      <c r="A4003" s="1990">
        <f>I103+K51+D117+M121+I101</f>
        <v>164109.06314703665</v>
      </c>
    </row>
    <row r="4004" spans="1:1" ht="11.75" customHeight="1">
      <c r="A4004" s="1990">
        <f>I103+K51+D117+M121</f>
        <v>88005.3704468098</v>
      </c>
    </row>
    <row r="4005" spans="1:1" ht="11.75" customHeight="1">
      <c r="A4005" s="1990">
        <f>I103+K51+D117</f>
        <v>39024.570446809812</v>
      </c>
    </row>
    <row r="4006" spans="1:1" ht="11.75" customHeight="1">
      <c r="A4006" s="1990">
        <f>I103+K51</f>
        <v>36006.531012790423</v>
      </c>
    </row>
    <row r="4007" spans="1:1" ht="11.75" customHeight="1">
      <c r="A4007" s="1989">
        <f>1.21*G108*D20*24/1000*D101</f>
        <v>387079.06311359996</v>
      </c>
    </row>
    <row r="4008" spans="1:1" ht="11.75" customHeight="1">
      <c r="A4008" s="1989">
        <f>1.21*G108*D20*24/1000</f>
        <v>156.29328000000001</v>
      </c>
    </row>
    <row r="4009" spans="1:1" ht="11.75" customHeight="1">
      <c r="A4009" s="1989">
        <f>1.21*G108*D20*24</f>
        <v>156293.28</v>
      </c>
    </row>
    <row r="4010" spans="1:1" ht="11.75" customHeight="1">
      <c r="A4010" s="1989">
        <f>1.21*G108*D20</f>
        <v>6512.22</v>
      </c>
    </row>
    <row r="4011" spans="1:1" ht="11.75" customHeight="1">
      <c r="A4011" s="1989">
        <f>1.21*G108</f>
        <v>1.4157</v>
      </c>
    </row>
    <row r="4012" spans="1:1" ht="11.75" customHeight="1">
      <c r="A4012" s="1989" t="b">
        <f>D108="Measured"</f>
        <v>0</v>
      </c>
    </row>
    <row r="4013" spans="1:1" ht="11.75" customHeight="1">
      <c r="A4013" s="1989">
        <f>G109*D105/D101*3.6</f>
        <v>17.44312813431209</v>
      </c>
    </row>
    <row r="4014" spans="1:1" ht="11.75" customHeight="1">
      <c r="A4014" s="1989">
        <f>G109*D105</f>
        <v>12000</v>
      </c>
    </row>
    <row r="4015" spans="1:1" ht="11.75" customHeight="1">
      <c r="A4015" s="1989">
        <f>D101*3.6</f>
        <v>8915.8319999999985</v>
      </c>
    </row>
    <row r="4016" spans="1:1" ht="11.75" customHeight="1">
      <c r="A4016" s="1989">
        <f>IF(D108="AL-1A",0.89,IF(D108="AL-2A",0.71,IF(D108="AL-3A",0.53,IF(D108="AL-4A",0.35,IF(D108="AL-5A",0.21,IF(D108="AL-1B",1.17,IF(D108="AL-2B",0.98,IF(D108="AL-3B",0.78,IF(D108="AL-4B",0.59,IF(D108="AL-5B",0.39,IF(D108="AL-6B",0.23,IF(D108="PH Classic",0.6*D105/D101*3.6,IF(D108="PH Low",1*D105/D101*3.6,IF(D108="PH+",0.1))))))))))))))</f>
        <v>1.17</v>
      </c>
    </row>
    <row r="4017" spans="1:1" ht="11.75" customHeight="1">
      <c r="A4017" s="1989" t="b">
        <f>D108="AL-1A"</f>
        <v>0</v>
      </c>
    </row>
    <row r="4018" spans="1:1" ht="11.75" customHeight="1">
      <c r="A4018" s="1989">
        <f>IF(D108="AL-2A",0.71,IF(D108="AL-3A",0.53,IF(D108="AL-4A",0.35,IF(D108="AL-5A",0.21,IF(D108="AL-1B",1.17,IF(D108="AL-2B",0.98,IF(D108="AL-3B",0.78,IF(D108="AL-4B",0.59,IF(D108="AL-5B",0.39,IF(D108="AL-6B",0.23,IF(D108="PH Classic",0.6*D105/D101*3.6,IF(D108="PH Low",1*D105/D101*3.6,IF(D108="PH+",0.1)))))))))))))</f>
        <v>1.17</v>
      </c>
    </row>
    <row r="4019" spans="1:1" ht="11.75" customHeight="1">
      <c r="A4019" s="1989" t="b">
        <f>D108="AL-2A"</f>
        <v>0</v>
      </c>
    </row>
    <row r="4020" spans="1:1" ht="11.75" customHeight="1">
      <c r="A4020" s="1989">
        <f>IF(D108="AL-3A",0.53,IF(D108="AL-4A",0.35,IF(D108="AL-5A",0.21,IF(D108="AL-1B",1.17,IF(D108="AL-2B",0.98,IF(D108="AL-3B",0.78,IF(D108="AL-4B",0.59,IF(D108="AL-5B",0.39,IF(D108="AL-6B",0.23,IF(D108="PH Classic",0.6*D105/D101*3.6,IF(D108="PH Low",1*D105/D101*3.6,IF(D108="PH+",0.1))))))))))))</f>
        <v>1.17</v>
      </c>
    </row>
    <row r="4021" spans="1:1" ht="11.75" customHeight="1">
      <c r="A4021" s="1989" t="b">
        <f>D108="AL-3A"</f>
        <v>0</v>
      </c>
    </row>
    <row r="4022" spans="1:1" ht="11.75" customHeight="1">
      <c r="A4022" s="1989">
        <f>IF(D108="AL-4A",0.35,IF(D108="AL-5A",0.21,IF(D108="AL-1B",1.17,IF(D108="AL-2B",0.98,IF(D108="AL-3B",0.78,IF(D108="AL-4B",0.59,IF(D108="AL-5B",0.39,IF(D108="AL-6B",0.23,IF(D108="PH Classic",0.6*D105/D101*3.6,IF(D108="PH Low",1*D105/D101*3.6,IF(D108="PH+",0.1)))))))))))</f>
        <v>1.17</v>
      </c>
    </row>
    <row r="4023" spans="1:1" ht="11.75" customHeight="1">
      <c r="A4023" s="1989" t="b">
        <f>D108="AL-4A"</f>
        <v>0</v>
      </c>
    </row>
    <row r="4024" spans="1:1" ht="11.75" customHeight="1">
      <c r="A4024" s="1989">
        <f>IF(D108="AL-5A",0.21,IF(D108="AL-1B",1.17,IF(D108="AL-2B",0.98,IF(D108="AL-3B",0.78,IF(D108="AL-4B",0.59,IF(D108="AL-5B",0.39,IF(D108="AL-6B",0.23,IF(D108="PH Classic",0.6*D105/D101*3.6,IF(D108="PH Low",1*D105/D101*3.6,IF(D108="PH+",0.1))))))))))</f>
        <v>1.17</v>
      </c>
    </row>
    <row r="4025" spans="1:1" ht="11.75" customHeight="1">
      <c r="A4025" s="1989" t="b">
        <f>D108="AL-5A"</f>
        <v>0</v>
      </c>
    </row>
    <row r="4026" spans="1:1" ht="11.75" customHeight="1">
      <c r="A4026" s="1989">
        <f>IF(D108="AL-1B",1.17,IF(D108="AL-2B",0.98,IF(D108="AL-3B",0.78,IF(D108="AL-4B",0.59,IF(D108="AL-5B",0.39,IF(D108="AL-6B",0.23,IF(D108="PH Classic",0.6*D105/D101*3.6,IF(D108="PH Low",1*D105/D101*3.6,IF(D108="PH+",0.1)))))))))</f>
        <v>1.17</v>
      </c>
    </row>
    <row r="4027" spans="1:1" ht="11.75" customHeight="1">
      <c r="A4027" s="1989" t="b">
        <f>D108="AL-1B"</f>
        <v>1</v>
      </c>
    </row>
    <row r="4028" spans="1:1" ht="11.75" customHeight="1">
      <c r="A4028" s="1989" t="b">
        <f>IF(D108="AL-2B",0.98,IF(D108="AL-3B",0.78,IF(D108="AL-4B",0.59,IF(D108="AL-5B",0.39,IF(D108="AL-6B",0.23,IF(D108="PH Classic",0.6*D105/D101*3.6,IF(D108="PH Low",1*D105/D101*3.6,IF(D108="PH+",0.1))))))))</f>
        <v>0</v>
      </c>
    </row>
    <row r="4029" spans="1:1" ht="11.75" customHeight="1">
      <c r="A4029" s="1989" t="b">
        <f>D108="AL-2B"</f>
        <v>0</v>
      </c>
    </row>
    <row r="4030" spans="1:1" ht="11.75" customHeight="1">
      <c r="A4030" s="1989" t="b">
        <f>IF(D108="AL-3B",0.78,IF(D108="AL-4B",0.59,IF(D108="AL-5B",0.39,IF(D108="AL-6B",0.23,IF(D108="PH Classic",0.6*D105/D101*3.6,IF(D108="PH Low",1*D105/D101*3.6,IF(D108="PH+",0.1)))))))</f>
        <v>0</v>
      </c>
    </row>
    <row r="4031" spans="1:1" ht="11.75" customHeight="1">
      <c r="A4031" s="1989" t="b">
        <f>D108="AL-3B"</f>
        <v>0</v>
      </c>
    </row>
    <row r="4032" spans="1:1" ht="11.75" customHeight="1">
      <c r="A4032" s="1989" t="b">
        <f>IF(D108="AL-4B",0.59,IF(D108="AL-5B",0.39,IF(D108="AL-6B",0.23,IF(D108="PH Classic",0.6*D105/D101*3.6,IF(D108="PH Low",1*D105/D101*3.6,IF(D108="PH+",0.1))))))</f>
        <v>0</v>
      </c>
    </row>
    <row r="4033" spans="1:1" ht="11.75" customHeight="1">
      <c r="A4033" s="1989" t="b">
        <f>D108="AL-4B"</f>
        <v>0</v>
      </c>
    </row>
    <row r="4034" spans="1:1" ht="11.75" customHeight="1">
      <c r="A4034" s="1989" t="b">
        <f>IF(D108="AL-5B",0.39,IF(D108="AL-6B",0.23,IF(D108="PH Classic",0.6*D105/D101*3.6,IF(D108="PH Low",1*D105/D101*3.6,IF(D108="PH+",0.1)))))</f>
        <v>0</v>
      </c>
    </row>
    <row r="4035" spans="1:1" ht="11.75" customHeight="1">
      <c r="A4035" s="1989" t="b">
        <f>D108="AL-5B"</f>
        <v>0</v>
      </c>
    </row>
    <row r="4036" spans="1:1" ht="11.75" customHeight="1">
      <c r="A4036" s="1989" t="b">
        <f>IF(D108="AL-6B",0.23,IF(D108="PH Classic",0.6*D105/D101*3.6,IF(D108="PH Low",1*D105/D101*3.6,IF(D108="PH+",0.1))))</f>
        <v>0</v>
      </c>
    </row>
    <row r="4037" spans="1:1" ht="11.75" customHeight="1">
      <c r="A4037" s="1989" t="b">
        <f>D108="AL-6B"</f>
        <v>0</v>
      </c>
    </row>
    <row r="4038" spans="1:1" ht="11.75" customHeight="1">
      <c r="A4038" s="1989" t="b">
        <f>IF(D108="PH Classic",0.6*D105/D101*3.6,IF(D108="PH Low",1*D105/D101*3.6,IF(D108="PH+",0.1)))</f>
        <v>0</v>
      </c>
    </row>
    <row r="4039" spans="1:1" ht="11.75" customHeight="1">
      <c r="A4039" s="1989" t="b">
        <f>D108="PH Classic"</f>
        <v>0</v>
      </c>
    </row>
    <row r="4040" spans="1:1" ht="11.75" customHeight="1">
      <c r="A4040" s="1989">
        <f>0.6*D105/D101*3.6</f>
        <v>6.9772512537248366</v>
      </c>
    </row>
    <row r="4041" spans="1:1" ht="11.75" customHeight="1">
      <c r="A4041" s="1989">
        <f>0.6*D105</f>
        <v>4800</v>
      </c>
    </row>
    <row r="4042" spans="1:1" ht="11.75" customHeight="1">
      <c r="A4042" s="1989">
        <f>D101*3.6</f>
        <v>8915.8319999999985</v>
      </c>
    </row>
    <row r="4043" spans="1:1" ht="11.75" customHeight="1">
      <c r="A4043" s="1989" t="b">
        <f>IF(D108="PH Low",1*D105/D101*3.6,IF(D108="PH+",0.1))</f>
        <v>0</v>
      </c>
    </row>
    <row r="4044" spans="1:1" ht="11.75" customHeight="1">
      <c r="A4044" s="1989" t="b">
        <f>D108="PH Low"</f>
        <v>0</v>
      </c>
    </row>
    <row r="4045" spans="1:1" ht="11.75" customHeight="1">
      <c r="A4045" s="1989">
        <f>1*D105/D101*3.6</f>
        <v>11.628752089541393</v>
      </c>
    </row>
    <row r="4046" spans="1:1" ht="11.75" customHeight="1">
      <c r="A4046" s="1989" t="b">
        <f>IF(D108="PH+",0.1)</f>
        <v>0</v>
      </c>
    </row>
    <row r="4047" spans="1:1" ht="11.75" customHeight="1">
      <c r="A4047" s="1989">
        <f>IF(H20="Present",VLOOKUP(H19,CANADA!A6:K699,9,FALSE),VLOOKUP(H19,CANADA!A6:K699,11,FALSE))</f>
        <v>4600</v>
      </c>
    </row>
    <row r="4048" spans="1:1" ht="11.75" customHeight="1">
      <c r="A4048" s="1990">
        <f>H27-D43</f>
        <v>132765.64793897627</v>
      </c>
    </row>
    <row r="4049" spans="1:1" ht="11.75" customHeight="1">
      <c r="A4049" s="1989" t="b">
        <f>D113="Electricity"</f>
        <v>0</v>
      </c>
    </row>
    <row r="4050" spans="1:1" ht="11.75" customHeight="1">
      <c r="A4050" s="1990">
        <f>I103+K51+D117+M121+I101+I102+M43+SUM(H65:H67)</f>
        <v>265287.6445956853</v>
      </c>
    </row>
    <row r="4051" spans="1:1" ht="11.75" customHeight="1">
      <c r="A4051" s="1990">
        <f>I103+K51+D117+M121+I101+I102+M43</f>
        <v>180897.30859568529</v>
      </c>
    </row>
    <row r="4052" spans="1:1" ht="11.75" customHeight="1">
      <c r="A4052" s="1990">
        <f>I103+K51+D117+M121+I101+I102</f>
        <v>180897.30859568529</v>
      </c>
    </row>
    <row r="4053" spans="1:1" ht="11.75" customHeight="1">
      <c r="A4053" s="1990">
        <f>I103+K51+D117+M121+I101</f>
        <v>164109.06314703665</v>
      </c>
    </row>
    <row r="4054" spans="1:1" ht="11.75" customHeight="1">
      <c r="A4054" s="1990">
        <f>I103+K51+D117+M121</f>
        <v>88005.3704468098</v>
      </c>
    </row>
    <row r="4055" spans="1:1" ht="11.75" customHeight="1">
      <c r="A4055" s="1990">
        <f>I103+K51+D117</f>
        <v>39024.570446809812</v>
      </c>
    </row>
    <row r="4056" spans="1:1" ht="11.75" customHeight="1">
      <c r="A4056" s="1990">
        <f>I103+K51</f>
        <v>36006.531012790423</v>
      </c>
    </row>
    <row r="4057" spans="1:1" ht="11.75" customHeight="1">
      <c r="A4057" s="1989">
        <f>1.21*G108*D20*24/1000*D101</f>
        <v>387079.06311359996</v>
      </c>
    </row>
    <row r="4058" spans="1:1" ht="11.75" customHeight="1">
      <c r="A4058" s="1989">
        <f>1.21*G108*D20*24/1000</f>
        <v>156.29328000000001</v>
      </c>
    </row>
    <row r="4059" spans="1:1" ht="11.75" customHeight="1">
      <c r="A4059" s="1989">
        <f>1.21*G108*D20*24</f>
        <v>156293.28</v>
      </c>
    </row>
    <row r="4060" spans="1:1" ht="11.75" customHeight="1">
      <c r="A4060" s="1989">
        <f>1.21*G108*D20</f>
        <v>6512.22</v>
      </c>
    </row>
    <row r="4061" spans="1:1" ht="11.75" customHeight="1">
      <c r="A4061" s="1989">
        <f>1.21*G108</f>
        <v>1.4157</v>
      </c>
    </row>
    <row r="4062" spans="1:1" ht="11.75" customHeight="1">
      <c r="A4062" s="1989" t="b">
        <f>D108="Measured"</f>
        <v>0</v>
      </c>
    </row>
    <row r="4063" spans="1:1" ht="11.75" customHeight="1">
      <c r="A4063" s="1989">
        <f>G109*D105/D101*3.6</f>
        <v>17.44312813431209</v>
      </c>
    </row>
    <row r="4064" spans="1:1" ht="11.75" customHeight="1">
      <c r="A4064" s="1989">
        <f>G109*D105</f>
        <v>12000</v>
      </c>
    </row>
    <row r="4065" spans="1:1" ht="11.75" customHeight="1">
      <c r="A4065" s="1989">
        <f>D101*3.6</f>
        <v>8915.8319999999985</v>
      </c>
    </row>
    <row r="4066" spans="1:1" ht="11.75" customHeight="1">
      <c r="A4066" s="1989">
        <f>IF(D108="AL-1A",0.89,IF(D108="AL-2A",0.71,IF(D108="AL-3A",0.53,IF(D108="AL-4A",0.35,IF(D108="AL-5A",0.21,IF(D108="AL-1B",1.17,IF(D108="AL-2B",0.98,IF(D108="AL-3B",0.78,IF(D108="AL-4B",0.59,IF(D108="AL-5B",0.39,IF(D108="AL-6B",0.23,IF(D108="PH Classic",0.6*D105/D101*3.6,IF(D108="PH Low",1*D105/D101*3.6,IF(D108="PH+",0.1))))))))))))))</f>
        <v>1.17</v>
      </c>
    </row>
    <row r="4067" spans="1:1" ht="11.75" customHeight="1">
      <c r="A4067" s="1989" t="b">
        <f>D108="AL-1A"</f>
        <v>0</v>
      </c>
    </row>
    <row r="4068" spans="1:1" ht="11.75" customHeight="1">
      <c r="A4068" s="1989">
        <f>IF(D108="AL-2A",0.71,IF(D108="AL-3A",0.53,IF(D108="AL-4A",0.35,IF(D108="AL-5A",0.21,IF(D108="AL-1B",1.17,IF(D108="AL-2B",0.98,IF(D108="AL-3B",0.78,IF(D108="AL-4B",0.59,IF(D108="AL-5B",0.39,IF(D108="AL-6B",0.23,IF(D108="PH Classic",0.6*D105/D101*3.6,IF(D108="PH Low",1*D105/D101*3.6,IF(D108="PH+",0.1)))))))))))))</f>
        <v>1.17</v>
      </c>
    </row>
    <row r="4069" spans="1:1" ht="11.75" customHeight="1">
      <c r="A4069" s="1989" t="b">
        <f>D108="AL-2A"</f>
        <v>0</v>
      </c>
    </row>
    <row r="4070" spans="1:1" ht="11.75" customHeight="1">
      <c r="A4070" s="1989">
        <f>IF(D108="AL-3A",0.53,IF(D108="AL-4A",0.35,IF(D108="AL-5A",0.21,IF(D108="AL-1B",1.17,IF(D108="AL-2B",0.98,IF(D108="AL-3B",0.78,IF(D108="AL-4B",0.59,IF(D108="AL-5B",0.39,IF(D108="AL-6B",0.23,IF(D108="PH Classic",0.6*D105/D101*3.6,IF(D108="PH Low",1*D105/D101*3.6,IF(D108="PH+",0.1))))))))))))</f>
        <v>1.17</v>
      </c>
    </row>
    <row r="4071" spans="1:1" ht="11.75" customHeight="1">
      <c r="A4071" s="1989" t="b">
        <f>D108="AL-3A"</f>
        <v>0</v>
      </c>
    </row>
    <row r="4072" spans="1:1" ht="11.75" customHeight="1">
      <c r="A4072" s="1989">
        <f>IF(D108="AL-4A",0.35,IF(D108="AL-5A",0.21,IF(D108="AL-1B",1.17,IF(D108="AL-2B",0.98,IF(D108="AL-3B",0.78,IF(D108="AL-4B",0.59,IF(D108="AL-5B",0.39,IF(D108="AL-6B",0.23,IF(D108="PH Classic",0.6*D105/D101*3.6,IF(D108="PH Low",1*D105/D101*3.6,IF(D108="PH+",0.1)))))))))))</f>
        <v>1.17</v>
      </c>
    </row>
    <row r="4073" spans="1:1" ht="11.75" customHeight="1">
      <c r="A4073" s="1989" t="b">
        <f>D108="AL-4A"</f>
        <v>0</v>
      </c>
    </row>
    <row r="4074" spans="1:1" ht="11.75" customHeight="1">
      <c r="A4074" s="1989">
        <f>IF(D108="AL-5A",0.21,IF(D108="AL-1B",1.17,IF(D108="AL-2B",0.98,IF(D108="AL-3B",0.78,IF(D108="AL-4B",0.59,IF(D108="AL-5B",0.39,IF(D108="AL-6B",0.23,IF(D108="PH Classic",0.6*D105/D101*3.6,IF(D108="PH Low",1*D105/D101*3.6,IF(D108="PH+",0.1))))))))))</f>
        <v>1.17</v>
      </c>
    </row>
    <row r="4075" spans="1:1" ht="11.75" customHeight="1">
      <c r="A4075" s="1989" t="b">
        <f>D108="AL-5A"</f>
        <v>0</v>
      </c>
    </row>
    <row r="4076" spans="1:1" ht="11.75" customHeight="1">
      <c r="A4076" s="1989">
        <f>IF(D108="AL-1B",1.17,IF(D108="AL-2B",0.98,IF(D108="AL-3B",0.78,IF(D108="AL-4B",0.59,IF(D108="AL-5B",0.39,IF(D108="AL-6B",0.23,IF(D108="PH Classic",0.6*D105/D101*3.6,IF(D108="PH Low",1*D105/D101*3.6,IF(D108="PH+",0.1)))))))))</f>
        <v>1.17</v>
      </c>
    </row>
    <row r="4077" spans="1:1" ht="11.75" customHeight="1">
      <c r="A4077" s="1989" t="b">
        <f>D108="AL-1B"</f>
        <v>1</v>
      </c>
    </row>
    <row r="4078" spans="1:1" ht="11.75" customHeight="1">
      <c r="A4078" s="1989" t="b">
        <f>IF(D108="AL-2B",0.98,IF(D108="AL-3B",0.78,IF(D108="AL-4B",0.59,IF(D108="AL-5B",0.39,IF(D108="AL-6B",0.23,IF(D108="PH Classic",0.6*D105/D101*3.6,IF(D108="PH Low",1*D105/D101*3.6,IF(D108="PH+",0.1))))))))</f>
        <v>0</v>
      </c>
    </row>
    <row r="4079" spans="1:1" ht="11.75" customHeight="1">
      <c r="A4079" s="1989" t="b">
        <f>D108="AL-2B"</f>
        <v>0</v>
      </c>
    </row>
    <row r="4080" spans="1:1" ht="11.75" customHeight="1">
      <c r="A4080" s="1989" t="b">
        <f>IF(D108="AL-3B",0.78,IF(D108="AL-4B",0.59,IF(D108="AL-5B",0.39,IF(D108="AL-6B",0.23,IF(D108="PH Classic",0.6*D105/D101*3.6,IF(D108="PH Low",1*D105/D101*3.6,IF(D108="PH+",0.1)))))))</f>
        <v>0</v>
      </c>
    </row>
    <row r="4081" spans="1:1" ht="11.75" customHeight="1">
      <c r="A4081" s="1989" t="b">
        <f>D108="AL-3B"</f>
        <v>0</v>
      </c>
    </row>
    <row r="4082" spans="1:1" ht="11.75" customHeight="1">
      <c r="A4082" s="1989" t="b">
        <f>IF(D108="AL-4B",0.59,IF(D108="AL-5B",0.39,IF(D108="AL-6B",0.23,IF(D108="PH Classic",0.6*D105/D101*3.6,IF(D108="PH Low",1*D105/D101*3.6,IF(D108="PH+",0.1))))))</f>
        <v>0</v>
      </c>
    </row>
    <row r="4083" spans="1:1" ht="11.75" customHeight="1">
      <c r="A4083" s="1989" t="b">
        <f>D108="AL-4B"</f>
        <v>0</v>
      </c>
    </row>
    <row r="4084" spans="1:1" ht="11.75" customHeight="1">
      <c r="A4084" s="1989" t="b">
        <f>IF(D108="AL-5B",0.39,IF(D108="AL-6B",0.23,IF(D108="PH Classic",0.6*D105/D101*3.6,IF(D108="PH Low",1*D105/D101*3.6,IF(D108="PH+",0.1)))))</f>
        <v>0</v>
      </c>
    </row>
    <row r="4085" spans="1:1" ht="11.75" customHeight="1">
      <c r="A4085" s="1989" t="b">
        <f>D108="AL-5B"</f>
        <v>0</v>
      </c>
    </row>
    <row r="4086" spans="1:1" ht="11.75" customHeight="1">
      <c r="A4086" s="1989" t="b">
        <f>IF(D108="AL-6B",0.23,IF(D108="PH Classic",0.6*D105/D101*3.6,IF(D108="PH Low",1*D105/D101*3.6,IF(D108="PH+",0.1))))</f>
        <v>0</v>
      </c>
    </row>
    <row r="4087" spans="1:1" ht="11.75" customHeight="1">
      <c r="A4087" s="1989" t="b">
        <f>D108="AL-6B"</f>
        <v>0</v>
      </c>
    </row>
    <row r="4088" spans="1:1" ht="11.75" customHeight="1">
      <c r="A4088" s="1989" t="b">
        <f>IF(D108="PH Classic",0.6*D105/D101*3.6,IF(D108="PH Low",1*D105/D101*3.6,IF(D108="PH+",0.1)))</f>
        <v>0</v>
      </c>
    </row>
    <row r="4089" spans="1:1" ht="11.75" customHeight="1">
      <c r="A4089" s="1989" t="b">
        <f>D108="PH Classic"</f>
        <v>0</v>
      </c>
    </row>
    <row r="4090" spans="1:1" ht="11.75" customHeight="1">
      <c r="A4090" s="1989">
        <f>0.6*D105/D101*3.6</f>
        <v>6.9772512537248366</v>
      </c>
    </row>
    <row r="4091" spans="1:1" ht="11.75" customHeight="1">
      <c r="A4091" s="1989">
        <f>0.6*D105</f>
        <v>4800</v>
      </c>
    </row>
    <row r="4092" spans="1:1" ht="11.75" customHeight="1">
      <c r="A4092" s="1989">
        <f>D101*3.6</f>
        <v>8915.8319999999985</v>
      </c>
    </row>
    <row r="4093" spans="1:1" ht="11.75" customHeight="1">
      <c r="A4093" s="1989" t="b">
        <f>IF(D108="PH Low",1*D105/D101*3.6,IF(D108="PH+",0.1))</f>
        <v>0</v>
      </c>
    </row>
    <row r="4094" spans="1:1" ht="11.75" customHeight="1">
      <c r="A4094" s="1989" t="b">
        <f>D108="PH Low"</f>
        <v>0</v>
      </c>
    </row>
    <row r="4095" spans="1:1" ht="11.75" customHeight="1">
      <c r="A4095" s="1989">
        <f>1*D105/D101*3.6</f>
        <v>11.628752089541393</v>
      </c>
    </row>
    <row r="4096" spans="1:1" ht="11.75" customHeight="1">
      <c r="A4096" s="1989" t="b">
        <f>IF(D108="PH+",0.1)</f>
        <v>0</v>
      </c>
    </row>
    <row r="4097" spans="1:1" ht="11.75" customHeight="1">
      <c r="A4097" s="1989">
        <f>IF(H20="Present",VLOOKUP(H19,CANADA!A6:K699,9,FALSE),VLOOKUP(H19,CANADA!A6:K699,11,FALSE))</f>
        <v>4600</v>
      </c>
    </row>
    <row r="4098" spans="1:1" ht="11.75" customHeight="1">
      <c r="A4098" s="1989">
        <f>MATCH('NRL50-n-Factors'!D34,'NRL50-n-Factors'!C38:C49,0)</f>
        <v>5</v>
      </c>
    </row>
    <row r="4099" spans="1:1" ht="11.75" customHeight="1">
      <c r="A4099" s="1989">
        <f>MATCH(REPORT!D103,'NRL50-n-Factors'!D37:J37,0)</f>
        <v>2</v>
      </c>
    </row>
    <row r="4100" spans="1:1" ht="11.75" customHeight="1">
      <c r="A4100" s="1989" t="b">
        <f>D51="Gas"</f>
        <v>0</v>
      </c>
    </row>
    <row r="4101" spans="1:1" ht="11.75" customHeight="1">
      <c r="A4101" s="1989">
        <f>D$20*G101*24</f>
        <v>30728.853316304834</v>
      </c>
    </row>
    <row r="4102" spans="1:1" ht="11.75" customHeight="1">
      <c r="A4102" s="1989">
        <f>SUM(H65:H67)</f>
        <v>84390.33600000001</v>
      </c>
    </row>
    <row r="4103" spans="1:1" ht="11.75" customHeight="1">
      <c r="A4103" s="1989">
        <f>IF(D113="Heatpump",K51+D117+D114+M43+H70,IF(D113="Gas",K51+D117+M43+H70))</f>
        <v>132765.64793897627</v>
      </c>
    </row>
    <row r="4104" spans="1:1" ht="11.75" customHeight="1">
      <c r="A4104" s="1989" t="b">
        <f>D113="Heatpump"</f>
        <v>1</v>
      </c>
    </row>
    <row r="4105" spans="1:1" ht="11.75" customHeight="1">
      <c r="A4105" s="1990">
        <f>K51+D117+D114+M43+H70</f>
        <v>132765.64793897627</v>
      </c>
    </row>
    <row r="4106" spans="1:1" ht="11.75" customHeight="1">
      <c r="A4106" s="1989" t="b">
        <f>IF(D113="Gas",K51+D117+M43+H70)</f>
        <v>0</v>
      </c>
    </row>
    <row r="4107" spans="1:1" ht="11.75" customHeight="1">
      <c r="A4107" s="1989">
        <f>SUM(D44:D46)</f>
        <v>0</v>
      </c>
    </row>
    <row r="4108" spans="1:1" ht="11.75" customHeight="1">
      <c r="A4108" s="1990">
        <f>I44+I45</f>
        <v>0</v>
      </c>
    </row>
    <row r="4109" spans="1:1" ht="11.75" customHeight="1">
      <c r="A4109" s="1989">
        <f>H28*0.0373</f>
        <v>0</v>
      </c>
    </row>
    <row r="4110" spans="1:1" ht="11.75" customHeight="1">
      <c r="A4110" s="1989">
        <f>H30*36.72</f>
        <v>0</v>
      </c>
    </row>
    <row r="4111" spans="1:1" ht="11.75" customHeight="1">
      <c r="A4111" s="1990">
        <f>H27-D43</f>
        <v>132765.64793897627</v>
      </c>
    </row>
    <row r="4112" spans="1:1" ht="11.75" customHeight="1">
      <c r="A4112" s="1989" t="b">
        <f>D113="Electricity"</f>
        <v>0</v>
      </c>
    </row>
    <row r="4113" spans="1:1" ht="11.75" customHeight="1">
      <c r="A4113" s="1990">
        <f>I103+K51+D117+M121+I101+I102+M43+SUM(H65:H67)</f>
        <v>265287.6445956853</v>
      </c>
    </row>
    <row r="4114" spans="1:1" ht="11.75" customHeight="1">
      <c r="A4114" s="1990">
        <f>I103+K51+D117+M121+I101+I102+M43</f>
        <v>180897.30859568529</v>
      </c>
    </row>
    <row r="4115" spans="1:1" ht="11.75" customHeight="1">
      <c r="A4115" s="1990">
        <f>I103+K51+D117+M121+I101+I102</f>
        <v>180897.30859568529</v>
      </c>
    </row>
    <row r="4116" spans="1:1" ht="11.75" customHeight="1">
      <c r="A4116" s="1990">
        <f>I103+K51+D117+M121+I101</f>
        <v>164109.06314703665</v>
      </c>
    </row>
    <row r="4117" spans="1:1" ht="11.75" customHeight="1">
      <c r="A4117" s="1990">
        <f>I103+K51+D117+M121</f>
        <v>88005.3704468098</v>
      </c>
    </row>
    <row r="4118" spans="1:1" ht="11.75" customHeight="1">
      <c r="A4118" s="1990">
        <f>I103+K51+D117</f>
        <v>39024.570446809812</v>
      </c>
    </row>
    <row r="4119" spans="1:1" ht="11.75" customHeight="1">
      <c r="A4119" s="1990">
        <f>I103+K51</f>
        <v>36006.531012790423</v>
      </c>
    </row>
    <row r="4120" spans="1:1" ht="11.75" customHeight="1">
      <c r="A4120" s="1989">
        <f>1.21*G108*D20*24/1000*D101</f>
        <v>387079.06311359996</v>
      </c>
    </row>
    <row r="4121" spans="1:1" ht="11.75" customHeight="1">
      <c r="A4121" s="1989">
        <f>1.21*G108*D20*24/1000</f>
        <v>156.29328000000001</v>
      </c>
    </row>
    <row r="4122" spans="1:1" ht="11.75" customHeight="1">
      <c r="A4122" s="1989">
        <f>1.21*G108*D20*24</f>
        <v>156293.28</v>
      </c>
    </row>
    <row r="4123" spans="1:1" ht="11.75" customHeight="1">
      <c r="A4123" s="1989">
        <f>1.21*G108*D20</f>
        <v>6512.22</v>
      </c>
    </row>
    <row r="4124" spans="1:1" ht="11.75" customHeight="1">
      <c r="A4124" s="1989">
        <f>1.21*G108</f>
        <v>1.4157</v>
      </c>
    </row>
    <row r="4125" spans="1:1" ht="11.75" customHeight="1">
      <c r="A4125" s="1989" t="b">
        <f>D108="Measured"</f>
        <v>0</v>
      </c>
    </row>
    <row r="4126" spans="1:1" ht="11.75" customHeight="1">
      <c r="A4126" s="1989">
        <f>G109*D105/D101*3.6</f>
        <v>17.44312813431209</v>
      </c>
    </row>
    <row r="4127" spans="1:1" ht="11.75" customHeight="1">
      <c r="A4127" s="1989">
        <f>G109*D105</f>
        <v>12000</v>
      </c>
    </row>
    <row r="4128" spans="1:1" ht="11.75" customHeight="1">
      <c r="A4128" s="1989">
        <f>D101*3.6</f>
        <v>8915.8319999999985</v>
      </c>
    </row>
    <row r="4129" spans="1:1" ht="11.75" customHeight="1">
      <c r="A4129" s="1989">
        <f>IF(D108="AL-1A",0.89,IF(D108="AL-2A",0.71,IF(D108="AL-3A",0.53,IF(D108="AL-4A",0.35,IF(D108="AL-5A",0.21,IF(D108="AL-1B",1.17,IF(D108="AL-2B",0.98,IF(D108="AL-3B",0.78,IF(D108="AL-4B",0.59,IF(D108="AL-5B",0.39,IF(D108="AL-6B",0.23,IF(D108="PH Classic",0.6*D105/D101*3.6,IF(D108="PH Low",1*D105/D101*3.6,IF(D108="PH+",0.1))))))))))))))</f>
        <v>1.17</v>
      </c>
    </row>
    <row r="4130" spans="1:1" ht="11.75" customHeight="1">
      <c r="A4130" s="1989" t="b">
        <f>D108="AL-1A"</f>
        <v>0</v>
      </c>
    </row>
    <row r="4131" spans="1:1" ht="11.75" customHeight="1">
      <c r="A4131" s="1989">
        <f>IF(D108="AL-2A",0.71,IF(D108="AL-3A",0.53,IF(D108="AL-4A",0.35,IF(D108="AL-5A",0.21,IF(D108="AL-1B",1.17,IF(D108="AL-2B",0.98,IF(D108="AL-3B",0.78,IF(D108="AL-4B",0.59,IF(D108="AL-5B",0.39,IF(D108="AL-6B",0.23,IF(D108="PH Classic",0.6*D105/D101*3.6,IF(D108="PH Low",1*D105/D101*3.6,IF(D108="PH+",0.1)))))))))))))</f>
        <v>1.17</v>
      </c>
    </row>
    <row r="4132" spans="1:1" ht="11.75" customHeight="1">
      <c r="A4132" s="1989" t="b">
        <f>D108="AL-2A"</f>
        <v>0</v>
      </c>
    </row>
    <row r="4133" spans="1:1" ht="11.75" customHeight="1">
      <c r="A4133" s="1989">
        <f>IF(D108="AL-3A",0.53,IF(D108="AL-4A",0.35,IF(D108="AL-5A",0.21,IF(D108="AL-1B",1.17,IF(D108="AL-2B",0.98,IF(D108="AL-3B",0.78,IF(D108="AL-4B",0.59,IF(D108="AL-5B",0.39,IF(D108="AL-6B",0.23,IF(D108="PH Classic",0.6*D105/D101*3.6,IF(D108="PH Low",1*D105/D101*3.6,IF(D108="PH+",0.1))))))))))))</f>
        <v>1.17</v>
      </c>
    </row>
    <row r="4134" spans="1:1" ht="11.75" customHeight="1">
      <c r="A4134" s="1989" t="b">
        <f>D108="AL-3A"</f>
        <v>0</v>
      </c>
    </row>
    <row r="4135" spans="1:1" ht="11.75" customHeight="1">
      <c r="A4135" s="1989">
        <f>IF(D108="AL-4A",0.35,IF(D108="AL-5A",0.21,IF(D108="AL-1B",1.17,IF(D108="AL-2B",0.98,IF(D108="AL-3B",0.78,IF(D108="AL-4B",0.59,IF(D108="AL-5B",0.39,IF(D108="AL-6B",0.23,IF(D108="PH Classic",0.6*D105/D101*3.6,IF(D108="PH Low",1*D105/D101*3.6,IF(D108="PH+",0.1)))))))))))</f>
        <v>1.17</v>
      </c>
    </row>
    <row r="4136" spans="1:1" ht="11.75" customHeight="1">
      <c r="A4136" s="1989" t="b">
        <f>D108="AL-4A"</f>
        <v>0</v>
      </c>
    </row>
    <row r="4137" spans="1:1" ht="11.75" customHeight="1">
      <c r="A4137" s="1989">
        <f>IF(D108="AL-5A",0.21,IF(D108="AL-1B",1.17,IF(D108="AL-2B",0.98,IF(D108="AL-3B",0.78,IF(D108="AL-4B",0.59,IF(D108="AL-5B",0.39,IF(D108="AL-6B",0.23,IF(D108="PH Classic",0.6*D105/D101*3.6,IF(D108="PH Low",1*D105/D101*3.6,IF(D108="PH+",0.1))))))))))</f>
        <v>1.17</v>
      </c>
    </row>
    <row r="4138" spans="1:1" ht="11.75" customHeight="1">
      <c r="A4138" s="1989" t="b">
        <f>D108="AL-5A"</f>
        <v>0</v>
      </c>
    </row>
    <row r="4139" spans="1:1" ht="11.75" customHeight="1">
      <c r="A4139" s="1989">
        <f>IF(D108="AL-1B",1.17,IF(D108="AL-2B",0.98,IF(D108="AL-3B",0.78,IF(D108="AL-4B",0.59,IF(D108="AL-5B",0.39,IF(D108="AL-6B",0.23,IF(D108="PH Classic",0.6*D105/D101*3.6,IF(D108="PH Low",1*D105/D101*3.6,IF(D108="PH+",0.1)))))))))</f>
        <v>1.17</v>
      </c>
    </row>
    <row r="4140" spans="1:1" ht="11.75" customHeight="1">
      <c r="A4140" s="1989" t="b">
        <f>D108="AL-1B"</f>
        <v>1</v>
      </c>
    </row>
    <row r="4141" spans="1:1" ht="11.75" customHeight="1">
      <c r="A4141" s="1989" t="b">
        <f>IF(D108="AL-2B",0.98,IF(D108="AL-3B",0.78,IF(D108="AL-4B",0.59,IF(D108="AL-5B",0.39,IF(D108="AL-6B",0.23,IF(D108="PH Classic",0.6*D105/D101*3.6,IF(D108="PH Low",1*D105/D101*3.6,IF(D108="PH+",0.1))))))))</f>
        <v>0</v>
      </c>
    </row>
    <row r="4142" spans="1:1" ht="11.75" customHeight="1">
      <c r="A4142" s="1989" t="b">
        <f>D108="AL-2B"</f>
        <v>0</v>
      </c>
    </row>
    <row r="4143" spans="1:1" ht="11.75" customHeight="1">
      <c r="A4143" s="1989" t="b">
        <f>IF(D108="AL-3B",0.78,IF(D108="AL-4B",0.59,IF(D108="AL-5B",0.39,IF(D108="AL-6B",0.23,IF(D108="PH Classic",0.6*D105/D101*3.6,IF(D108="PH Low",1*D105/D101*3.6,IF(D108="PH+",0.1)))))))</f>
        <v>0</v>
      </c>
    </row>
    <row r="4144" spans="1:1" ht="11.75" customHeight="1">
      <c r="A4144" s="1989" t="b">
        <f>D108="AL-3B"</f>
        <v>0</v>
      </c>
    </row>
    <row r="4145" spans="1:1" ht="11.75" customHeight="1">
      <c r="A4145" s="1989" t="b">
        <f>IF(D108="AL-4B",0.59,IF(D108="AL-5B",0.39,IF(D108="AL-6B",0.23,IF(D108="PH Classic",0.6*D105/D101*3.6,IF(D108="PH Low",1*D105/D101*3.6,IF(D108="PH+",0.1))))))</f>
        <v>0</v>
      </c>
    </row>
    <row r="4146" spans="1:1" ht="11.75" customHeight="1">
      <c r="A4146" s="1989" t="b">
        <f>D108="AL-4B"</f>
        <v>0</v>
      </c>
    </row>
    <row r="4147" spans="1:1" ht="11.75" customHeight="1">
      <c r="A4147" s="1989" t="b">
        <f>IF(D108="AL-5B",0.39,IF(D108="AL-6B",0.23,IF(D108="PH Classic",0.6*D105/D101*3.6,IF(D108="PH Low",1*D105/D101*3.6,IF(D108="PH+",0.1)))))</f>
        <v>0</v>
      </c>
    </row>
    <row r="4148" spans="1:1" ht="11.75" customHeight="1">
      <c r="A4148" s="1989" t="b">
        <f>D108="AL-5B"</f>
        <v>0</v>
      </c>
    </row>
    <row r="4149" spans="1:1" ht="11.75" customHeight="1">
      <c r="A4149" s="1989" t="b">
        <f>IF(D108="AL-6B",0.23,IF(D108="PH Classic",0.6*D105/D101*3.6,IF(D108="PH Low",1*D105/D101*3.6,IF(D108="PH+",0.1))))</f>
        <v>0</v>
      </c>
    </row>
    <row r="4150" spans="1:1" ht="11.75" customHeight="1">
      <c r="A4150" s="1989" t="b">
        <f>D108="AL-6B"</f>
        <v>0</v>
      </c>
    </row>
    <row r="4151" spans="1:1" ht="11.75" customHeight="1">
      <c r="A4151" s="1989" t="b">
        <f>IF(D108="PH Classic",0.6*D105/D101*3.6,IF(D108="PH Low",1*D105/D101*3.6,IF(D108="PH+",0.1)))</f>
        <v>0</v>
      </c>
    </row>
    <row r="4152" spans="1:1" ht="11.75" customHeight="1">
      <c r="A4152" s="1989" t="b">
        <f>D108="PH Classic"</f>
        <v>0</v>
      </c>
    </row>
    <row r="4153" spans="1:1" ht="11.75" customHeight="1">
      <c r="A4153" s="1989">
        <f>0.6*D105/D101*3.6</f>
        <v>6.9772512537248366</v>
      </c>
    </row>
    <row r="4154" spans="1:1" ht="11.75" customHeight="1">
      <c r="A4154" s="1989">
        <f>0.6*D105</f>
        <v>4800</v>
      </c>
    </row>
    <row r="4155" spans="1:1" ht="11.75" customHeight="1">
      <c r="A4155" s="1989">
        <f>D101*3.6</f>
        <v>8915.8319999999985</v>
      </c>
    </row>
    <row r="4156" spans="1:1" ht="11.75" customHeight="1">
      <c r="A4156" s="1989" t="b">
        <f>IF(D108="PH Low",1*D105/D101*3.6,IF(D108="PH+",0.1))</f>
        <v>0</v>
      </c>
    </row>
    <row r="4157" spans="1:1" ht="11.75" customHeight="1">
      <c r="A4157" s="1989" t="b">
        <f>D108="PH Low"</f>
        <v>0</v>
      </c>
    </row>
    <row r="4158" spans="1:1" ht="11.75" customHeight="1">
      <c r="A4158" s="1989">
        <f>1*D105/D101*3.6</f>
        <v>11.628752089541393</v>
      </c>
    </row>
    <row r="4159" spans="1:1" ht="11.75" customHeight="1">
      <c r="A4159" s="1989" t="b">
        <f>IF(D108="PH+",0.1)</f>
        <v>0</v>
      </c>
    </row>
    <row r="4160" spans="1:1" ht="11.75" customHeight="1">
      <c r="A4160" s="1989">
        <f>IF(H20="Present",VLOOKUP(H19,CANADA!A6:K699,9,FALSE),VLOOKUP(H19,CANADA!A6:K699,11,FALSE))</f>
        <v>4600</v>
      </c>
    </row>
    <row r="4161" spans="1:1" ht="11.75" customHeight="1">
      <c r="A4161" s="1989">
        <f>MATCH('NRL50-n-Factors'!D34,'NRL50-n-Factors'!C38:C49,0)</f>
        <v>5</v>
      </c>
    </row>
    <row r="4162" spans="1:1" ht="11.75" customHeight="1">
      <c r="A4162" s="1989">
        <f>MATCH(REPORT!D103,'NRL50-n-Factors'!D37:J37,0)</f>
        <v>2</v>
      </c>
    </row>
    <row r="4163" spans="1:1" ht="11.75" customHeight="1">
      <c r="A4163" s="1990">
        <f>H27-D43</f>
        <v>132765.64793897627</v>
      </c>
    </row>
    <row r="4164" spans="1:1" ht="11.75" customHeight="1">
      <c r="A4164" s="1989" t="b">
        <f>D113="Electricity"</f>
        <v>0</v>
      </c>
    </row>
    <row r="4165" spans="1:1" ht="11.75" customHeight="1">
      <c r="A4165" s="1990">
        <f>I103+K51+D117+M121+I101+I102+M43+SUM(H65:H67)</f>
        <v>265287.6445956853</v>
      </c>
    </row>
    <row r="4166" spans="1:1" ht="11.75" customHeight="1">
      <c r="A4166" s="1990">
        <f>I103+K51+D117+M121+I101+I102+M43</f>
        <v>180897.30859568529</v>
      </c>
    </row>
    <row r="4167" spans="1:1" ht="11.75" customHeight="1">
      <c r="A4167" s="1990">
        <f>I103+K51+D117+M121+I101+I102</f>
        <v>180897.30859568529</v>
      </c>
    </row>
    <row r="4168" spans="1:1" ht="11.75" customHeight="1">
      <c r="A4168" s="1990">
        <f>I103+K51+D117+M121+I101</f>
        <v>164109.06314703665</v>
      </c>
    </row>
    <row r="4169" spans="1:1" ht="11.75" customHeight="1">
      <c r="A4169" s="1990">
        <f>I103+K51+D117+M121</f>
        <v>88005.3704468098</v>
      </c>
    </row>
    <row r="4170" spans="1:1" ht="11.75" customHeight="1">
      <c r="A4170" s="1990">
        <f>I103+K51+D117</f>
        <v>39024.570446809812</v>
      </c>
    </row>
    <row r="4171" spans="1:1" ht="11.75" customHeight="1">
      <c r="A4171" s="1990">
        <f>I103+K51</f>
        <v>36006.531012790423</v>
      </c>
    </row>
    <row r="4172" spans="1:1" ht="11.75" customHeight="1">
      <c r="A4172" s="1989">
        <f>1.21*G108*D20*24/1000*D101</f>
        <v>387079.06311359996</v>
      </c>
    </row>
    <row r="4173" spans="1:1" ht="11.75" customHeight="1">
      <c r="A4173" s="1989">
        <f>1.21*G108*D20*24/1000</f>
        <v>156.29328000000001</v>
      </c>
    </row>
    <row r="4174" spans="1:1" ht="11.75" customHeight="1">
      <c r="A4174" s="1989">
        <f>1.21*G108*D20*24</f>
        <v>156293.28</v>
      </c>
    </row>
    <row r="4175" spans="1:1" ht="11.75" customHeight="1">
      <c r="A4175" s="1989">
        <f>1.21*G108*D20</f>
        <v>6512.22</v>
      </c>
    </row>
    <row r="4176" spans="1:1" ht="11.75" customHeight="1">
      <c r="A4176" s="1989">
        <f>1.21*G108</f>
        <v>1.4157</v>
      </c>
    </row>
    <row r="4177" spans="1:1" ht="11.75" customHeight="1">
      <c r="A4177" s="1989" t="b">
        <f>D108="Measured"</f>
        <v>0</v>
      </c>
    </row>
    <row r="4178" spans="1:1" ht="11.75" customHeight="1">
      <c r="A4178" s="1989">
        <f>G109*D105/D101*3.6</f>
        <v>17.44312813431209</v>
      </c>
    </row>
    <row r="4179" spans="1:1" ht="11.75" customHeight="1">
      <c r="A4179" s="1989">
        <f>G109*D105</f>
        <v>12000</v>
      </c>
    </row>
    <row r="4180" spans="1:1" ht="11.75" customHeight="1">
      <c r="A4180" s="1989">
        <f>D101*3.6</f>
        <v>8915.8319999999985</v>
      </c>
    </row>
    <row r="4181" spans="1:1" ht="11.75" customHeight="1">
      <c r="A4181" s="1989">
        <f>IF(D108="AL-1A",0.89,IF(D108="AL-2A",0.71,IF(D108="AL-3A",0.53,IF(D108="AL-4A",0.35,IF(D108="AL-5A",0.21,IF(D108="AL-1B",1.17,IF(D108="AL-2B",0.98,IF(D108="AL-3B",0.78,IF(D108="AL-4B",0.59,IF(D108="AL-5B",0.39,IF(D108="AL-6B",0.23,IF(D108="PH Classic",0.6*D105/D101*3.6,IF(D108="PH Low",1*D105/D101*3.6,IF(D108="PH+",0.1))))))))))))))</f>
        <v>1.17</v>
      </c>
    </row>
    <row r="4182" spans="1:1" ht="11.75" customHeight="1">
      <c r="A4182" s="1989" t="b">
        <f>D108="AL-1A"</f>
        <v>0</v>
      </c>
    </row>
    <row r="4183" spans="1:1" ht="11.75" customHeight="1">
      <c r="A4183" s="1989">
        <f>IF(D108="AL-2A",0.71,IF(D108="AL-3A",0.53,IF(D108="AL-4A",0.35,IF(D108="AL-5A",0.21,IF(D108="AL-1B",1.17,IF(D108="AL-2B",0.98,IF(D108="AL-3B",0.78,IF(D108="AL-4B",0.59,IF(D108="AL-5B",0.39,IF(D108="AL-6B",0.23,IF(D108="PH Classic",0.6*D105/D101*3.6,IF(D108="PH Low",1*D105/D101*3.6,IF(D108="PH+",0.1)))))))))))))</f>
        <v>1.17</v>
      </c>
    </row>
    <row r="4184" spans="1:1" ht="11.75" customHeight="1">
      <c r="A4184" s="1989" t="b">
        <f>D108="AL-2A"</f>
        <v>0</v>
      </c>
    </row>
    <row r="4185" spans="1:1" ht="11.75" customHeight="1">
      <c r="A4185" s="1989">
        <f>IF(D108="AL-3A",0.53,IF(D108="AL-4A",0.35,IF(D108="AL-5A",0.21,IF(D108="AL-1B",1.17,IF(D108="AL-2B",0.98,IF(D108="AL-3B",0.78,IF(D108="AL-4B",0.59,IF(D108="AL-5B",0.39,IF(D108="AL-6B",0.23,IF(D108="PH Classic",0.6*D105/D101*3.6,IF(D108="PH Low",1*D105/D101*3.6,IF(D108="PH+",0.1))))))))))))</f>
        <v>1.17</v>
      </c>
    </row>
    <row r="4186" spans="1:1" ht="11.75" customHeight="1">
      <c r="A4186" s="1989" t="b">
        <f>D108="AL-3A"</f>
        <v>0</v>
      </c>
    </row>
    <row r="4187" spans="1:1" ht="11.75" customHeight="1">
      <c r="A4187" s="1989">
        <f>IF(D108="AL-4A",0.35,IF(D108="AL-5A",0.21,IF(D108="AL-1B",1.17,IF(D108="AL-2B",0.98,IF(D108="AL-3B",0.78,IF(D108="AL-4B",0.59,IF(D108="AL-5B",0.39,IF(D108="AL-6B",0.23,IF(D108="PH Classic",0.6*D105/D101*3.6,IF(D108="PH Low",1*D105/D101*3.6,IF(D108="PH+",0.1)))))))))))</f>
        <v>1.17</v>
      </c>
    </row>
    <row r="4188" spans="1:1" ht="11.75" customHeight="1">
      <c r="A4188" s="1989" t="b">
        <f>D108="AL-4A"</f>
        <v>0</v>
      </c>
    </row>
    <row r="4189" spans="1:1" ht="11.75" customHeight="1">
      <c r="A4189" s="1989">
        <f>IF(D108="AL-5A",0.21,IF(D108="AL-1B",1.17,IF(D108="AL-2B",0.98,IF(D108="AL-3B",0.78,IF(D108="AL-4B",0.59,IF(D108="AL-5B",0.39,IF(D108="AL-6B",0.23,IF(D108="PH Classic",0.6*D105/D101*3.6,IF(D108="PH Low",1*D105/D101*3.6,IF(D108="PH+",0.1))))))))))</f>
        <v>1.17</v>
      </c>
    </row>
    <row r="4190" spans="1:1" ht="11.75" customHeight="1">
      <c r="A4190" s="1989" t="b">
        <f>D108="AL-5A"</f>
        <v>0</v>
      </c>
    </row>
    <row r="4191" spans="1:1" ht="11.75" customHeight="1">
      <c r="A4191" s="1989">
        <f>IF(D108="AL-1B",1.17,IF(D108="AL-2B",0.98,IF(D108="AL-3B",0.78,IF(D108="AL-4B",0.59,IF(D108="AL-5B",0.39,IF(D108="AL-6B",0.23,IF(D108="PH Classic",0.6*D105/D101*3.6,IF(D108="PH Low",1*D105/D101*3.6,IF(D108="PH+",0.1)))))))))</f>
        <v>1.17</v>
      </c>
    </row>
    <row r="4192" spans="1:1" ht="11.75" customHeight="1">
      <c r="A4192" s="1989" t="b">
        <f>D108="AL-1B"</f>
        <v>1</v>
      </c>
    </row>
    <row r="4193" spans="1:1" ht="11.75" customHeight="1">
      <c r="A4193" s="1989" t="b">
        <f>IF(D108="AL-2B",0.98,IF(D108="AL-3B",0.78,IF(D108="AL-4B",0.59,IF(D108="AL-5B",0.39,IF(D108="AL-6B",0.23,IF(D108="PH Classic",0.6*D105/D101*3.6,IF(D108="PH Low",1*D105/D101*3.6,IF(D108="PH+",0.1))))))))</f>
        <v>0</v>
      </c>
    </row>
    <row r="4194" spans="1:1" ht="11.75" customHeight="1">
      <c r="A4194" s="1989" t="b">
        <f>D108="AL-2B"</f>
        <v>0</v>
      </c>
    </row>
    <row r="4195" spans="1:1" ht="11.75" customHeight="1">
      <c r="A4195" s="1989" t="b">
        <f>IF(D108="AL-3B",0.78,IF(D108="AL-4B",0.59,IF(D108="AL-5B",0.39,IF(D108="AL-6B",0.23,IF(D108="PH Classic",0.6*D105/D101*3.6,IF(D108="PH Low",1*D105/D101*3.6,IF(D108="PH+",0.1)))))))</f>
        <v>0</v>
      </c>
    </row>
    <row r="4196" spans="1:1" ht="11.75" customHeight="1">
      <c r="A4196" s="1989" t="b">
        <f>D108="AL-3B"</f>
        <v>0</v>
      </c>
    </row>
    <row r="4197" spans="1:1" ht="11.75" customHeight="1">
      <c r="A4197" s="1989" t="b">
        <f>IF(D108="AL-4B",0.59,IF(D108="AL-5B",0.39,IF(D108="AL-6B",0.23,IF(D108="PH Classic",0.6*D105/D101*3.6,IF(D108="PH Low",1*D105/D101*3.6,IF(D108="PH+",0.1))))))</f>
        <v>0</v>
      </c>
    </row>
    <row r="4198" spans="1:1" ht="11.75" customHeight="1">
      <c r="A4198" s="1989" t="b">
        <f>D108="AL-4B"</f>
        <v>0</v>
      </c>
    </row>
    <row r="4199" spans="1:1" ht="11.75" customHeight="1">
      <c r="A4199" s="1989" t="b">
        <f>IF(D108="AL-5B",0.39,IF(D108="AL-6B",0.23,IF(D108="PH Classic",0.6*D105/D101*3.6,IF(D108="PH Low",1*D105/D101*3.6,IF(D108="PH+",0.1)))))</f>
        <v>0</v>
      </c>
    </row>
    <row r="4200" spans="1:1" ht="11.75" customHeight="1">
      <c r="A4200" s="1989" t="b">
        <f>D108="AL-5B"</f>
        <v>0</v>
      </c>
    </row>
    <row r="4201" spans="1:1" ht="11.75" customHeight="1">
      <c r="A4201" s="1989" t="b">
        <f>IF(D108="AL-6B",0.23,IF(D108="PH Classic",0.6*D105/D101*3.6,IF(D108="PH Low",1*D105/D101*3.6,IF(D108="PH+",0.1))))</f>
        <v>0</v>
      </c>
    </row>
    <row r="4202" spans="1:1" ht="11.75" customHeight="1">
      <c r="A4202" s="1989" t="b">
        <f>D108="AL-6B"</f>
        <v>0</v>
      </c>
    </row>
    <row r="4203" spans="1:1" ht="11.75" customHeight="1">
      <c r="A4203" s="1989" t="b">
        <f>IF(D108="PH Classic",0.6*D105/D101*3.6,IF(D108="PH Low",1*D105/D101*3.6,IF(D108="PH+",0.1)))</f>
        <v>0</v>
      </c>
    </row>
    <row r="4204" spans="1:1" ht="11.75" customHeight="1">
      <c r="A4204" s="1989" t="b">
        <f>D108="PH Classic"</f>
        <v>0</v>
      </c>
    </row>
    <row r="4205" spans="1:1" ht="11.75" customHeight="1">
      <c r="A4205" s="1989">
        <f>0.6*D105/D101*3.6</f>
        <v>6.9772512537248366</v>
      </c>
    </row>
    <row r="4206" spans="1:1" ht="11.75" customHeight="1">
      <c r="A4206" s="1989">
        <f>0.6*D105</f>
        <v>4800</v>
      </c>
    </row>
    <row r="4207" spans="1:1" ht="11.75" customHeight="1">
      <c r="A4207" s="1989">
        <f>D101*3.6</f>
        <v>8915.8319999999985</v>
      </c>
    </row>
    <row r="4208" spans="1:1" ht="11.75" customHeight="1">
      <c r="A4208" s="1989" t="b">
        <f>IF(D108="PH Low",1*D105/D101*3.6,IF(D108="PH+",0.1))</f>
        <v>0</v>
      </c>
    </row>
    <row r="4209" spans="1:1" ht="11.75" customHeight="1">
      <c r="A4209" s="1989" t="b">
        <f>D108="PH Low"</f>
        <v>0</v>
      </c>
    </row>
    <row r="4210" spans="1:1" ht="11.75" customHeight="1">
      <c r="A4210" s="1989">
        <f>1*D105/D101*3.6</f>
        <v>11.628752089541393</v>
      </c>
    </row>
    <row r="4211" spans="1:1" ht="11.75" customHeight="1">
      <c r="A4211" s="1989" t="b">
        <f>IF(D108="PH+",0.1)</f>
        <v>0</v>
      </c>
    </row>
    <row r="4212" spans="1:1" ht="11.75" customHeight="1">
      <c r="A4212" s="1989">
        <f>IF(H20="Present",VLOOKUP(H19,CANADA!A6:K699,9,FALSE),VLOOKUP(H19,CANADA!A6:K699,11,FALSE))</f>
        <v>4600</v>
      </c>
    </row>
    <row r="4213" spans="1:1" ht="11.75" customHeight="1">
      <c r="A4213" s="1990">
        <f>H27-D43</f>
        <v>132765.64793897627</v>
      </c>
    </row>
    <row r="4214" spans="1:1" ht="11.75" customHeight="1">
      <c r="A4214" s="1989" t="b">
        <f>D113="Electricity"</f>
        <v>0</v>
      </c>
    </row>
    <row r="4215" spans="1:1" ht="11.75" customHeight="1">
      <c r="A4215" s="1990">
        <f>I103+K51+D117+M121+I101+I102+M43+SUM(H65:H67)</f>
        <v>265287.6445956853</v>
      </c>
    </row>
    <row r="4216" spans="1:1" ht="11.75" customHeight="1">
      <c r="A4216" s="1990">
        <f>I103+K51+D117+M121+I101+I102+M43</f>
        <v>180897.30859568529</v>
      </c>
    </row>
    <row r="4217" spans="1:1" ht="11.75" customHeight="1">
      <c r="A4217" s="1990">
        <f>I103+K51+D117+M121+I101+I102</f>
        <v>180897.30859568529</v>
      </c>
    </row>
    <row r="4218" spans="1:1" ht="11.75" customHeight="1">
      <c r="A4218" s="1990">
        <f>I103+K51+D117+M121+I101</f>
        <v>164109.06314703665</v>
      </c>
    </row>
    <row r="4219" spans="1:1" ht="11.75" customHeight="1">
      <c r="A4219" s="1990">
        <f>I103+K51+D117+M121</f>
        <v>88005.3704468098</v>
      </c>
    </row>
    <row r="4220" spans="1:1" ht="11.75" customHeight="1">
      <c r="A4220" s="1990">
        <f>I103+K51+D117</f>
        <v>39024.570446809812</v>
      </c>
    </row>
    <row r="4221" spans="1:1" ht="11.75" customHeight="1">
      <c r="A4221" s="1990">
        <f>I103+K51</f>
        <v>36006.531012790423</v>
      </c>
    </row>
    <row r="4222" spans="1:1" ht="11.75" customHeight="1">
      <c r="A4222" s="1989">
        <f>1.21*G108*D20*24/1000*D101</f>
        <v>387079.06311359996</v>
      </c>
    </row>
    <row r="4223" spans="1:1" ht="11.75" customHeight="1">
      <c r="A4223" s="1989">
        <f>1.21*G108*D20*24/1000</f>
        <v>156.29328000000001</v>
      </c>
    </row>
    <row r="4224" spans="1:1" ht="11.75" customHeight="1">
      <c r="A4224" s="1989">
        <f>1.21*G108*D20*24</f>
        <v>156293.28</v>
      </c>
    </row>
    <row r="4225" spans="1:1" ht="11.75" customHeight="1">
      <c r="A4225" s="1989">
        <f>1.21*G108*D20</f>
        <v>6512.22</v>
      </c>
    </row>
    <row r="4226" spans="1:1" ht="11.75" customHeight="1">
      <c r="A4226" s="1989">
        <f>1.21*G108</f>
        <v>1.4157</v>
      </c>
    </row>
    <row r="4227" spans="1:1" ht="11.75" customHeight="1">
      <c r="A4227" s="1989" t="b">
        <f>D108="Measured"</f>
        <v>0</v>
      </c>
    </row>
    <row r="4228" spans="1:1" ht="11.75" customHeight="1">
      <c r="A4228" s="1989">
        <f>G109*D105/D101*3.6</f>
        <v>17.44312813431209</v>
      </c>
    </row>
    <row r="4229" spans="1:1" ht="11.75" customHeight="1">
      <c r="A4229" s="1989">
        <f>G109*D105</f>
        <v>12000</v>
      </c>
    </row>
    <row r="4230" spans="1:1" ht="11.75" customHeight="1">
      <c r="A4230" s="1989">
        <f>D101*3.6</f>
        <v>8915.8319999999985</v>
      </c>
    </row>
    <row r="4231" spans="1:1" ht="11.75" customHeight="1">
      <c r="A4231" s="1989">
        <f>IF(D108="AL-1A",0.89,IF(D108="AL-2A",0.71,IF(D108="AL-3A",0.53,IF(D108="AL-4A",0.35,IF(D108="AL-5A",0.21,IF(D108="AL-1B",1.17,IF(D108="AL-2B",0.98,IF(D108="AL-3B",0.78,IF(D108="AL-4B",0.59,IF(D108="AL-5B",0.39,IF(D108="AL-6B",0.23,IF(D108="PH Classic",0.6*D105/D101*3.6,IF(D108="PH Low",1*D105/D101*3.6,IF(D108="PH+",0.1))))))))))))))</f>
        <v>1.17</v>
      </c>
    </row>
    <row r="4232" spans="1:1" ht="11.75" customHeight="1">
      <c r="A4232" s="1989" t="b">
        <f>D108="AL-1A"</f>
        <v>0</v>
      </c>
    </row>
    <row r="4233" spans="1:1" ht="11.75" customHeight="1">
      <c r="A4233" s="1989">
        <f>IF(D108="AL-2A",0.71,IF(D108="AL-3A",0.53,IF(D108="AL-4A",0.35,IF(D108="AL-5A",0.21,IF(D108="AL-1B",1.17,IF(D108="AL-2B",0.98,IF(D108="AL-3B",0.78,IF(D108="AL-4B",0.59,IF(D108="AL-5B",0.39,IF(D108="AL-6B",0.23,IF(D108="PH Classic",0.6*D105/D101*3.6,IF(D108="PH Low",1*D105/D101*3.6,IF(D108="PH+",0.1)))))))))))))</f>
        <v>1.17</v>
      </c>
    </row>
    <row r="4234" spans="1:1" ht="11.75" customHeight="1">
      <c r="A4234" s="1989" t="b">
        <f>D108="AL-2A"</f>
        <v>0</v>
      </c>
    </row>
    <row r="4235" spans="1:1" ht="11.75" customHeight="1">
      <c r="A4235" s="1989">
        <f>IF(D108="AL-3A",0.53,IF(D108="AL-4A",0.35,IF(D108="AL-5A",0.21,IF(D108="AL-1B",1.17,IF(D108="AL-2B",0.98,IF(D108="AL-3B",0.78,IF(D108="AL-4B",0.59,IF(D108="AL-5B",0.39,IF(D108="AL-6B",0.23,IF(D108="PH Classic",0.6*D105/D101*3.6,IF(D108="PH Low",1*D105/D101*3.6,IF(D108="PH+",0.1))))))))))))</f>
        <v>1.17</v>
      </c>
    </row>
    <row r="4236" spans="1:1" ht="11.75" customHeight="1">
      <c r="A4236" s="1989" t="b">
        <f>D108="AL-3A"</f>
        <v>0</v>
      </c>
    </row>
    <row r="4237" spans="1:1" ht="11.75" customHeight="1">
      <c r="A4237" s="1989">
        <f>IF(D108="AL-4A",0.35,IF(D108="AL-5A",0.21,IF(D108="AL-1B",1.17,IF(D108="AL-2B",0.98,IF(D108="AL-3B",0.78,IF(D108="AL-4B",0.59,IF(D108="AL-5B",0.39,IF(D108="AL-6B",0.23,IF(D108="PH Classic",0.6*D105/D101*3.6,IF(D108="PH Low",1*D105/D101*3.6,IF(D108="PH+",0.1)))))))))))</f>
        <v>1.17</v>
      </c>
    </row>
    <row r="4238" spans="1:1" ht="11.75" customHeight="1">
      <c r="A4238" s="1989" t="b">
        <f>D108="AL-4A"</f>
        <v>0</v>
      </c>
    </row>
    <row r="4239" spans="1:1" ht="11.75" customHeight="1">
      <c r="A4239" s="1989">
        <f>IF(D108="AL-5A",0.21,IF(D108="AL-1B",1.17,IF(D108="AL-2B",0.98,IF(D108="AL-3B",0.78,IF(D108="AL-4B",0.59,IF(D108="AL-5B",0.39,IF(D108="AL-6B",0.23,IF(D108="PH Classic",0.6*D105/D101*3.6,IF(D108="PH Low",1*D105/D101*3.6,IF(D108="PH+",0.1))))))))))</f>
        <v>1.17</v>
      </c>
    </row>
    <row r="4240" spans="1:1" ht="11.75" customHeight="1">
      <c r="A4240" s="1989" t="b">
        <f>D108="AL-5A"</f>
        <v>0</v>
      </c>
    </row>
    <row r="4241" spans="1:1" ht="11.75" customHeight="1">
      <c r="A4241" s="1989">
        <f>IF(D108="AL-1B",1.17,IF(D108="AL-2B",0.98,IF(D108="AL-3B",0.78,IF(D108="AL-4B",0.59,IF(D108="AL-5B",0.39,IF(D108="AL-6B",0.23,IF(D108="PH Classic",0.6*D105/D101*3.6,IF(D108="PH Low",1*D105/D101*3.6,IF(D108="PH+",0.1)))))))))</f>
        <v>1.17</v>
      </c>
    </row>
    <row r="4242" spans="1:1" ht="11.75" customHeight="1">
      <c r="A4242" s="1989" t="b">
        <f>D108="AL-1B"</f>
        <v>1</v>
      </c>
    </row>
    <row r="4243" spans="1:1" ht="11.75" customHeight="1">
      <c r="A4243" s="1989" t="b">
        <f>IF(D108="AL-2B",0.98,IF(D108="AL-3B",0.78,IF(D108="AL-4B",0.59,IF(D108="AL-5B",0.39,IF(D108="AL-6B",0.23,IF(D108="PH Classic",0.6*D105/D101*3.6,IF(D108="PH Low",1*D105/D101*3.6,IF(D108="PH+",0.1))))))))</f>
        <v>0</v>
      </c>
    </row>
    <row r="4244" spans="1:1" ht="11.75" customHeight="1">
      <c r="A4244" s="1989" t="b">
        <f>D108="AL-2B"</f>
        <v>0</v>
      </c>
    </row>
    <row r="4245" spans="1:1" ht="11.75" customHeight="1">
      <c r="A4245" s="1989" t="b">
        <f>IF(D108="AL-3B",0.78,IF(D108="AL-4B",0.59,IF(D108="AL-5B",0.39,IF(D108="AL-6B",0.23,IF(D108="PH Classic",0.6*D105/D101*3.6,IF(D108="PH Low",1*D105/D101*3.6,IF(D108="PH+",0.1)))))))</f>
        <v>0</v>
      </c>
    </row>
    <row r="4246" spans="1:1" ht="11.75" customHeight="1">
      <c r="A4246" s="1989" t="b">
        <f>D108="AL-3B"</f>
        <v>0</v>
      </c>
    </row>
    <row r="4247" spans="1:1" ht="11.75" customHeight="1">
      <c r="A4247" s="1989" t="b">
        <f>IF(D108="AL-4B",0.59,IF(D108="AL-5B",0.39,IF(D108="AL-6B",0.23,IF(D108="PH Classic",0.6*D105/D101*3.6,IF(D108="PH Low",1*D105/D101*3.6,IF(D108="PH+",0.1))))))</f>
        <v>0</v>
      </c>
    </row>
    <row r="4248" spans="1:1" ht="11.75" customHeight="1">
      <c r="A4248" s="1989" t="b">
        <f>D108="AL-4B"</f>
        <v>0</v>
      </c>
    </row>
    <row r="4249" spans="1:1" ht="11.75" customHeight="1">
      <c r="A4249" s="1989" t="b">
        <f>IF(D108="AL-5B",0.39,IF(D108="AL-6B",0.23,IF(D108="PH Classic",0.6*D105/D101*3.6,IF(D108="PH Low",1*D105/D101*3.6,IF(D108="PH+",0.1)))))</f>
        <v>0</v>
      </c>
    </row>
    <row r="4250" spans="1:1" ht="11.75" customHeight="1">
      <c r="A4250" s="1989" t="b">
        <f>D108="AL-5B"</f>
        <v>0</v>
      </c>
    </row>
    <row r="4251" spans="1:1" ht="11.75" customHeight="1">
      <c r="A4251" s="1989" t="b">
        <f>IF(D108="AL-6B",0.23,IF(D108="PH Classic",0.6*D105/D101*3.6,IF(D108="PH Low",1*D105/D101*3.6,IF(D108="PH+",0.1))))</f>
        <v>0</v>
      </c>
    </row>
    <row r="4252" spans="1:1" ht="11.75" customHeight="1">
      <c r="A4252" s="1989" t="b">
        <f>D108="AL-6B"</f>
        <v>0</v>
      </c>
    </row>
    <row r="4253" spans="1:1" ht="11.75" customHeight="1">
      <c r="A4253" s="1989" t="b">
        <f>IF(D108="PH Classic",0.6*D105/D101*3.6,IF(D108="PH Low",1*D105/D101*3.6,IF(D108="PH+",0.1)))</f>
        <v>0</v>
      </c>
    </row>
    <row r="4254" spans="1:1" ht="11.75" customHeight="1">
      <c r="A4254" s="1989" t="b">
        <f>D108="PH Classic"</f>
        <v>0</v>
      </c>
    </row>
    <row r="4255" spans="1:1" ht="11.75" customHeight="1">
      <c r="A4255" s="1989">
        <f>0.6*D105/D101*3.6</f>
        <v>6.9772512537248366</v>
      </c>
    </row>
    <row r="4256" spans="1:1" ht="11.75" customHeight="1">
      <c r="A4256" s="1989">
        <f>0.6*D105</f>
        <v>4800</v>
      </c>
    </row>
    <row r="4257" spans="1:1" ht="11.75" customHeight="1">
      <c r="A4257" s="1989">
        <f>D101*3.6</f>
        <v>8915.8319999999985</v>
      </c>
    </row>
    <row r="4258" spans="1:1" ht="11.75" customHeight="1">
      <c r="A4258" s="1989" t="b">
        <f>IF(D108="PH Low",1*D105/D101*3.6,IF(D108="PH+",0.1))</f>
        <v>0</v>
      </c>
    </row>
    <row r="4259" spans="1:1" ht="11.75" customHeight="1">
      <c r="A4259" s="1989" t="b">
        <f>D108="PH Low"</f>
        <v>0</v>
      </c>
    </row>
    <row r="4260" spans="1:1" ht="11.75" customHeight="1">
      <c r="A4260" s="1989">
        <f>1*D105/D101*3.6</f>
        <v>11.628752089541393</v>
      </c>
    </row>
    <row r="4261" spans="1:1" ht="11.75" customHeight="1">
      <c r="A4261" s="1989" t="b">
        <f>IF(D108="PH+",0.1)</f>
        <v>0</v>
      </c>
    </row>
    <row r="4262" spans="1:1" ht="11.75" customHeight="1">
      <c r="A4262" s="1989">
        <f>IF(H20="Present",VLOOKUP(H19,CANADA!A6:K699,9,FALSE),VLOOKUP(H19,CANADA!A6:K699,11,FALSE))</f>
        <v>4600</v>
      </c>
    </row>
    <row r="4263" spans="1:1" ht="11.75" customHeight="1">
      <c r="A4263" s="1990">
        <f>H27-D43</f>
        <v>132765.64793897627</v>
      </c>
    </row>
    <row r="4264" spans="1:1" ht="11.75" customHeight="1">
      <c r="A4264" s="1989" t="b">
        <f>D113="Electricity"</f>
        <v>0</v>
      </c>
    </row>
    <row r="4265" spans="1:1" ht="11.75" customHeight="1">
      <c r="A4265" s="1990">
        <f>I103+K51+D117+M121+I101+I102+M43+SUM(H65:H67)</f>
        <v>265287.6445956853</v>
      </c>
    </row>
    <row r="4266" spans="1:1" ht="11.75" customHeight="1">
      <c r="A4266" s="1990">
        <f>I103+K51+D117+M121+I101+I102+M43</f>
        <v>180897.30859568529</v>
      </c>
    </row>
    <row r="4267" spans="1:1" ht="11.75" customHeight="1">
      <c r="A4267" s="1990">
        <f>I103+K51+D117+M121+I101+I102</f>
        <v>180897.30859568529</v>
      </c>
    </row>
    <row r="4268" spans="1:1" ht="11.75" customHeight="1">
      <c r="A4268" s="1990">
        <f>I103+K51+D117+M121+I101</f>
        <v>164109.06314703665</v>
      </c>
    </row>
    <row r="4269" spans="1:1" ht="11.75" customHeight="1">
      <c r="A4269" s="1990">
        <f>I103+K51+D117+M121</f>
        <v>88005.3704468098</v>
      </c>
    </row>
    <row r="4270" spans="1:1" ht="11.75" customHeight="1">
      <c r="A4270" s="1990">
        <f>I103+K51+D117</f>
        <v>39024.570446809812</v>
      </c>
    </row>
    <row r="4271" spans="1:1" ht="11.75" customHeight="1">
      <c r="A4271" s="1990">
        <f>I103+K51</f>
        <v>36006.531012790423</v>
      </c>
    </row>
    <row r="4272" spans="1:1" ht="11.75" customHeight="1">
      <c r="A4272" s="1989">
        <f>1.21*G108*D20*24/1000*D101</f>
        <v>387079.06311359996</v>
      </c>
    </row>
    <row r="4273" spans="1:1" ht="11.75" customHeight="1">
      <c r="A4273" s="1989">
        <f>1.21*G108*D20*24/1000</f>
        <v>156.29328000000001</v>
      </c>
    </row>
    <row r="4274" spans="1:1" ht="11.75" customHeight="1">
      <c r="A4274" s="1989">
        <f>1.21*G108*D20*24</f>
        <v>156293.28</v>
      </c>
    </row>
    <row r="4275" spans="1:1" ht="11.75" customHeight="1">
      <c r="A4275" s="1989">
        <f>1.21*G108*D20</f>
        <v>6512.22</v>
      </c>
    </row>
    <row r="4276" spans="1:1" ht="11.75" customHeight="1">
      <c r="A4276" s="1989">
        <f>1.21*G108</f>
        <v>1.4157</v>
      </c>
    </row>
    <row r="4277" spans="1:1" ht="11.75" customHeight="1">
      <c r="A4277" s="1989" t="b">
        <f>D108="Measured"</f>
        <v>0</v>
      </c>
    </row>
    <row r="4278" spans="1:1" ht="11.75" customHeight="1">
      <c r="A4278" s="1989">
        <f>G109*D105/D101*3.6</f>
        <v>17.44312813431209</v>
      </c>
    </row>
    <row r="4279" spans="1:1" ht="11.75" customHeight="1">
      <c r="A4279" s="1989">
        <f>G109*D105</f>
        <v>12000</v>
      </c>
    </row>
    <row r="4280" spans="1:1" ht="11.75" customHeight="1">
      <c r="A4280" s="1989">
        <f>D101*3.6</f>
        <v>8915.8319999999985</v>
      </c>
    </row>
    <row r="4281" spans="1:1" ht="11.75" customHeight="1">
      <c r="A4281" s="1989">
        <f>IF(D108="AL-1A",0.89,IF(D108="AL-2A",0.71,IF(D108="AL-3A",0.53,IF(D108="AL-4A",0.35,IF(D108="AL-5A",0.21,IF(D108="AL-1B",1.17,IF(D108="AL-2B",0.98,IF(D108="AL-3B",0.78,IF(D108="AL-4B",0.59,IF(D108="AL-5B",0.39,IF(D108="AL-6B",0.23,IF(D108="PH Classic",0.6*D105/D101*3.6,IF(D108="PH Low",1*D105/D101*3.6,IF(D108="PH+",0.1))))))))))))))</f>
        <v>1.17</v>
      </c>
    </row>
    <row r="4282" spans="1:1" ht="11.75" customHeight="1">
      <c r="A4282" s="1989" t="b">
        <f>D108="AL-1A"</f>
        <v>0</v>
      </c>
    </row>
    <row r="4283" spans="1:1" ht="11.75" customHeight="1">
      <c r="A4283" s="1989">
        <f>IF(D108="AL-2A",0.71,IF(D108="AL-3A",0.53,IF(D108="AL-4A",0.35,IF(D108="AL-5A",0.21,IF(D108="AL-1B",1.17,IF(D108="AL-2B",0.98,IF(D108="AL-3B",0.78,IF(D108="AL-4B",0.59,IF(D108="AL-5B",0.39,IF(D108="AL-6B",0.23,IF(D108="PH Classic",0.6*D105/D101*3.6,IF(D108="PH Low",1*D105/D101*3.6,IF(D108="PH+",0.1)))))))))))))</f>
        <v>1.17</v>
      </c>
    </row>
    <row r="4284" spans="1:1" ht="11.75" customHeight="1">
      <c r="A4284" s="1989" t="b">
        <f>D108="AL-2A"</f>
        <v>0</v>
      </c>
    </row>
    <row r="4285" spans="1:1" ht="11.75" customHeight="1">
      <c r="A4285" s="1989">
        <f>IF(D108="AL-3A",0.53,IF(D108="AL-4A",0.35,IF(D108="AL-5A",0.21,IF(D108="AL-1B",1.17,IF(D108="AL-2B",0.98,IF(D108="AL-3B",0.78,IF(D108="AL-4B",0.59,IF(D108="AL-5B",0.39,IF(D108="AL-6B",0.23,IF(D108="PH Classic",0.6*D105/D101*3.6,IF(D108="PH Low",1*D105/D101*3.6,IF(D108="PH+",0.1))))))))))))</f>
        <v>1.17</v>
      </c>
    </row>
    <row r="4286" spans="1:1" ht="11.75" customHeight="1">
      <c r="A4286" s="1989" t="b">
        <f>D108="AL-3A"</f>
        <v>0</v>
      </c>
    </row>
    <row r="4287" spans="1:1" ht="11.75" customHeight="1">
      <c r="A4287" s="1989">
        <f>IF(D108="AL-4A",0.35,IF(D108="AL-5A",0.21,IF(D108="AL-1B",1.17,IF(D108="AL-2B",0.98,IF(D108="AL-3B",0.78,IF(D108="AL-4B",0.59,IF(D108="AL-5B",0.39,IF(D108="AL-6B",0.23,IF(D108="PH Classic",0.6*D105/D101*3.6,IF(D108="PH Low",1*D105/D101*3.6,IF(D108="PH+",0.1)))))))))))</f>
        <v>1.17</v>
      </c>
    </row>
    <row r="4288" spans="1:1" ht="11.75" customHeight="1">
      <c r="A4288" s="1989" t="b">
        <f>D108="AL-4A"</f>
        <v>0</v>
      </c>
    </row>
    <row r="4289" spans="1:1" ht="11.75" customHeight="1">
      <c r="A4289" s="1989">
        <f>IF(D108="AL-5A",0.21,IF(D108="AL-1B",1.17,IF(D108="AL-2B",0.98,IF(D108="AL-3B",0.78,IF(D108="AL-4B",0.59,IF(D108="AL-5B",0.39,IF(D108="AL-6B",0.23,IF(D108="PH Classic",0.6*D105/D101*3.6,IF(D108="PH Low",1*D105/D101*3.6,IF(D108="PH+",0.1))))))))))</f>
        <v>1.17</v>
      </c>
    </row>
    <row r="4290" spans="1:1" ht="11.75" customHeight="1">
      <c r="A4290" s="1989" t="b">
        <f>D108="AL-5A"</f>
        <v>0</v>
      </c>
    </row>
    <row r="4291" spans="1:1" ht="11.75" customHeight="1">
      <c r="A4291" s="1989">
        <f>IF(D108="AL-1B",1.17,IF(D108="AL-2B",0.98,IF(D108="AL-3B",0.78,IF(D108="AL-4B",0.59,IF(D108="AL-5B",0.39,IF(D108="AL-6B",0.23,IF(D108="PH Classic",0.6*D105/D101*3.6,IF(D108="PH Low",1*D105/D101*3.6,IF(D108="PH+",0.1)))))))))</f>
        <v>1.17</v>
      </c>
    </row>
    <row r="4292" spans="1:1" ht="11.75" customHeight="1">
      <c r="A4292" s="1989" t="b">
        <f>D108="AL-1B"</f>
        <v>1</v>
      </c>
    </row>
    <row r="4293" spans="1:1" ht="11.75" customHeight="1">
      <c r="A4293" s="1989" t="b">
        <f>IF(D108="AL-2B",0.98,IF(D108="AL-3B",0.78,IF(D108="AL-4B",0.59,IF(D108="AL-5B",0.39,IF(D108="AL-6B",0.23,IF(D108="PH Classic",0.6*D105/D101*3.6,IF(D108="PH Low",1*D105/D101*3.6,IF(D108="PH+",0.1))))))))</f>
        <v>0</v>
      </c>
    </row>
    <row r="4294" spans="1:1" ht="11.75" customHeight="1">
      <c r="A4294" s="1989" t="b">
        <f>D108="AL-2B"</f>
        <v>0</v>
      </c>
    </row>
    <row r="4295" spans="1:1" ht="11.75" customHeight="1">
      <c r="A4295" s="1989" t="b">
        <f>IF(D108="AL-3B",0.78,IF(D108="AL-4B",0.59,IF(D108="AL-5B",0.39,IF(D108="AL-6B",0.23,IF(D108="PH Classic",0.6*D105/D101*3.6,IF(D108="PH Low",1*D105/D101*3.6,IF(D108="PH+",0.1)))))))</f>
        <v>0</v>
      </c>
    </row>
    <row r="4296" spans="1:1" ht="11.75" customHeight="1">
      <c r="A4296" s="1989" t="b">
        <f>D108="AL-3B"</f>
        <v>0</v>
      </c>
    </row>
    <row r="4297" spans="1:1" ht="11.75" customHeight="1">
      <c r="A4297" s="1989" t="b">
        <f>IF(D108="AL-4B",0.59,IF(D108="AL-5B",0.39,IF(D108="AL-6B",0.23,IF(D108="PH Classic",0.6*D105/D101*3.6,IF(D108="PH Low",1*D105/D101*3.6,IF(D108="PH+",0.1))))))</f>
        <v>0</v>
      </c>
    </row>
    <row r="4298" spans="1:1" ht="11.75" customHeight="1">
      <c r="A4298" s="1989" t="b">
        <f>D108="AL-4B"</f>
        <v>0</v>
      </c>
    </row>
    <row r="4299" spans="1:1" ht="11.75" customHeight="1">
      <c r="A4299" s="1989" t="b">
        <f>IF(D108="AL-5B",0.39,IF(D108="AL-6B",0.23,IF(D108="PH Classic",0.6*D105/D101*3.6,IF(D108="PH Low",1*D105/D101*3.6,IF(D108="PH+",0.1)))))</f>
        <v>0</v>
      </c>
    </row>
    <row r="4300" spans="1:1" ht="11.75" customHeight="1">
      <c r="A4300" s="1989" t="b">
        <f>D108="AL-5B"</f>
        <v>0</v>
      </c>
    </row>
    <row r="4301" spans="1:1" ht="11.75" customHeight="1">
      <c r="A4301" s="1989" t="b">
        <f>IF(D108="AL-6B",0.23,IF(D108="PH Classic",0.6*D105/D101*3.6,IF(D108="PH Low",1*D105/D101*3.6,IF(D108="PH+",0.1))))</f>
        <v>0</v>
      </c>
    </row>
    <row r="4302" spans="1:1" ht="11.75" customHeight="1">
      <c r="A4302" s="1989" t="b">
        <f>D108="AL-6B"</f>
        <v>0</v>
      </c>
    </row>
    <row r="4303" spans="1:1" ht="11.75" customHeight="1">
      <c r="A4303" s="1989" t="b">
        <f>IF(D108="PH Classic",0.6*D105/D101*3.6,IF(D108="PH Low",1*D105/D101*3.6,IF(D108="PH+",0.1)))</f>
        <v>0</v>
      </c>
    </row>
    <row r="4304" spans="1:1" ht="11.75" customHeight="1">
      <c r="A4304" s="1989" t="b">
        <f>D108="PH Classic"</f>
        <v>0</v>
      </c>
    </row>
    <row r="4305" spans="1:1" ht="11.75" customHeight="1">
      <c r="A4305" s="1989">
        <f>0.6*D105/D101*3.6</f>
        <v>6.9772512537248366</v>
      </c>
    </row>
    <row r="4306" spans="1:1" ht="11.75" customHeight="1">
      <c r="A4306" s="1989">
        <f>0.6*D105</f>
        <v>4800</v>
      </c>
    </row>
    <row r="4307" spans="1:1" ht="11.75" customHeight="1">
      <c r="A4307" s="1989">
        <f>D101*3.6</f>
        <v>8915.8319999999985</v>
      </c>
    </row>
    <row r="4308" spans="1:1" ht="11.75" customHeight="1">
      <c r="A4308" s="1989" t="b">
        <f>IF(D108="PH Low",1*D105/D101*3.6,IF(D108="PH+",0.1))</f>
        <v>0</v>
      </c>
    </row>
    <row r="4309" spans="1:1" ht="11.75" customHeight="1">
      <c r="A4309" s="1989" t="b">
        <f>D108="PH Low"</f>
        <v>0</v>
      </c>
    </row>
    <row r="4310" spans="1:1" ht="11.75" customHeight="1">
      <c r="A4310" s="1989">
        <f>1*D105/D101*3.6</f>
        <v>11.628752089541393</v>
      </c>
    </row>
    <row r="4311" spans="1:1" ht="11.75" customHeight="1">
      <c r="A4311" s="1989" t="b">
        <f>IF(D108="PH+",0.1)</f>
        <v>0</v>
      </c>
    </row>
    <row r="4312" spans="1:1" ht="11.75" customHeight="1">
      <c r="A4312" s="1989">
        <f>IF(H20="Present",VLOOKUP(H19,CANADA!A6:K699,9,FALSE),VLOOKUP(H19,CANADA!A6:K699,11,FALSE))</f>
        <v>4600</v>
      </c>
    </row>
    <row r="4313" spans="1:1" ht="11.75" customHeight="1">
      <c r="A4313" s="1990">
        <f>H27-D43</f>
        <v>132765.64793897627</v>
      </c>
    </row>
    <row r="4314" spans="1:1" ht="11.75" customHeight="1">
      <c r="A4314" s="1989" t="b">
        <f>D113="Electricity"</f>
        <v>0</v>
      </c>
    </row>
    <row r="4315" spans="1:1" ht="11.75" customHeight="1">
      <c r="A4315" s="1990">
        <f>I103+K51+D117+M121+I101+I102+M43+SUM(H65:H67)</f>
        <v>265287.6445956853</v>
      </c>
    </row>
    <row r="4316" spans="1:1" ht="11.75" customHeight="1">
      <c r="A4316" s="1990">
        <f>I103+K51+D117+M121+I101+I102+M43</f>
        <v>180897.30859568529</v>
      </c>
    </row>
    <row r="4317" spans="1:1" ht="11.75" customHeight="1">
      <c r="A4317" s="1990">
        <f>I103+K51+D117+M121+I101+I102</f>
        <v>180897.30859568529</v>
      </c>
    </row>
    <row r="4318" spans="1:1" ht="11.75" customHeight="1">
      <c r="A4318" s="1990">
        <f>I103+K51+D117+M121+I101</f>
        <v>164109.06314703665</v>
      </c>
    </row>
    <row r="4319" spans="1:1" ht="11.75" customHeight="1">
      <c r="A4319" s="1990">
        <f>I103+K51+D117+M121</f>
        <v>88005.3704468098</v>
      </c>
    </row>
    <row r="4320" spans="1:1" ht="11.75" customHeight="1">
      <c r="A4320" s="1990">
        <f>I103+K51+D117</f>
        <v>39024.570446809812</v>
      </c>
    </row>
    <row r="4321" spans="1:1" ht="11.75" customHeight="1">
      <c r="A4321" s="1990">
        <f>I103+K51</f>
        <v>36006.531012790423</v>
      </c>
    </row>
    <row r="4322" spans="1:1" ht="11.75" customHeight="1">
      <c r="A4322" s="1989">
        <f>1.21*G108*D20*24/1000*D101</f>
        <v>387079.06311359996</v>
      </c>
    </row>
    <row r="4323" spans="1:1" ht="11.75" customHeight="1">
      <c r="A4323" s="1989">
        <f>1.21*G108*D20*24/1000</f>
        <v>156.29328000000001</v>
      </c>
    </row>
    <row r="4324" spans="1:1" ht="11.75" customHeight="1">
      <c r="A4324" s="1989">
        <f>1.21*G108*D20*24</f>
        <v>156293.28</v>
      </c>
    </row>
    <row r="4325" spans="1:1" ht="11.75" customHeight="1">
      <c r="A4325" s="1989">
        <f>1.21*G108*D20</f>
        <v>6512.22</v>
      </c>
    </row>
    <row r="4326" spans="1:1" ht="11.75" customHeight="1">
      <c r="A4326" s="1989">
        <f>1.21*G108</f>
        <v>1.4157</v>
      </c>
    </row>
    <row r="4327" spans="1:1" ht="11.75" customHeight="1">
      <c r="A4327" s="1989" t="b">
        <f>D108="Measured"</f>
        <v>0</v>
      </c>
    </row>
    <row r="4328" spans="1:1" ht="11.75" customHeight="1">
      <c r="A4328" s="1989">
        <f>G109*D105/D101*3.6</f>
        <v>17.44312813431209</v>
      </c>
    </row>
    <row r="4329" spans="1:1" ht="11.75" customHeight="1">
      <c r="A4329" s="1989">
        <f>G109*D105</f>
        <v>12000</v>
      </c>
    </row>
    <row r="4330" spans="1:1" ht="11.75" customHeight="1">
      <c r="A4330" s="1989">
        <f>D101*3.6</f>
        <v>8915.8319999999985</v>
      </c>
    </row>
    <row r="4331" spans="1:1" ht="11.75" customHeight="1">
      <c r="A4331" s="1989">
        <f>IF(D108="AL-1A",0.89,IF(D108="AL-2A",0.71,IF(D108="AL-3A",0.53,IF(D108="AL-4A",0.35,IF(D108="AL-5A",0.21,IF(D108="AL-1B",1.17,IF(D108="AL-2B",0.98,IF(D108="AL-3B",0.78,IF(D108="AL-4B",0.59,IF(D108="AL-5B",0.39,IF(D108="AL-6B",0.23,IF(D108="PH Classic",0.6*D105/D101*3.6,IF(D108="PH Low",1*D105/D101*3.6,IF(D108="PH+",0.1))))))))))))))</f>
        <v>1.17</v>
      </c>
    </row>
    <row r="4332" spans="1:1" ht="11.75" customHeight="1">
      <c r="A4332" s="1989" t="b">
        <f>D108="AL-1A"</f>
        <v>0</v>
      </c>
    </row>
    <row r="4333" spans="1:1" ht="11.75" customHeight="1">
      <c r="A4333" s="1989">
        <f>IF(D108="AL-2A",0.71,IF(D108="AL-3A",0.53,IF(D108="AL-4A",0.35,IF(D108="AL-5A",0.21,IF(D108="AL-1B",1.17,IF(D108="AL-2B",0.98,IF(D108="AL-3B",0.78,IF(D108="AL-4B",0.59,IF(D108="AL-5B",0.39,IF(D108="AL-6B",0.23,IF(D108="PH Classic",0.6*D105/D101*3.6,IF(D108="PH Low",1*D105/D101*3.6,IF(D108="PH+",0.1)))))))))))))</f>
        <v>1.17</v>
      </c>
    </row>
    <row r="4334" spans="1:1" ht="11.75" customHeight="1">
      <c r="A4334" s="1989" t="b">
        <f>D108="AL-2A"</f>
        <v>0</v>
      </c>
    </row>
    <row r="4335" spans="1:1" ht="11.75" customHeight="1">
      <c r="A4335" s="1989">
        <f>IF(D108="AL-3A",0.53,IF(D108="AL-4A",0.35,IF(D108="AL-5A",0.21,IF(D108="AL-1B",1.17,IF(D108="AL-2B",0.98,IF(D108="AL-3B",0.78,IF(D108="AL-4B",0.59,IF(D108="AL-5B",0.39,IF(D108="AL-6B",0.23,IF(D108="PH Classic",0.6*D105/D101*3.6,IF(D108="PH Low",1*D105/D101*3.6,IF(D108="PH+",0.1))))))))))))</f>
        <v>1.17</v>
      </c>
    </row>
    <row r="4336" spans="1:1" ht="11.75" customHeight="1">
      <c r="A4336" s="1989" t="b">
        <f>D108="AL-3A"</f>
        <v>0</v>
      </c>
    </row>
    <row r="4337" spans="1:1" ht="11.75" customHeight="1">
      <c r="A4337" s="1989">
        <f>IF(D108="AL-4A",0.35,IF(D108="AL-5A",0.21,IF(D108="AL-1B",1.17,IF(D108="AL-2B",0.98,IF(D108="AL-3B",0.78,IF(D108="AL-4B",0.59,IF(D108="AL-5B",0.39,IF(D108="AL-6B",0.23,IF(D108="PH Classic",0.6*D105/D101*3.6,IF(D108="PH Low",1*D105/D101*3.6,IF(D108="PH+",0.1)))))))))))</f>
        <v>1.17</v>
      </c>
    </row>
    <row r="4338" spans="1:1" ht="11.75" customHeight="1">
      <c r="A4338" s="1989" t="b">
        <f>D108="AL-4A"</f>
        <v>0</v>
      </c>
    </row>
    <row r="4339" spans="1:1" ht="11.75" customHeight="1">
      <c r="A4339" s="1989">
        <f>IF(D108="AL-5A",0.21,IF(D108="AL-1B",1.17,IF(D108="AL-2B",0.98,IF(D108="AL-3B",0.78,IF(D108="AL-4B",0.59,IF(D108="AL-5B",0.39,IF(D108="AL-6B",0.23,IF(D108="PH Classic",0.6*D105/D101*3.6,IF(D108="PH Low",1*D105/D101*3.6,IF(D108="PH+",0.1))))))))))</f>
        <v>1.17</v>
      </c>
    </row>
    <row r="4340" spans="1:1" ht="11.75" customHeight="1">
      <c r="A4340" s="1989" t="b">
        <f>D108="AL-5A"</f>
        <v>0</v>
      </c>
    </row>
    <row r="4341" spans="1:1" ht="11.75" customHeight="1">
      <c r="A4341" s="1989">
        <f>IF(D108="AL-1B",1.17,IF(D108="AL-2B",0.98,IF(D108="AL-3B",0.78,IF(D108="AL-4B",0.59,IF(D108="AL-5B",0.39,IF(D108="AL-6B",0.23,IF(D108="PH Classic",0.6*D105/D101*3.6,IF(D108="PH Low",1*D105/D101*3.6,IF(D108="PH+",0.1)))))))))</f>
        <v>1.17</v>
      </c>
    </row>
    <row r="4342" spans="1:1" ht="11.75" customHeight="1">
      <c r="A4342" s="1989" t="b">
        <f>D108="AL-1B"</f>
        <v>1</v>
      </c>
    </row>
    <row r="4343" spans="1:1" ht="11.75" customHeight="1">
      <c r="A4343" s="1989" t="b">
        <f>IF(D108="AL-2B",0.98,IF(D108="AL-3B",0.78,IF(D108="AL-4B",0.59,IF(D108="AL-5B",0.39,IF(D108="AL-6B",0.23,IF(D108="PH Classic",0.6*D105/D101*3.6,IF(D108="PH Low",1*D105/D101*3.6,IF(D108="PH+",0.1))))))))</f>
        <v>0</v>
      </c>
    </row>
    <row r="4344" spans="1:1" ht="11.75" customHeight="1">
      <c r="A4344" s="1989" t="b">
        <f>D108="AL-2B"</f>
        <v>0</v>
      </c>
    </row>
    <row r="4345" spans="1:1" ht="11.75" customHeight="1">
      <c r="A4345" s="1989" t="b">
        <f>IF(D108="AL-3B",0.78,IF(D108="AL-4B",0.59,IF(D108="AL-5B",0.39,IF(D108="AL-6B",0.23,IF(D108="PH Classic",0.6*D105/D101*3.6,IF(D108="PH Low",1*D105/D101*3.6,IF(D108="PH+",0.1)))))))</f>
        <v>0</v>
      </c>
    </row>
    <row r="4346" spans="1:1" ht="11.75" customHeight="1">
      <c r="A4346" s="1989" t="b">
        <f>D108="AL-3B"</f>
        <v>0</v>
      </c>
    </row>
    <row r="4347" spans="1:1" ht="11.75" customHeight="1">
      <c r="A4347" s="1989" t="b">
        <f>IF(D108="AL-4B",0.59,IF(D108="AL-5B",0.39,IF(D108="AL-6B",0.23,IF(D108="PH Classic",0.6*D105/D101*3.6,IF(D108="PH Low",1*D105/D101*3.6,IF(D108="PH+",0.1))))))</f>
        <v>0</v>
      </c>
    </row>
    <row r="4348" spans="1:1" ht="11.75" customHeight="1">
      <c r="A4348" s="1989" t="b">
        <f>D108="AL-4B"</f>
        <v>0</v>
      </c>
    </row>
    <row r="4349" spans="1:1" ht="11.75" customHeight="1">
      <c r="A4349" s="1989" t="b">
        <f>IF(D108="AL-5B",0.39,IF(D108="AL-6B",0.23,IF(D108="PH Classic",0.6*D105/D101*3.6,IF(D108="PH Low",1*D105/D101*3.6,IF(D108="PH+",0.1)))))</f>
        <v>0</v>
      </c>
    </row>
    <row r="4350" spans="1:1" ht="11.75" customHeight="1">
      <c r="A4350" s="1989" t="b">
        <f>D108="AL-5B"</f>
        <v>0</v>
      </c>
    </row>
    <row r="4351" spans="1:1" ht="11.75" customHeight="1">
      <c r="A4351" s="1989" t="b">
        <f>IF(D108="AL-6B",0.23,IF(D108="PH Classic",0.6*D105/D101*3.6,IF(D108="PH Low",1*D105/D101*3.6,IF(D108="PH+",0.1))))</f>
        <v>0</v>
      </c>
    </row>
    <row r="4352" spans="1:1" ht="11.75" customHeight="1">
      <c r="A4352" s="1989" t="b">
        <f>D108="AL-6B"</f>
        <v>0</v>
      </c>
    </row>
    <row r="4353" spans="1:1" ht="11.75" customHeight="1">
      <c r="A4353" s="1989" t="b">
        <f>IF(D108="PH Classic",0.6*D105/D101*3.6,IF(D108="PH Low",1*D105/D101*3.6,IF(D108="PH+",0.1)))</f>
        <v>0</v>
      </c>
    </row>
    <row r="4354" spans="1:1" ht="11.75" customHeight="1">
      <c r="A4354" s="1989" t="b">
        <f>D108="PH Classic"</f>
        <v>0</v>
      </c>
    </row>
    <row r="4355" spans="1:1" ht="11.75" customHeight="1">
      <c r="A4355" s="1989">
        <f>0.6*D105/D101*3.6</f>
        <v>6.9772512537248366</v>
      </c>
    </row>
    <row r="4356" spans="1:1" ht="11.75" customHeight="1">
      <c r="A4356" s="1989">
        <f>0.6*D105</f>
        <v>4800</v>
      </c>
    </row>
    <row r="4357" spans="1:1" ht="11.75" customHeight="1">
      <c r="A4357" s="1989">
        <f>D101*3.6</f>
        <v>8915.8319999999985</v>
      </c>
    </row>
    <row r="4358" spans="1:1" ht="11.75" customHeight="1">
      <c r="A4358" s="1989" t="b">
        <f>IF(D108="PH Low",1*D105/D101*3.6,IF(D108="PH+",0.1))</f>
        <v>0</v>
      </c>
    </row>
    <row r="4359" spans="1:1" ht="11.75" customHeight="1">
      <c r="A4359" s="1989" t="b">
        <f>D108="PH Low"</f>
        <v>0</v>
      </c>
    </row>
    <row r="4360" spans="1:1" ht="11.75" customHeight="1">
      <c r="A4360" s="1989">
        <f>1*D105/D101*3.6</f>
        <v>11.628752089541393</v>
      </c>
    </row>
    <row r="4361" spans="1:1" ht="11.75" customHeight="1">
      <c r="A4361" s="1989" t="b">
        <f>IF(D108="PH+",0.1)</f>
        <v>0</v>
      </c>
    </row>
    <row r="4362" spans="1:1" ht="11.75" customHeight="1">
      <c r="A4362" s="1989">
        <f>IF(H20="Present",VLOOKUP(H19,CANADA!A6:K699,9,FALSE),VLOOKUP(H19,CANADA!A6:K699,11,FALSE))</f>
        <v>4600</v>
      </c>
    </row>
    <row r="4363" spans="1:1" ht="11.75" customHeight="1">
      <c r="A4363" s="1989">
        <f>MATCH('NRL50-n-Factors'!D34,'NRL50-n-Factors'!C38:C49,0)</f>
        <v>5</v>
      </c>
    </row>
    <row r="4364" spans="1:1" ht="11.75" customHeight="1">
      <c r="A4364" s="1989">
        <f>MATCH(REPORT!D103,'NRL50-n-Factors'!D37:J37,0)</f>
        <v>2</v>
      </c>
    </row>
    <row r="4365" spans="1:1" ht="11.75" customHeight="1">
      <c r="A4365" s="1989" t="b">
        <f>D51="Gas"</f>
        <v>0</v>
      </c>
    </row>
    <row r="4366" spans="1:1" ht="11.75" customHeight="1">
      <c r="A4366" s="1989">
        <f>D$20*G101*24</f>
        <v>30728.853316304834</v>
      </c>
    </row>
    <row r="4367" spans="1:1" ht="11.75" customHeight="1">
      <c r="A4367" s="1989">
        <f>SUM(H65:H67)</f>
        <v>84390.33600000001</v>
      </c>
    </row>
    <row r="4368" spans="1:1" ht="11.75" customHeight="1">
      <c r="A4368" s="1989">
        <f>IF(D113="Heatpump",K51+D117+D114+M43+H70,IF(D113="Gas",K51+D117+M43+H70))</f>
        <v>132765.64793897627</v>
      </c>
    </row>
    <row r="4369" spans="1:1" ht="11.75" customHeight="1">
      <c r="A4369" s="1989" t="b">
        <f>D113="Heatpump"</f>
        <v>1</v>
      </c>
    </row>
    <row r="4370" spans="1:1" ht="11.75" customHeight="1">
      <c r="A4370" s="1990">
        <f>K51+D117+D114+M43+H70</f>
        <v>132765.64793897627</v>
      </c>
    </row>
    <row r="4371" spans="1:1" ht="11.75" customHeight="1">
      <c r="A4371" s="1989" t="b">
        <f>IF(D113="Gas",K51+D117+M43+H70)</f>
        <v>0</v>
      </c>
    </row>
    <row r="4372" spans="1:1" ht="11.75" customHeight="1">
      <c r="A4372" s="1989">
        <f>SUM(D44:D46)</f>
        <v>0</v>
      </c>
    </row>
    <row r="4373" spans="1:1" ht="11.75" customHeight="1">
      <c r="A4373" s="1990">
        <f>I44+I45</f>
        <v>0</v>
      </c>
    </row>
    <row r="4374" spans="1:1" ht="11.75" customHeight="1">
      <c r="A4374" s="1989">
        <f>H28*0.0373</f>
        <v>0</v>
      </c>
    </row>
    <row r="4375" spans="1:1" ht="11.75" customHeight="1">
      <c r="A4375" s="1989">
        <f>H30*36.72</f>
        <v>0</v>
      </c>
    </row>
    <row r="4376" spans="1:1" ht="11.75" customHeight="1">
      <c r="A4376" s="1990">
        <f>H27-D43</f>
        <v>132765.64793897627</v>
      </c>
    </row>
    <row r="4377" spans="1:1" ht="11.75" customHeight="1">
      <c r="A4377" s="1989" t="b">
        <f>D113="Electricity"</f>
        <v>0</v>
      </c>
    </row>
    <row r="4378" spans="1:1" ht="11.75" customHeight="1">
      <c r="A4378" s="1990">
        <f>I103+K51+D117+M121+I101+I102+M43+SUM(H65:H67)</f>
        <v>265287.6445956853</v>
      </c>
    </row>
    <row r="4379" spans="1:1" ht="11.75" customHeight="1">
      <c r="A4379" s="1990">
        <f>I103+K51+D117+M121+I101+I102+M43</f>
        <v>180897.30859568529</v>
      </c>
    </row>
    <row r="4380" spans="1:1" ht="11.75" customHeight="1">
      <c r="A4380" s="1990">
        <f>I103+K51+D117+M121+I101+I102</f>
        <v>180897.30859568529</v>
      </c>
    </row>
    <row r="4381" spans="1:1" ht="11.75" customHeight="1">
      <c r="A4381" s="1990">
        <f>I103+K51+D117+M121+I101</f>
        <v>164109.06314703665</v>
      </c>
    </row>
    <row r="4382" spans="1:1" ht="11.75" customHeight="1">
      <c r="A4382" s="1990">
        <f>I103+K51+D117+M121</f>
        <v>88005.3704468098</v>
      </c>
    </row>
    <row r="4383" spans="1:1" ht="11.75" customHeight="1">
      <c r="A4383" s="1990">
        <f>I103+K51+D117</f>
        <v>39024.570446809812</v>
      </c>
    </row>
    <row r="4384" spans="1:1" ht="11.75" customHeight="1">
      <c r="A4384" s="1990">
        <f>I103+K51</f>
        <v>36006.531012790423</v>
      </c>
    </row>
    <row r="4385" spans="1:1" ht="11.75" customHeight="1">
      <c r="A4385" s="1989">
        <f>1.21*G108*D20*24/1000*D101</f>
        <v>387079.06311359996</v>
      </c>
    </row>
    <row r="4386" spans="1:1" ht="11.75" customHeight="1">
      <c r="A4386" s="1989">
        <f>1.21*G108*D20*24/1000</f>
        <v>156.29328000000001</v>
      </c>
    </row>
    <row r="4387" spans="1:1" ht="11.75" customHeight="1">
      <c r="A4387" s="1989">
        <f>1.21*G108*D20*24</f>
        <v>156293.28</v>
      </c>
    </row>
    <row r="4388" spans="1:1" ht="11.75" customHeight="1">
      <c r="A4388" s="1989">
        <f>1.21*G108*D20</f>
        <v>6512.22</v>
      </c>
    </row>
    <row r="4389" spans="1:1" ht="11.75" customHeight="1">
      <c r="A4389" s="1989">
        <f>1.21*G108</f>
        <v>1.4157</v>
      </c>
    </row>
    <row r="4390" spans="1:1" ht="11.75" customHeight="1">
      <c r="A4390" s="1989" t="b">
        <f>D108="Measured"</f>
        <v>0</v>
      </c>
    </row>
    <row r="4391" spans="1:1" ht="11.75" customHeight="1">
      <c r="A4391" s="1989">
        <f>G109*D105/D101*3.6</f>
        <v>17.44312813431209</v>
      </c>
    </row>
    <row r="4392" spans="1:1" ht="11.75" customHeight="1">
      <c r="A4392" s="1989">
        <f>G109*D105</f>
        <v>12000</v>
      </c>
    </row>
    <row r="4393" spans="1:1" ht="11.75" customHeight="1">
      <c r="A4393" s="1989">
        <f>D101*3.6</f>
        <v>8915.8319999999985</v>
      </c>
    </row>
    <row r="4394" spans="1:1" ht="11.75" customHeight="1">
      <c r="A4394" s="1989">
        <f>IF(D108="AL-1A",0.89,IF(D108="AL-2A",0.71,IF(D108="AL-3A",0.53,IF(D108="AL-4A",0.35,IF(D108="AL-5A",0.21,IF(D108="AL-1B",1.17,IF(D108="AL-2B",0.98,IF(D108="AL-3B",0.78,IF(D108="AL-4B",0.59,IF(D108="AL-5B",0.39,IF(D108="AL-6B",0.23,IF(D108="PH Classic",0.6*D105/D101*3.6,IF(D108="PH Low",1*D105/D101*3.6,IF(D108="PH+",0.1))))))))))))))</f>
        <v>1.17</v>
      </c>
    </row>
    <row r="4395" spans="1:1" ht="11.75" customHeight="1">
      <c r="A4395" s="1989" t="b">
        <f>D108="AL-1A"</f>
        <v>0</v>
      </c>
    </row>
    <row r="4396" spans="1:1" ht="11.75" customHeight="1">
      <c r="A4396" s="1989">
        <f>IF(D108="AL-2A",0.71,IF(D108="AL-3A",0.53,IF(D108="AL-4A",0.35,IF(D108="AL-5A",0.21,IF(D108="AL-1B",1.17,IF(D108="AL-2B",0.98,IF(D108="AL-3B",0.78,IF(D108="AL-4B",0.59,IF(D108="AL-5B",0.39,IF(D108="AL-6B",0.23,IF(D108="PH Classic",0.6*D105/D101*3.6,IF(D108="PH Low",1*D105/D101*3.6,IF(D108="PH+",0.1)))))))))))))</f>
        <v>1.17</v>
      </c>
    </row>
    <row r="4397" spans="1:1" ht="11.75" customHeight="1">
      <c r="A4397" s="1989" t="b">
        <f>D108="AL-2A"</f>
        <v>0</v>
      </c>
    </row>
    <row r="4398" spans="1:1" ht="11.75" customHeight="1">
      <c r="A4398" s="1989">
        <f>IF(D108="AL-3A",0.53,IF(D108="AL-4A",0.35,IF(D108="AL-5A",0.21,IF(D108="AL-1B",1.17,IF(D108="AL-2B",0.98,IF(D108="AL-3B",0.78,IF(D108="AL-4B",0.59,IF(D108="AL-5B",0.39,IF(D108="AL-6B",0.23,IF(D108="PH Classic",0.6*D105/D101*3.6,IF(D108="PH Low",1*D105/D101*3.6,IF(D108="PH+",0.1))))))))))))</f>
        <v>1.17</v>
      </c>
    </row>
    <row r="4399" spans="1:1" ht="11.75" customHeight="1">
      <c r="A4399" s="1989" t="b">
        <f>D108="AL-3A"</f>
        <v>0</v>
      </c>
    </row>
    <row r="4400" spans="1:1" ht="11.75" customHeight="1">
      <c r="A4400" s="1989">
        <f>IF(D108="AL-4A",0.35,IF(D108="AL-5A",0.21,IF(D108="AL-1B",1.17,IF(D108="AL-2B",0.98,IF(D108="AL-3B",0.78,IF(D108="AL-4B",0.59,IF(D108="AL-5B",0.39,IF(D108="AL-6B",0.23,IF(D108="PH Classic",0.6*D105/D101*3.6,IF(D108="PH Low",1*D105/D101*3.6,IF(D108="PH+",0.1)))))))))))</f>
        <v>1.17</v>
      </c>
    </row>
    <row r="4401" spans="1:1" ht="11.75" customHeight="1">
      <c r="A4401" s="1989" t="b">
        <f>D108="AL-4A"</f>
        <v>0</v>
      </c>
    </row>
    <row r="4402" spans="1:1" ht="11.75" customHeight="1">
      <c r="A4402" s="1989">
        <f>IF(D108="AL-5A",0.21,IF(D108="AL-1B",1.17,IF(D108="AL-2B",0.98,IF(D108="AL-3B",0.78,IF(D108="AL-4B",0.59,IF(D108="AL-5B",0.39,IF(D108="AL-6B",0.23,IF(D108="PH Classic",0.6*D105/D101*3.6,IF(D108="PH Low",1*D105/D101*3.6,IF(D108="PH+",0.1))))))))))</f>
        <v>1.17</v>
      </c>
    </row>
    <row r="4403" spans="1:1" ht="11.75" customHeight="1">
      <c r="A4403" s="1989" t="b">
        <f>D108="AL-5A"</f>
        <v>0</v>
      </c>
    </row>
    <row r="4404" spans="1:1" ht="11.75" customHeight="1">
      <c r="A4404" s="1989">
        <f>IF(D108="AL-1B",1.17,IF(D108="AL-2B",0.98,IF(D108="AL-3B",0.78,IF(D108="AL-4B",0.59,IF(D108="AL-5B",0.39,IF(D108="AL-6B",0.23,IF(D108="PH Classic",0.6*D105/D101*3.6,IF(D108="PH Low",1*D105/D101*3.6,IF(D108="PH+",0.1)))))))))</f>
        <v>1.17</v>
      </c>
    </row>
    <row r="4405" spans="1:1" ht="11.75" customHeight="1">
      <c r="A4405" s="1989" t="b">
        <f>D108="AL-1B"</f>
        <v>1</v>
      </c>
    </row>
    <row r="4406" spans="1:1" ht="11.75" customHeight="1">
      <c r="A4406" s="1989" t="b">
        <f>IF(D108="AL-2B",0.98,IF(D108="AL-3B",0.78,IF(D108="AL-4B",0.59,IF(D108="AL-5B",0.39,IF(D108="AL-6B",0.23,IF(D108="PH Classic",0.6*D105/D101*3.6,IF(D108="PH Low",1*D105/D101*3.6,IF(D108="PH+",0.1))))))))</f>
        <v>0</v>
      </c>
    </row>
    <row r="4407" spans="1:1" ht="11.75" customHeight="1">
      <c r="A4407" s="1989" t="b">
        <f>D108="AL-2B"</f>
        <v>0</v>
      </c>
    </row>
    <row r="4408" spans="1:1" ht="11.75" customHeight="1">
      <c r="A4408" s="1989" t="b">
        <f>IF(D108="AL-3B",0.78,IF(D108="AL-4B",0.59,IF(D108="AL-5B",0.39,IF(D108="AL-6B",0.23,IF(D108="PH Classic",0.6*D105/D101*3.6,IF(D108="PH Low",1*D105/D101*3.6,IF(D108="PH+",0.1)))))))</f>
        <v>0</v>
      </c>
    </row>
    <row r="4409" spans="1:1" ht="11.75" customHeight="1">
      <c r="A4409" s="1989" t="b">
        <f>D108="AL-3B"</f>
        <v>0</v>
      </c>
    </row>
    <row r="4410" spans="1:1" ht="11.75" customHeight="1">
      <c r="A4410" s="1989" t="b">
        <f>IF(D108="AL-4B",0.59,IF(D108="AL-5B",0.39,IF(D108="AL-6B",0.23,IF(D108="PH Classic",0.6*D105/D101*3.6,IF(D108="PH Low",1*D105/D101*3.6,IF(D108="PH+",0.1))))))</f>
        <v>0</v>
      </c>
    </row>
    <row r="4411" spans="1:1" ht="11.75" customHeight="1">
      <c r="A4411" s="1989" t="b">
        <f>D108="AL-4B"</f>
        <v>0</v>
      </c>
    </row>
    <row r="4412" spans="1:1" ht="11.75" customHeight="1">
      <c r="A4412" s="1989" t="b">
        <f>IF(D108="AL-5B",0.39,IF(D108="AL-6B",0.23,IF(D108="PH Classic",0.6*D105/D101*3.6,IF(D108="PH Low",1*D105/D101*3.6,IF(D108="PH+",0.1)))))</f>
        <v>0</v>
      </c>
    </row>
    <row r="4413" spans="1:1" ht="11.75" customHeight="1">
      <c r="A4413" s="1989" t="b">
        <f>D108="AL-5B"</f>
        <v>0</v>
      </c>
    </row>
    <row r="4414" spans="1:1" ht="11.75" customHeight="1">
      <c r="A4414" s="1989" t="b">
        <f>IF(D108="AL-6B",0.23,IF(D108="PH Classic",0.6*D105/D101*3.6,IF(D108="PH Low",1*D105/D101*3.6,IF(D108="PH+",0.1))))</f>
        <v>0</v>
      </c>
    </row>
    <row r="4415" spans="1:1" ht="11.75" customHeight="1">
      <c r="A4415" s="1989" t="b">
        <f>D108="AL-6B"</f>
        <v>0</v>
      </c>
    </row>
    <row r="4416" spans="1:1" ht="11.75" customHeight="1">
      <c r="A4416" s="1989" t="b">
        <f>IF(D108="PH Classic",0.6*D105/D101*3.6,IF(D108="PH Low",1*D105/D101*3.6,IF(D108="PH+",0.1)))</f>
        <v>0</v>
      </c>
    </row>
    <row r="4417" spans="1:1" ht="11.75" customHeight="1">
      <c r="A4417" s="1989" t="b">
        <f>D108="PH Classic"</f>
        <v>0</v>
      </c>
    </row>
    <row r="4418" spans="1:1" ht="11.75" customHeight="1">
      <c r="A4418" s="1989">
        <f>0.6*D105/D101*3.6</f>
        <v>6.9772512537248366</v>
      </c>
    </row>
    <row r="4419" spans="1:1" ht="11.75" customHeight="1">
      <c r="A4419" s="1989">
        <f>0.6*D105</f>
        <v>4800</v>
      </c>
    </row>
    <row r="4420" spans="1:1" ht="11.75" customHeight="1">
      <c r="A4420" s="1989">
        <f>D101*3.6</f>
        <v>8915.8319999999985</v>
      </c>
    </row>
    <row r="4421" spans="1:1" ht="11.75" customHeight="1">
      <c r="A4421" s="1989" t="b">
        <f>IF(D108="PH Low",1*D105/D101*3.6,IF(D108="PH+",0.1))</f>
        <v>0</v>
      </c>
    </row>
    <row r="4422" spans="1:1" ht="11.75" customHeight="1">
      <c r="A4422" s="1989" t="b">
        <f>D108="PH Low"</f>
        <v>0</v>
      </c>
    </row>
    <row r="4423" spans="1:1" ht="11.75" customHeight="1">
      <c r="A4423" s="1989">
        <f>1*D105/D101*3.6</f>
        <v>11.628752089541393</v>
      </c>
    </row>
    <row r="4424" spans="1:1" ht="11.75" customHeight="1">
      <c r="A4424" s="1989" t="b">
        <f>IF(D108="PH+",0.1)</f>
        <v>0</v>
      </c>
    </row>
    <row r="4425" spans="1:1" ht="11.75" customHeight="1">
      <c r="A4425" s="1989">
        <f>IF(H20="Present",VLOOKUP(H19,CANADA!A6:K699,9,FALSE),VLOOKUP(H19,CANADA!A6:K699,11,FALSE))</f>
        <v>4600</v>
      </c>
    </row>
    <row r="4426" spans="1:1" ht="11.75" customHeight="1">
      <c r="A4426" s="1989">
        <f>MATCH('NRL50-n-Factors'!D34,'NRL50-n-Factors'!C38:C49,0)</f>
        <v>5</v>
      </c>
    </row>
    <row r="4427" spans="1:1" ht="11.75" customHeight="1">
      <c r="A4427" s="1989">
        <f>MATCH(REPORT!D103,'NRL50-n-Factors'!D37:J37,0)</f>
        <v>2</v>
      </c>
    </row>
    <row r="4428" spans="1:1" ht="11.75" customHeight="1">
      <c r="A4428" s="1990">
        <f>H27-D43</f>
        <v>132765.64793897627</v>
      </c>
    </row>
    <row r="4429" spans="1:1" ht="11.75" customHeight="1">
      <c r="A4429" s="1989" t="b">
        <f>D113="Electricity"</f>
        <v>0</v>
      </c>
    </row>
    <row r="4430" spans="1:1" ht="11.75" customHeight="1">
      <c r="A4430" s="1990">
        <f>I103+K51+D117+M121+I101+I102+M43+SUM(H65:H67)</f>
        <v>265287.6445956853</v>
      </c>
    </row>
    <row r="4431" spans="1:1" ht="11.75" customHeight="1">
      <c r="A4431" s="1990">
        <f>I103+K51+D117+M121+I101+I102+M43</f>
        <v>180897.30859568529</v>
      </c>
    </row>
    <row r="4432" spans="1:1" ht="11.75" customHeight="1">
      <c r="A4432" s="1990">
        <f>I103+K51+D117+M121+I101+I102</f>
        <v>180897.30859568529</v>
      </c>
    </row>
    <row r="4433" spans="1:1" ht="11.75" customHeight="1">
      <c r="A4433" s="1990">
        <f>I103+K51+D117+M121+I101</f>
        <v>164109.06314703665</v>
      </c>
    </row>
    <row r="4434" spans="1:1" ht="11.75" customHeight="1">
      <c r="A4434" s="1990">
        <f>I103+K51+D117+M121</f>
        <v>88005.3704468098</v>
      </c>
    </row>
    <row r="4435" spans="1:1" ht="11.75" customHeight="1">
      <c r="A4435" s="1990">
        <f>I103+K51+D117</f>
        <v>39024.570446809812</v>
      </c>
    </row>
    <row r="4436" spans="1:1" ht="11.75" customHeight="1">
      <c r="A4436" s="1990">
        <f>I103+K51</f>
        <v>36006.531012790423</v>
      </c>
    </row>
    <row r="4437" spans="1:1" ht="11.75" customHeight="1">
      <c r="A4437" s="1989">
        <f>1.21*G108*D20*24/1000*D101</f>
        <v>387079.06311359996</v>
      </c>
    </row>
    <row r="4438" spans="1:1" ht="11.75" customHeight="1">
      <c r="A4438" s="1989">
        <f>1.21*G108*D20*24/1000</f>
        <v>156.29328000000001</v>
      </c>
    </row>
    <row r="4439" spans="1:1" ht="11.75" customHeight="1">
      <c r="A4439" s="1989">
        <f>1.21*G108*D20*24</f>
        <v>156293.28</v>
      </c>
    </row>
    <row r="4440" spans="1:1" ht="11.75" customHeight="1">
      <c r="A4440" s="1989">
        <f>1.21*G108*D20</f>
        <v>6512.22</v>
      </c>
    </row>
    <row r="4441" spans="1:1" ht="11.75" customHeight="1">
      <c r="A4441" s="1989">
        <f>1.21*G108</f>
        <v>1.4157</v>
      </c>
    </row>
    <row r="4442" spans="1:1" ht="11.75" customHeight="1">
      <c r="A4442" s="1989" t="b">
        <f>D108="Measured"</f>
        <v>0</v>
      </c>
    </row>
    <row r="4443" spans="1:1" ht="11.75" customHeight="1">
      <c r="A4443" s="1989">
        <f>G109*D105/D101*3.6</f>
        <v>17.44312813431209</v>
      </c>
    </row>
    <row r="4444" spans="1:1" ht="11.75" customHeight="1">
      <c r="A4444" s="1989">
        <f>G109*D105</f>
        <v>12000</v>
      </c>
    </row>
    <row r="4445" spans="1:1" ht="11.75" customHeight="1">
      <c r="A4445" s="1989">
        <f>D101*3.6</f>
        <v>8915.8319999999985</v>
      </c>
    </row>
    <row r="4446" spans="1:1" ht="11.75" customHeight="1">
      <c r="A4446" s="1989">
        <f>IF(D108="AL-1A",0.89,IF(D108="AL-2A",0.71,IF(D108="AL-3A",0.53,IF(D108="AL-4A",0.35,IF(D108="AL-5A",0.21,IF(D108="AL-1B",1.17,IF(D108="AL-2B",0.98,IF(D108="AL-3B",0.78,IF(D108="AL-4B",0.59,IF(D108="AL-5B",0.39,IF(D108="AL-6B",0.23,IF(D108="PH Classic",0.6*D105/D101*3.6,IF(D108="PH Low",1*D105/D101*3.6,IF(D108="PH+",0.1))))))))))))))</f>
        <v>1.17</v>
      </c>
    </row>
    <row r="4447" spans="1:1" ht="11.75" customHeight="1">
      <c r="A4447" s="1989" t="b">
        <f>D108="AL-1A"</f>
        <v>0</v>
      </c>
    </row>
    <row r="4448" spans="1:1" ht="11.75" customHeight="1">
      <c r="A4448" s="1989">
        <f>IF(D108="AL-2A",0.71,IF(D108="AL-3A",0.53,IF(D108="AL-4A",0.35,IF(D108="AL-5A",0.21,IF(D108="AL-1B",1.17,IF(D108="AL-2B",0.98,IF(D108="AL-3B",0.78,IF(D108="AL-4B",0.59,IF(D108="AL-5B",0.39,IF(D108="AL-6B",0.23,IF(D108="PH Classic",0.6*D105/D101*3.6,IF(D108="PH Low",1*D105/D101*3.6,IF(D108="PH+",0.1)))))))))))))</f>
        <v>1.17</v>
      </c>
    </row>
    <row r="4449" spans="1:1" ht="11.75" customHeight="1">
      <c r="A4449" s="1989" t="b">
        <f>D108="AL-2A"</f>
        <v>0</v>
      </c>
    </row>
    <row r="4450" spans="1:1" ht="11.75" customHeight="1">
      <c r="A4450" s="1989">
        <f>IF(D108="AL-3A",0.53,IF(D108="AL-4A",0.35,IF(D108="AL-5A",0.21,IF(D108="AL-1B",1.17,IF(D108="AL-2B",0.98,IF(D108="AL-3B",0.78,IF(D108="AL-4B",0.59,IF(D108="AL-5B",0.39,IF(D108="AL-6B",0.23,IF(D108="PH Classic",0.6*D105/D101*3.6,IF(D108="PH Low",1*D105/D101*3.6,IF(D108="PH+",0.1))))))))))))</f>
        <v>1.17</v>
      </c>
    </row>
    <row r="4451" spans="1:1" ht="11.75" customHeight="1">
      <c r="A4451" s="1989" t="b">
        <f>D108="AL-3A"</f>
        <v>0</v>
      </c>
    </row>
    <row r="4452" spans="1:1" ht="11.75" customHeight="1">
      <c r="A4452" s="1989">
        <f>IF(D108="AL-4A",0.35,IF(D108="AL-5A",0.21,IF(D108="AL-1B",1.17,IF(D108="AL-2B",0.98,IF(D108="AL-3B",0.78,IF(D108="AL-4B",0.59,IF(D108="AL-5B",0.39,IF(D108="AL-6B",0.23,IF(D108="PH Classic",0.6*D105/D101*3.6,IF(D108="PH Low",1*D105/D101*3.6,IF(D108="PH+",0.1)))))))))))</f>
        <v>1.17</v>
      </c>
    </row>
    <row r="4453" spans="1:1" ht="11.75" customHeight="1">
      <c r="A4453" s="1989" t="b">
        <f>D108="AL-4A"</f>
        <v>0</v>
      </c>
    </row>
    <row r="4454" spans="1:1" ht="11.75" customHeight="1">
      <c r="A4454" s="1989">
        <f>IF(D108="AL-5A",0.21,IF(D108="AL-1B",1.17,IF(D108="AL-2B",0.98,IF(D108="AL-3B",0.78,IF(D108="AL-4B",0.59,IF(D108="AL-5B",0.39,IF(D108="AL-6B",0.23,IF(D108="PH Classic",0.6*D105/D101*3.6,IF(D108="PH Low",1*D105/D101*3.6,IF(D108="PH+",0.1))))))))))</f>
        <v>1.17</v>
      </c>
    </row>
    <row r="4455" spans="1:1" ht="11.75" customHeight="1">
      <c r="A4455" s="1989" t="b">
        <f>D108="AL-5A"</f>
        <v>0</v>
      </c>
    </row>
    <row r="4456" spans="1:1" ht="11.75" customHeight="1">
      <c r="A4456" s="1989">
        <f>IF(D108="AL-1B",1.17,IF(D108="AL-2B",0.98,IF(D108="AL-3B",0.78,IF(D108="AL-4B",0.59,IF(D108="AL-5B",0.39,IF(D108="AL-6B",0.23,IF(D108="PH Classic",0.6*D105/D101*3.6,IF(D108="PH Low",1*D105/D101*3.6,IF(D108="PH+",0.1)))))))))</f>
        <v>1.17</v>
      </c>
    </row>
    <row r="4457" spans="1:1" ht="11.75" customHeight="1">
      <c r="A4457" s="1989" t="b">
        <f>D108="AL-1B"</f>
        <v>1</v>
      </c>
    </row>
    <row r="4458" spans="1:1" ht="11.75" customHeight="1">
      <c r="A4458" s="1989" t="b">
        <f>IF(D108="AL-2B",0.98,IF(D108="AL-3B",0.78,IF(D108="AL-4B",0.59,IF(D108="AL-5B",0.39,IF(D108="AL-6B",0.23,IF(D108="PH Classic",0.6*D105/D101*3.6,IF(D108="PH Low",1*D105/D101*3.6,IF(D108="PH+",0.1))))))))</f>
        <v>0</v>
      </c>
    </row>
    <row r="4459" spans="1:1" ht="11.75" customHeight="1">
      <c r="A4459" s="1989" t="b">
        <f>D108="AL-2B"</f>
        <v>0</v>
      </c>
    </row>
    <row r="4460" spans="1:1" ht="11.75" customHeight="1">
      <c r="A4460" s="1989" t="b">
        <f>IF(D108="AL-3B",0.78,IF(D108="AL-4B",0.59,IF(D108="AL-5B",0.39,IF(D108="AL-6B",0.23,IF(D108="PH Classic",0.6*D105/D101*3.6,IF(D108="PH Low",1*D105/D101*3.6,IF(D108="PH+",0.1)))))))</f>
        <v>0</v>
      </c>
    </row>
    <row r="4461" spans="1:1" ht="11.75" customHeight="1">
      <c r="A4461" s="1989" t="b">
        <f>D108="AL-3B"</f>
        <v>0</v>
      </c>
    </row>
    <row r="4462" spans="1:1" ht="11.75" customHeight="1">
      <c r="A4462" s="1989" t="b">
        <f>IF(D108="AL-4B",0.59,IF(D108="AL-5B",0.39,IF(D108="AL-6B",0.23,IF(D108="PH Classic",0.6*D105/D101*3.6,IF(D108="PH Low",1*D105/D101*3.6,IF(D108="PH+",0.1))))))</f>
        <v>0</v>
      </c>
    </row>
    <row r="4463" spans="1:1" ht="11.75" customHeight="1">
      <c r="A4463" s="1989" t="b">
        <f>D108="AL-4B"</f>
        <v>0</v>
      </c>
    </row>
    <row r="4464" spans="1:1" ht="11.75" customHeight="1">
      <c r="A4464" s="1989" t="b">
        <f>IF(D108="AL-5B",0.39,IF(D108="AL-6B",0.23,IF(D108="PH Classic",0.6*D105/D101*3.6,IF(D108="PH Low",1*D105/D101*3.6,IF(D108="PH+",0.1)))))</f>
        <v>0</v>
      </c>
    </row>
    <row r="4465" spans="1:1" ht="11.75" customHeight="1">
      <c r="A4465" s="1989" t="b">
        <f>D108="AL-5B"</f>
        <v>0</v>
      </c>
    </row>
    <row r="4466" spans="1:1" ht="11.75" customHeight="1">
      <c r="A4466" s="1989" t="b">
        <f>IF(D108="AL-6B",0.23,IF(D108="PH Classic",0.6*D105/D101*3.6,IF(D108="PH Low",1*D105/D101*3.6,IF(D108="PH+",0.1))))</f>
        <v>0</v>
      </c>
    </row>
    <row r="4467" spans="1:1" ht="11.75" customHeight="1">
      <c r="A4467" s="1989" t="b">
        <f>D108="AL-6B"</f>
        <v>0</v>
      </c>
    </row>
    <row r="4468" spans="1:1" ht="11.75" customHeight="1">
      <c r="A4468" s="1989" t="b">
        <f>IF(D108="PH Classic",0.6*D105/D101*3.6,IF(D108="PH Low",1*D105/D101*3.6,IF(D108="PH+",0.1)))</f>
        <v>0</v>
      </c>
    </row>
    <row r="4469" spans="1:1" ht="11.75" customHeight="1">
      <c r="A4469" s="1989" t="b">
        <f>D108="PH Classic"</f>
        <v>0</v>
      </c>
    </row>
    <row r="4470" spans="1:1" ht="11.75" customHeight="1">
      <c r="A4470" s="1989">
        <f>0.6*D105/D101*3.6</f>
        <v>6.9772512537248366</v>
      </c>
    </row>
    <row r="4471" spans="1:1" ht="11.75" customHeight="1">
      <c r="A4471" s="1989">
        <f>0.6*D105</f>
        <v>4800</v>
      </c>
    </row>
    <row r="4472" spans="1:1" ht="11.75" customHeight="1">
      <c r="A4472" s="1989">
        <f>D101*3.6</f>
        <v>8915.8319999999985</v>
      </c>
    </row>
    <row r="4473" spans="1:1" ht="11.75" customHeight="1">
      <c r="A4473" s="1989" t="b">
        <f>IF(D108="PH Low",1*D105/D101*3.6,IF(D108="PH+",0.1))</f>
        <v>0</v>
      </c>
    </row>
    <row r="4474" spans="1:1" ht="11.75" customHeight="1">
      <c r="A4474" s="1989" t="b">
        <f>D108="PH Low"</f>
        <v>0</v>
      </c>
    </row>
    <row r="4475" spans="1:1" ht="11.75" customHeight="1">
      <c r="A4475" s="1989">
        <f>1*D105/D101*3.6</f>
        <v>11.628752089541393</v>
      </c>
    </row>
    <row r="4476" spans="1:1" ht="11.75" customHeight="1">
      <c r="A4476" s="1989" t="b">
        <f>IF(D108="PH+",0.1)</f>
        <v>0</v>
      </c>
    </row>
    <row r="4477" spans="1:1" ht="11.75" customHeight="1">
      <c r="A4477" s="1989">
        <f>IF(H20="Present",VLOOKUP(H19,CANADA!A6:K699,9,FALSE),VLOOKUP(H19,CANADA!A6:K699,11,FALSE))</f>
        <v>4600</v>
      </c>
    </row>
    <row r="4478" spans="1:1" ht="11.75" customHeight="1">
      <c r="A4478" s="1990">
        <f>H27-D43</f>
        <v>132765.64793897627</v>
      </c>
    </row>
    <row r="4479" spans="1:1" ht="11.75" customHeight="1">
      <c r="A4479" s="1989" t="b">
        <f>D113="Electricity"</f>
        <v>0</v>
      </c>
    </row>
    <row r="4480" spans="1:1" ht="11.75" customHeight="1">
      <c r="A4480" s="1990">
        <f>I103+K51+D117+M121+I101+I102+M43+SUM(H65:H67)</f>
        <v>265287.6445956853</v>
      </c>
    </row>
    <row r="4481" spans="1:1" ht="11.75" customHeight="1">
      <c r="A4481" s="1990">
        <f>I103+K51+D117+M121+I101+I102+M43</f>
        <v>180897.30859568529</v>
      </c>
    </row>
    <row r="4482" spans="1:1" ht="11.75" customHeight="1">
      <c r="A4482" s="1990">
        <f>I103+K51+D117+M121+I101+I102</f>
        <v>180897.30859568529</v>
      </c>
    </row>
    <row r="4483" spans="1:1" ht="11.75" customHeight="1">
      <c r="A4483" s="1990">
        <f>I103+K51+D117+M121+I101</f>
        <v>164109.06314703665</v>
      </c>
    </row>
    <row r="4484" spans="1:1" ht="11.75" customHeight="1">
      <c r="A4484" s="1990">
        <f>I103+K51+D117+M121</f>
        <v>88005.3704468098</v>
      </c>
    </row>
    <row r="4485" spans="1:1" ht="11.75" customHeight="1">
      <c r="A4485" s="1990">
        <f>I103+K51+D117</f>
        <v>39024.570446809812</v>
      </c>
    </row>
    <row r="4486" spans="1:1" ht="11.75" customHeight="1">
      <c r="A4486" s="1990">
        <f>I103+K51</f>
        <v>36006.531012790423</v>
      </c>
    </row>
    <row r="4487" spans="1:1" ht="11.75" customHeight="1">
      <c r="A4487" s="1989">
        <f>1.21*G108*D20*24/1000*D101</f>
        <v>387079.06311359996</v>
      </c>
    </row>
    <row r="4488" spans="1:1" ht="11.75" customHeight="1">
      <c r="A4488" s="1989">
        <f>1.21*G108*D20*24/1000</f>
        <v>156.29328000000001</v>
      </c>
    </row>
    <row r="4489" spans="1:1" ht="11.75" customHeight="1">
      <c r="A4489" s="1989">
        <f>1.21*G108*D20*24</f>
        <v>156293.28</v>
      </c>
    </row>
    <row r="4490" spans="1:1" ht="11.75" customHeight="1">
      <c r="A4490" s="1989">
        <f>1.21*G108*D20</f>
        <v>6512.22</v>
      </c>
    </row>
    <row r="4491" spans="1:1" ht="11.75" customHeight="1">
      <c r="A4491" s="1989">
        <f>1.21*G108</f>
        <v>1.4157</v>
      </c>
    </row>
    <row r="4492" spans="1:1" ht="11.75" customHeight="1">
      <c r="A4492" s="1989" t="b">
        <f>D108="Measured"</f>
        <v>0</v>
      </c>
    </row>
    <row r="4493" spans="1:1" ht="11.75" customHeight="1">
      <c r="A4493" s="1989">
        <f>G109*D105/D101*3.6</f>
        <v>17.44312813431209</v>
      </c>
    </row>
    <row r="4494" spans="1:1" ht="11.75" customHeight="1">
      <c r="A4494" s="1989">
        <f>G109*D105</f>
        <v>12000</v>
      </c>
    </row>
    <row r="4495" spans="1:1" ht="11.75" customHeight="1">
      <c r="A4495" s="1989">
        <f>D101*3.6</f>
        <v>8915.8319999999985</v>
      </c>
    </row>
    <row r="4496" spans="1:1" ht="11.75" customHeight="1">
      <c r="A4496" s="1989">
        <f>IF(D108="AL-1A",0.89,IF(D108="AL-2A",0.71,IF(D108="AL-3A",0.53,IF(D108="AL-4A",0.35,IF(D108="AL-5A",0.21,IF(D108="AL-1B",1.17,IF(D108="AL-2B",0.98,IF(D108="AL-3B",0.78,IF(D108="AL-4B",0.59,IF(D108="AL-5B",0.39,IF(D108="AL-6B",0.23,IF(D108="PH Classic",0.6*D105/D101*3.6,IF(D108="PH Low",1*D105/D101*3.6,IF(D108="PH+",0.1))))))))))))))</f>
        <v>1.17</v>
      </c>
    </row>
    <row r="4497" spans="1:1" ht="11.75" customHeight="1">
      <c r="A4497" s="1989" t="b">
        <f>D108="AL-1A"</f>
        <v>0</v>
      </c>
    </row>
    <row r="4498" spans="1:1" ht="11.75" customHeight="1">
      <c r="A4498" s="1989">
        <f>IF(D108="AL-2A",0.71,IF(D108="AL-3A",0.53,IF(D108="AL-4A",0.35,IF(D108="AL-5A",0.21,IF(D108="AL-1B",1.17,IF(D108="AL-2B",0.98,IF(D108="AL-3B",0.78,IF(D108="AL-4B",0.59,IF(D108="AL-5B",0.39,IF(D108="AL-6B",0.23,IF(D108="PH Classic",0.6*D105/D101*3.6,IF(D108="PH Low",1*D105/D101*3.6,IF(D108="PH+",0.1)))))))))))))</f>
        <v>1.17</v>
      </c>
    </row>
    <row r="4499" spans="1:1" ht="11.75" customHeight="1">
      <c r="A4499" s="1989" t="b">
        <f>D108="AL-2A"</f>
        <v>0</v>
      </c>
    </row>
    <row r="4500" spans="1:1" ht="11.75" customHeight="1">
      <c r="A4500" s="1989">
        <f>IF(D108="AL-3A",0.53,IF(D108="AL-4A",0.35,IF(D108="AL-5A",0.21,IF(D108="AL-1B",1.17,IF(D108="AL-2B",0.98,IF(D108="AL-3B",0.78,IF(D108="AL-4B",0.59,IF(D108="AL-5B",0.39,IF(D108="AL-6B",0.23,IF(D108="PH Classic",0.6*D105/D101*3.6,IF(D108="PH Low",1*D105/D101*3.6,IF(D108="PH+",0.1))))))))))))</f>
        <v>1.17</v>
      </c>
    </row>
    <row r="4501" spans="1:1" ht="11.75" customHeight="1">
      <c r="A4501" s="1989" t="b">
        <f>D108="AL-3A"</f>
        <v>0</v>
      </c>
    </row>
    <row r="4502" spans="1:1" ht="11.75" customHeight="1">
      <c r="A4502" s="1989">
        <f>IF(D108="AL-4A",0.35,IF(D108="AL-5A",0.21,IF(D108="AL-1B",1.17,IF(D108="AL-2B",0.98,IF(D108="AL-3B",0.78,IF(D108="AL-4B",0.59,IF(D108="AL-5B",0.39,IF(D108="AL-6B",0.23,IF(D108="PH Classic",0.6*D105/D101*3.6,IF(D108="PH Low",1*D105/D101*3.6,IF(D108="PH+",0.1)))))))))))</f>
        <v>1.17</v>
      </c>
    </row>
    <row r="4503" spans="1:1" ht="11.75" customHeight="1">
      <c r="A4503" s="1989" t="b">
        <f>D108="AL-4A"</f>
        <v>0</v>
      </c>
    </row>
    <row r="4504" spans="1:1" ht="11.75" customHeight="1">
      <c r="A4504" s="1989">
        <f>IF(D108="AL-5A",0.21,IF(D108="AL-1B",1.17,IF(D108="AL-2B",0.98,IF(D108="AL-3B",0.78,IF(D108="AL-4B",0.59,IF(D108="AL-5B",0.39,IF(D108="AL-6B",0.23,IF(D108="PH Classic",0.6*D105/D101*3.6,IF(D108="PH Low",1*D105/D101*3.6,IF(D108="PH+",0.1))))))))))</f>
        <v>1.17</v>
      </c>
    </row>
    <row r="4505" spans="1:1" ht="11.75" customHeight="1">
      <c r="A4505" s="1989" t="b">
        <f>D108="AL-5A"</f>
        <v>0</v>
      </c>
    </row>
    <row r="4506" spans="1:1" ht="11.75" customHeight="1">
      <c r="A4506" s="1989">
        <f>IF(D108="AL-1B",1.17,IF(D108="AL-2B",0.98,IF(D108="AL-3B",0.78,IF(D108="AL-4B",0.59,IF(D108="AL-5B",0.39,IF(D108="AL-6B",0.23,IF(D108="PH Classic",0.6*D105/D101*3.6,IF(D108="PH Low",1*D105/D101*3.6,IF(D108="PH+",0.1)))))))))</f>
        <v>1.17</v>
      </c>
    </row>
    <row r="4507" spans="1:1" ht="11.75" customHeight="1">
      <c r="A4507" s="1989" t="b">
        <f>D108="AL-1B"</f>
        <v>1</v>
      </c>
    </row>
    <row r="4508" spans="1:1" ht="11.75" customHeight="1">
      <c r="A4508" s="1989" t="b">
        <f>IF(D108="AL-2B",0.98,IF(D108="AL-3B",0.78,IF(D108="AL-4B",0.59,IF(D108="AL-5B",0.39,IF(D108="AL-6B",0.23,IF(D108="PH Classic",0.6*D105/D101*3.6,IF(D108="PH Low",1*D105/D101*3.6,IF(D108="PH+",0.1))))))))</f>
        <v>0</v>
      </c>
    </row>
    <row r="4509" spans="1:1" ht="11.75" customHeight="1">
      <c r="A4509" s="1989" t="b">
        <f>D108="AL-2B"</f>
        <v>0</v>
      </c>
    </row>
    <row r="4510" spans="1:1" ht="11.75" customHeight="1">
      <c r="A4510" s="1989" t="b">
        <f>IF(D108="AL-3B",0.78,IF(D108="AL-4B",0.59,IF(D108="AL-5B",0.39,IF(D108="AL-6B",0.23,IF(D108="PH Classic",0.6*D105/D101*3.6,IF(D108="PH Low",1*D105/D101*3.6,IF(D108="PH+",0.1)))))))</f>
        <v>0</v>
      </c>
    </row>
    <row r="4511" spans="1:1" ht="11.75" customHeight="1">
      <c r="A4511" s="1989" t="b">
        <f>D108="AL-3B"</f>
        <v>0</v>
      </c>
    </row>
    <row r="4512" spans="1:1" ht="11.75" customHeight="1">
      <c r="A4512" s="1989" t="b">
        <f>IF(D108="AL-4B",0.59,IF(D108="AL-5B",0.39,IF(D108="AL-6B",0.23,IF(D108="PH Classic",0.6*D105/D101*3.6,IF(D108="PH Low",1*D105/D101*3.6,IF(D108="PH+",0.1))))))</f>
        <v>0</v>
      </c>
    </row>
    <row r="4513" spans="1:1" ht="11.75" customHeight="1">
      <c r="A4513" s="1989" t="b">
        <f>D108="AL-4B"</f>
        <v>0</v>
      </c>
    </row>
    <row r="4514" spans="1:1" ht="11.75" customHeight="1">
      <c r="A4514" s="1989" t="b">
        <f>IF(D108="AL-5B",0.39,IF(D108="AL-6B",0.23,IF(D108="PH Classic",0.6*D105/D101*3.6,IF(D108="PH Low",1*D105/D101*3.6,IF(D108="PH+",0.1)))))</f>
        <v>0</v>
      </c>
    </row>
    <row r="4515" spans="1:1" ht="11.75" customHeight="1">
      <c r="A4515" s="1989" t="b">
        <f>D108="AL-5B"</f>
        <v>0</v>
      </c>
    </row>
    <row r="4516" spans="1:1" ht="11.75" customHeight="1">
      <c r="A4516" s="1989" t="b">
        <f>IF(D108="AL-6B",0.23,IF(D108="PH Classic",0.6*D105/D101*3.6,IF(D108="PH Low",1*D105/D101*3.6,IF(D108="PH+",0.1))))</f>
        <v>0</v>
      </c>
    </row>
    <row r="4517" spans="1:1" ht="11.75" customHeight="1">
      <c r="A4517" s="1989" t="b">
        <f>D108="AL-6B"</f>
        <v>0</v>
      </c>
    </row>
    <row r="4518" spans="1:1" ht="11.75" customHeight="1">
      <c r="A4518" s="1989" t="b">
        <f>IF(D108="PH Classic",0.6*D105/D101*3.6,IF(D108="PH Low",1*D105/D101*3.6,IF(D108="PH+",0.1)))</f>
        <v>0</v>
      </c>
    </row>
    <row r="4519" spans="1:1" ht="11.75" customHeight="1">
      <c r="A4519" s="1989" t="b">
        <f>D108="PH Classic"</f>
        <v>0</v>
      </c>
    </row>
    <row r="4520" spans="1:1" ht="11.75" customHeight="1">
      <c r="A4520" s="1989">
        <f>0.6*D105/D101*3.6</f>
        <v>6.9772512537248366</v>
      </c>
    </row>
    <row r="4521" spans="1:1" ht="11.75" customHeight="1">
      <c r="A4521" s="1989">
        <f>0.6*D105</f>
        <v>4800</v>
      </c>
    </row>
    <row r="4522" spans="1:1" ht="11.75" customHeight="1">
      <c r="A4522" s="1989">
        <f>D101*3.6</f>
        <v>8915.8319999999985</v>
      </c>
    </row>
    <row r="4523" spans="1:1" ht="11.75" customHeight="1">
      <c r="A4523" s="1989" t="b">
        <f>IF(D108="PH Low",1*D105/D101*3.6,IF(D108="PH+",0.1))</f>
        <v>0</v>
      </c>
    </row>
    <row r="4524" spans="1:1" ht="11.75" customHeight="1">
      <c r="A4524" s="1989" t="b">
        <f>D108="PH Low"</f>
        <v>0</v>
      </c>
    </row>
    <row r="4525" spans="1:1" ht="11.75" customHeight="1">
      <c r="A4525" s="1989">
        <f>1*D105/D101*3.6</f>
        <v>11.628752089541393</v>
      </c>
    </row>
    <row r="4526" spans="1:1" ht="11.75" customHeight="1">
      <c r="A4526" s="1989">
        <f>1*D105</f>
        <v>8000</v>
      </c>
    </row>
    <row r="4527" spans="1:1" ht="11.75" customHeight="1">
      <c r="A4527" s="1989">
        <f>D101*3.6</f>
        <v>8915.8319999999985</v>
      </c>
    </row>
    <row r="4528" spans="1:1" ht="11.75" customHeight="1">
      <c r="A4528" s="1989" t="b">
        <f>IF(D108="PH+",0.1)</f>
        <v>0</v>
      </c>
    </row>
    <row r="4529" spans="1:1" ht="11.75" customHeight="1">
      <c r="A4529" s="1989">
        <f>IF(D113="Heatpump",K51+D117+D114+M43+H70,IF(D113="Gas",K51+D117+M43+H70))</f>
        <v>132765.64793897627</v>
      </c>
    </row>
    <row r="4530" spans="1:1" ht="11.75" customHeight="1">
      <c r="A4530" s="1989" t="b">
        <f>D113="Heatpump"</f>
        <v>1</v>
      </c>
    </row>
    <row r="4531" spans="1:1" ht="11.75" customHeight="1">
      <c r="A4531" s="1990">
        <f>K51+D117+D114+M43+H70</f>
        <v>132765.64793897627</v>
      </c>
    </row>
    <row r="4532" spans="1:1" ht="11.75" customHeight="1">
      <c r="A4532" s="1989" t="b">
        <f>IF(D113="Gas",K51+D117+M43+H70)</f>
        <v>0</v>
      </c>
    </row>
    <row r="4533" spans="1:1" ht="11.75" customHeight="1">
      <c r="A4533" s="1989">
        <f>SUM(D44:D46)</f>
        <v>0</v>
      </c>
    </row>
    <row r="4534" spans="1:1" ht="11.75" customHeight="1">
      <c r="A4534" s="1990">
        <f>I44+I45</f>
        <v>0</v>
      </c>
    </row>
    <row r="4535" spans="1:1" ht="11.75" customHeight="1">
      <c r="A4535" s="1989">
        <f>H28*0.0373</f>
        <v>0</v>
      </c>
    </row>
    <row r="4536" spans="1:1" ht="11.75" customHeight="1">
      <c r="A4536" s="1989">
        <f>H30*36.72</f>
        <v>0</v>
      </c>
    </row>
    <row r="4537" spans="1:1" ht="11.75" customHeight="1">
      <c r="A4537" s="1990">
        <f>H27-D43</f>
        <v>132765.64793897627</v>
      </c>
    </row>
    <row r="4538" spans="1:1" ht="11.75" customHeight="1">
      <c r="A4538" s="1989" t="b">
        <f>D113="Electricity"</f>
        <v>0</v>
      </c>
    </row>
    <row r="4539" spans="1:1" ht="11.75" customHeight="1">
      <c r="A4539" s="1990">
        <f>I103+K51+D117+M121+I101+I102+M43+SUM(H65:H67)</f>
        <v>265287.6445956853</v>
      </c>
    </row>
    <row r="4540" spans="1:1" ht="11.75" customHeight="1">
      <c r="A4540" s="1990">
        <f>I103+K51+D117+M121+I101+I102+M43</f>
        <v>180897.30859568529</v>
      </c>
    </row>
    <row r="4541" spans="1:1" ht="11.75" customHeight="1">
      <c r="A4541" s="1990">
        <f>I103+K51+D117+M121+I101+I102</f>
        <v>180897.30859568529</v>
      </c>
    </row>
    <row r="4542" spans="1:1" ht="11.75" customHeight="1">
      <c r="A4542" s="1990">
        <f>I103+K51+D117+M121+I101</f>
        <v>164109.06314703665</v>
      </c>
    </row>
    <row r="4543" spans="1:1" ht="11.75" customHeight="1">
      <c r="A4543" s="1990">
        <f>I103+K51+D117+M121</f>
        <v>88005.3704468098</v>
      </c>
    </row>
    <row r="4544" spans="1:1" ht="11.75" customHeight="1">
      <c r="A4544" s="1990">
        <f>I103+K51+D117</f>
        <v>39024.570446809812</v>
      </c>
    </row>
    <row r="4545" spans="1:1" ht="11.75" customHeight="1">
      <c r="A4545" s="1990">
        <f>I103+K51</f>
        <v>36006.531012790423</v>
      </c>
    </row>
    <row r="4546" spans="1:1" ht="11.75" customHeight="1">
      <c r="A4546" s="1989">
        <f>1.21*G108*D20*24/1000*D101</f>
        <v>387079.06311359996</v>
      </c>
    </row>
    <row r="4547" spans="1:1" ht="11.75" customHeight="1">
      <c r="A4547" s="1989">
        <f>1.21*G108*D20*24/1000</f>
        <v>156.29328000000001</v>
      </c>
    </row>
    <row r="4548" spans="1:1" ht="11.75" customHeight="1">
      <c r="A4548" s="1989">
        <f>1.21*G108*D20*24</f>
        <v>156293.28</v>
      </c>
    </row>
    <row r="4549" spans="1:1" ht="11.75" customHeight="1">
      <c r="A4549" s="1989">
        <f>1.21*G108*D20</f>
        <v>6512.22</v>
      </c>
    </row>
    <row r="4550" spans="1:1" ht="11.75" customHeight="1">
      <c r="A4550" s="1989">
        <f>1.21*G108</f>
        <v>1.4157</v>
      </c>
    </row>
    <row r="4551" spans="1:1" ht="11.75" customHeight="1">
      <c r="A4551" s="1989" t="b">
        <f>D108="Measured"</f>
        <v>0</v>
      </c>
    </row>
    <row r="4552" spans="1:1" ht="11.75" customHeight="1">
      <c r="A4552" s="1989">
        <f>G109*D105/D101*3.6</f>
        <v>17.44312813431209</v>
      </c>
    </row>
    <row r="4553" spans="1:1" ht="11.75" customHeight="1">
      <c r="A4553" s="1989">
        <f>G109*D105</f>
        <v>12000</v>
      </c>
    </row>
    <row r="4554" spans="1:1" ht="11.75" customHeight="1">
      <c r="A4554" s="1989">
        <f>D101*3.6</f>
        <v>8915.8319999999985</v>
      </c>
    </row>
    <row r="4555" spans="1:1" ht="11.75" customHeight="1">
      <c r="A4555" s="1989">
        <f>IF(D108="AL-1A",0.89,IF(D108="AL-2A",0.71,IF(D108="AL-3A",0.53,IF(D108="AL-4A",0.35,IF(D108="AL-5A",0.21,IF(D108="AL-1B",1.17,IF(D108="AL-2B",0.98,IF(D108="AL-3B",0.78,IF(D108="AL-4B",0.59,IF(D108="AL-5B",0.39,IF(D108="AL-6B",0.23,IF(D108="PH Classic",0.6*D105/D101*3.6,IF(D108="PH Low",1*D105/D101*3.6,IF(D108="PH+",0.1))))))))))))))</f>
        <v>1.17</v>
      </c>
    </row>
    <row r="4556" spans="1:1" ht="11.75" customHeight="1">
      <c r="A4556" s="1989" t="b">
        <f>D108="AL-1A"</f>
        <v>0</v>
      </c>
    </row>
    <row r="4557" spans="1:1" ht="11.75" customHeight="1">
      <c r="A4557" s="1989">
        <f>IF(D108="AL-2A",0.71,IF(D108="AL-3A",0.53,IF(D108="AL-4A",0.35,IF(D108="AL-5A",0.21,IF(D108="AL-1B",1.17,IF(D108="AL-2B",0.98,IF(D108="AL-3B",0.78,IF(D108="AL-4B",0.59,IF(D108="AL-5B",0.39,IF(D108="AL-6B",0.23,IF(D108="PH Classic",0.6*D105/D101*3.6,IF(D108="PH Low",1*D105/D101*3.6,IF(D108="PH+",0.1)))))))))))))</f>
        <v>1.17</v>
      </c>
    </row>
    <row r="4558" spans="1:1" ht="11.75" customHeight="1">
      <c r="A4558" s="1989" t="b">
        <f>D108="AL-2A"</f>
        <v>0</v>
      </c>
    </row>
    <row r="4559" spans="1:1" ht="11.75" customHeight="1">
      <c r="A4559" s="1989">
        <f>IF(D108="AL-3A",0.53,IF(D108="AL-4A",0.35,IF(D108="AL-5A",0.21,IF(D108="AL-1B",1.17,IF(D108="AL-2B",0.98,IF(D108="AL-3B",0.78,IF(D108="AL-4B",0.59,IF(D108="AL-5B",0.39,IF(D108="AL-6B",0.23,IF(D108="PH Classic",0.6*D105/D101*3.6,IF(D108="PH Low",1*D105/D101*3.6,IF(D108="PH+",0.1))))))))))))</f>
        <v>1.17</v>
      </c>
    </row>
    <row r="4560" spans="1:1" ht="11.75" customHeight="1">
      <c r="A4560" s="1989" t="b">
        <f>D108="AL-3A"</f>
        <v>0</v>
      </c>
    </row>
    <row r="4561" spans="1:1" ht="11.75" customHeight="1">
      <c r="A4561" s="1989">
        <f>IF(D108="AL-4A",0.35,IF(D108="AL-5A",0.21,IF(D108="AL-1B",1.17,IF(D108="AL-2B",0.98,IF(D108="AL-3B",0.78,IF(D108="AL-4B",0.59,IF(D108="AL-5B",0.39,IF(D108="AL-6B",0.23,IF(D108="PH Classic",0.6*D105/D101*3.6,IF(D108="PH Low",1*D105/D101*3.6,IF(D108="PH+",0.1)))))))))))</f>
        <v>1.17</v>
      </c>
    </row>
    <row r="4562" spans="1:1" ht="11.75" customHeight="1">
      <c r="A4562" s="1989" t="b">
        <f>D108="AL-4A"</f>
        <v>0</v>
      </c>
    </row>
    <row r="4563" spans="1:1" ht="11.75" customHeight="1">
      <c r="A4563" s="1989">
        <f>IF(D108="AL-5A",0.21,IF(D108="AL-1B",1.17,IF(D108="AL-2B",0.98,IF(D108="AL-3B",0.78,IF(D108="AL-4B",0.59,IF(D108="AL-5B",0.39,IF(D108="AL-6B",0.23,IF(D108="PH Classic",0.6*D105/D101*3.6,IF(D108="PH Low",1*D105/D101*3.6,IF(D108="PH+",0.1))))))))))</f>
        <v>1.17</v>
      </c>
    </row>
    <row r="4564" spans="1:1" ht="11.75" customHeight="1">
      <c r="A4564" s="1989" t="b">
        <f>D108="AL-5A"</f>
        <v>0</v>
      </c>
    </row>
    <row r="4565" spans="1:1" ht="11.75" customHeight="1">
      <c r="A4565" s="1989">
        <f>IF(D108="AL-1B",1.17,IF(D108="AL-2B",0.98,IF(D108="AL-3B",0.78,IF(D108="AL-4B",0.59,IF(D108="AL-5B",0.39,IF(D108="AL-6B",0.23,IF(D108="PH Classic",0.6*D105/D101*3.6,IF(D108="PH Low",1*D105/D101*3.6,IF(D108="PH+",0.1)))))))))</f>
        <v>1.17</v>
      </c>
    </row>
    <row r="4566" spans="1:1" ht="11.75" customHeight="1">
      <c r="A4566" s="1989" t="b">
        <f>D108="AL-1B"</f>
        <v>1</v>
      </c>
    </row>
    <row r="4567" spans="1:1" ht="11.75" customHeight="1">
      <c r="A4567" s="1989" t="b">
        <f>IF(D108="AL-2B",0.98,IF(D108="AL-3B",0.78,IF(D108="AL-4B",0.59,IF(D108="AL-5B",0.39,IF(D108="AL-6B",0.23,IF(D108="PH Classic",0.6*D105/D101*3.6,IF(D108="PH Low",1*D105/D101*3.6,IF(D108="PH+",0.1))))))))</f>
        <v>0</v>
      </c>
    </row>
    <row r="4568" spans="1:1" ht="11.75" customHeight="1">
      <c r="A4568" s="1989" t="b">
        <f>D108="AL-2B"</f>
        <v>0</v>
      </c>
    </row>
    <row r="4569" spans="1:1" ht="11.75" customHeight="1">
      <c r="A4569" s="1989" t="b">
        <f>IF(D108="AL-3B",0.78,IF(D108="AL-4B",0.59,IF(D108="AL-5B",0.39,IF(D108="AL-6B",0.23,IF(D108="PH Classic",0.6*D105/D101*3.6,IF(D108="PH Low",1*D105/D101*3.6,IF(D108="PH+",0.1)))))))</f>
        <v>0</v>
      </c>
    </row>
    <row r="4570" spans="1:1" ht="11.75" customHeight="1">
      <c r="A4570" s="1989" t="b">
        <f>D108="AL-3B"</f>
        <v>0</v>
      </c>
    </row>
    <row r="4571" spans="1:1" ht="11.75" customHeight="1">
      <c r="A4571" s="1989" t="b">
        <f>IF(D108="AL-4B",0.59,IF(D108="AL-5B",0.39,IF(D108="AL-6B",0.23,IF(D108="PH Classic",0.6*D105/D101*3.6,IF(D108="PH Low",1*D105/D101*3.6,IF(D108="PH+",0.1))))))</f>
        <v>0</v>
      </c>
    </row>
    <row r="4572" spans="1:1" ht="11.75" customHeight="1">
      <c r="A4572" s="1989" t="b">
        <f>D108="AL-4B"</f>
        <v>0</v>
      </c>
    </row>
    <row r="4573" spans="1:1" ht="11.75" customHeight="1">
      <c r="A4573" s="1989" t="b">
        <f>IF(D108="AL-5B",0.39,IF(D108="AL-6B",0.23,IF(D108="PH Classic",0.6*D105/D101*3.6,IF(D108="PH Low",1*D105/D101*3.6,IF(D108="PH+",0.1)))))</f>
        <v>0</v>
      </c>
    </row>
    <row r="4574" spans="1:1" ht="11.75" customHeight="1">
      <c r="A4574" s="1989" t="b">
        <f>D108="AL-5B"</f>
        <v>0</v>
      </c>
    </row>
    <row r="4575" spans="1:1" ht="11.75" customHeight="1">
      <c r="A4575" s="1989" t="b">
        <f>IF(D108="AL-6B",0.23,IF(D108="PH Classic",0.6*D105/D101*3.6,IF(D108="PH Low",1*D105/D101*3.6,IF(D108="PH+",0.1))))</f>
        <v>0</v>
      </c>
    </row>
    <row r="4576" spans="1:1" ht="11.75" customHeight="1">
      <c r="A4576" s="1989" t="b">
        <f>D108="AL-6B"</f>
        <v>0</v>
      </c>
    </row>
    <row r="4577" spans="1:1" ht="11.75" customHeight="1">
      <c r="A4577" s="1989" t="b">
        <f>IF(D108="PH Classic",0.6*D105/D101*3.6,IF(D108="PH Low",1*D105/D101*3.6,IF(D108="PH+",0.1)))</f>
        <v>0</v>
      </c>
    </row>
    <row r="4578" spans="1:1" ht="11.75" customHeight="1">
      <c r="A4578" s="1989" t="b">
        <f>D108="PH Classic"</f>
        <v>0</v>
      </c>
    </row>
    <row r="4579" spans="1:1" ht="11.75" customHeight="1">
      <c r="A4579" s="1989">
        <f>0.6*D105/D101*3.6</f>
        <v>6.9772512537248366</v>
      </c>
    </row>
    <row r="4580" spans="1:1" ht="11.75" customHeight="1">
      <c r="A4580" s="1989">
        <f>0.6*D105</f>
        <v>4800</v>
      </c>
    </row>
    <row r="4581" spans="1:1" ht="11.75" customHeight="1">
      <c r="A4581" s="1989">
        <f>D101*3.6</f>
        <v>8915.8319999999985</v>
      </c>
    </row>
    <row r="4582" spans="1:1" ht="11.75" customHeight="1">
      <c r="A4582" s="1989" t="b">
        <f>IF(D108="PH Low",1*D105/D101*3.6,IF(D108="PH+",0.1))</f>
        <v>0</v>
      </c>
    </row>
    <row r="4583" spans="1:1" ht="11.75" customHeight="1">
      <c r="A4583" s="1989" t="b">
        <f>D108="PH Low"</f>
        <v>0</v>
      </c>
    </row>
    <row r="4584" spans="1:1" ht="11.75" customHeight="1">
      <c r="A4584" s="1989">
        <f>1*D105/D101*3.6</f>
        <v>11.628752089541393</v>
      </c>
    </row>
    <row r="4585" spans="1:1" ht="11.75" customHeight="1">
      <c r="A4585" s="1989">
        <f>1*D105</f>
        <v>8000</v>
      </c>
    </row>
    <row r="4586" spans="1:1" ht="11.75" customHeight="1">
      <c r="A4586" s="1989">
        <f>D101*3.6</f>
        <v>8915.8319999999985</v>
      </c>
    </row>
    <row r="4587" spans="1:1" ht="11.75" customHeight="1">
      <c r="A4587" s="1989" t="b">
        <f>IF(D108="PH+",0.1)</f>
        <v>0</v>
      </c>
    </row>
    <row r="4588" spans="1:1" ht="11.75" customHeight="1">
      <c r="A4588" s="1989" t="b">
        <f>D108="PH+"</f>
        <v>0</v>
      </c>
    </row>
    <row r="4589" spans="1:1" ht="11.75" customHeight="1">
      <c r="A4589" s="1989">
        <f>IF(H20="Present",VLOOKUP(H19,CANADA!A6:K699,9,FALSE),VLOOKUP(H19,CANADA!A6:K699,11,FALSE))</f>
        <v>4600</v>
      </c>
    </row>
    <row r="4590" spans="1:1" ht="11.75" customHeight="1">
      <c r="A4590" s="1989">
        <f>MATCH('NRL50-n-Factors'!D34,'NRL50-n-Factors'!C38:C49,0)</f>
        <v>5</v>
      </c>
    </row>
    <row r="4591" spans="1:1" ht="11.75" customHeight="1">
      <c r="A4591" s="1989">
        <f>MATCH(REPORT!D103,'NRL50-n-Factors'!D37:J37,0)</f>
        <v>2</v>
      </c>
    </row>
    <row r="4592" spans="1:1" ht="11.75" customHeight="1">
      <c r="A4592" s="1990">
        <f>H27-D43</f>
        <v>132765.64793897627</v>
      </c>
    </row>
    <row r="4593" spans="1:1" ht="11.75" customHeight="1">
      <c r="A4593" s="1989" t="b">
        <f>D113="Electricity"</f>
        <v>0</v>
      </c>
    </row>
    <row r="4594" spans="1:1" ht="11.75" customHeight="1">
      <c r="A4594" s="1990">
        <f>I103+K51+D117+M121+I101+I102+M43+SUM(H65:H67)</f>
        <v>265287.6445956853</v>
      </c>
    </row>
    <row r="4595" spans="1:1" ht="11.75" customHeight="1">
      <c r="A4595" s="1990">
        <f>I103+K51+D117+M121+I101+I102+M43</f>
        <v>180897.30859568529</v>
      </c>
    </row>
    <row r="4596" spans="1:1" ht="11.75" customHeight="1">
      <c r="A4596" s="1990">
        <f>I103+K51+D117+M121+I101+I102</f>
        <v>180897.30859568529</v>
      </c>
    </row>
    <row r="4597" spans="1:1" ht="11.75" customHeight="1">
      <c r="A4597" s="1990">
        <f>I103+K51+D117+M121+I101</f>
        <v>164109.06314703665</v>
      </c>
    </row>
    <row r="4598" spans="1:1" ht="11.75" customHeight="1">
      <c r="A4598" s="1990">
        <f>I103+K51+D117+M121</f>
        <v>88005.3704468098</v>
      </c>
    </row>
    <row r="4599" spans="1:1" ht="11.75" customHeight="1">
      <c r="A4599" s="1990">
        <f>I103+K51+D117</f>
        <v>39024.570446809812</v>
      </c>
    </row>
    <row r="4600" spans="1:1" ht="11.75" customHeight="1">
      <c r="A4600" s="1990">
        <f>I103+K51</f>
        <v>36006.531012790423</v>
      </c>
    </row>
    <row r="4601" spans="1:1" ht="11.75" customHeight="1">
      <c r="A4601" s="1989">
        <f>1.21*G108*D20*24/1000*D101</f>
        <v>387079.06311359996</v>
      </c>
    </row>
    <row r="4602" spans="1:1" ht="11.75" customHeight="1">
      <c r="A4602" s="1989">
        <f>1.21*G108*D20*24/1000</f>
        <v>156.29328000000001</v>
      </c>
    </row>
    <row r="4603" spans="1:1" ht="11.75" customHeight="1">
      <c r="A4603" s="1989">
        <f>1.21*G108*D20*24</f>
        <v>156293.28</v>
      </c>
    </row>
    <row r="4604" spans="1:1" ht="11.75" customHeight="1">
      <c r="A4604" s="1989">
        <f>1.21*G108*D20</f>
        <v>6512.22</v>
      </c>
    </row>
    <row r="4605" spans="1:1" ht="11.75" customHeight="1">
      <c r="A4605" s="1989">
        <f>1.21*G108</f>
        <v>1.4157</v>
      </c>
    </row>
    <row r="4606" spans="1:1" ht="11.75" customHeight="1">
      <c r="A4606" s="1989" t="b">
        <f>D108="Measured"</f>
        <v>0</v>
      </c>
    </row>
    <row r="4607" spans="1:1" ht="11.75" customHeight="1">
      <c r="A4607" s="1989">
        <f>G109*D105/D101*3.6</f>
        <v>17.44312813431209</v>
      </c>
    </row>
    <row r="4608" spans="1:1" ht="11.75" customHeight="1">
      <c r="A4608" s="1989">
        <f>G109*D105</f>
        <v>12000</v>
      </c>
    </row>
    <row r="4609" spans="1:1" ht="11.75" customHeight="1">
      <c r="A4609" s="1989">
        <f>D101*3.6</f>
        <v>8915.8319999999985</v>
      </c>
    </row>
    <row r="4610" spans="1:1" ht="11.75" customHeight="1">
      <c r="A4610" s="1989">
        <f>IF(D108="AL-1A",0.89,IF(D108="AL-2A",0.71,IF(D108="AL-3A",0.53,IF(D108="AL-4A",0.35,IF(D108="AL-5A",0.21,IF(D108="AL-1B",1.17,IF(D108="AL-2B",0.98,IF(D108="AL-3B",0.78,IF(D108="AL-4B",0.59,IF(D108="AL-5B",0.39,IF(D108="AL-6B",0.23,IF(D108="PH Classic",0.6*D105/D101*3.6,IF(D108="PH Low",1*D105/D101*3.6,IF(D108="PH+",0.1))))))))))))))</f>
        <v>1.17</v>
      </c>
    </row>
    <row r="4611" spans="1:1" ht="11.75" customHeight="1">
      <c r="A4611" s="1989" t="b">
        <f>D108="AL-1A"</f>
        <v>0</v>
      </c>
    </row>
    <row r="4612" spans="1:1" ht="11.75" customHeight="1">
      <c r="A4612" s="1989">
        <f>IF(D108="AL-2A",0.71,IF(D108="AL-3A",0.53,IF(D108="AL-4A",0.35,IF(D108="AL-5A",0.21,IF(D108="AL-1B",1.17,IF(D108="AL-2B",0.98,IF(D108="AL-3B",0.78,IF(D108="AL-4B",0.59,IF(D108="AL-5B",0.39,IF(D108="AL-6B",0.23,IF(D108="PH Classic",0.6*D105/D101*3.6,IF(D108="PH Low",1*D105/D101*3.6,IF(D108="PH+",0.1)))))))))))))</f>
        <v>1.17</v>
      </c>
    </row>
    <row r="4613" spans="1:1" ht="11.75" customHeight="1">
      <c r="A4613" s="1989" t="b">
        <f>D108="AL-2A"</f>
        <v>0</v>
      </c>
    </row>
    <row r="4614" spans="1:1" ht="11.75" customHeight="1">
      <c r="A4614" s="1989">
        <f>IF(D108="AL-3A",0.53,IF(D108="AL-4A",0.35,IF(D108="AL-5A",0.21,IF(D108="AL-1B",1.17,IF(D108="AL-2B",0.98,IF(D108="AL-3B",0.78,IF(D108="AL-4B",0.59,IF(D108="AL-5B",0.39,IF(D108="AL-6B",0.23,IF(D108="PH Classic",0.6*D105/D101*3.6,IF(D108="PH Low",1*D105/D101*3.6,IF(D108="PH+",0.1))))))))))))</f>
        <v>1.17</v>
      </c>
    </row>
    <row r="4615" spans="1:1" ht="11.75" customHeight="1">
      <c r="A4615" s="1989" t="b">
        <f>D108="AL-3A"</f>
        <v>0</v>
      </c>
    </row>
    <row r="4616" spans="1:1" ht="11.75" customHeight="1">
      <c r="A4616" s="1989">
        <f>IF(D108="AL-4A",0.35,IF(D108="AL-5A",0.21,IF(D108="AL-1B",1.17,IF(D108="AL-2B",0.98,IF(D108="AL-3B",0.78,IF(D108="AL-4B",0.59,IF(D108="AL-5B",0.39,IF(D108="AL-6B",0.23,IF(D108="PH Classic",0.6*D105/D101*3.6,IF(D108="PH Low",1*D105/D101*3.6,IF(D108="PH+",0.1)))))))))))</f>
        <v>1.17</v>
      </c>
    </row>
    <row r="4617" spans="1:1" ht="11.75" customHeight="1">
      <c r="A4617" s="1989" t="b">
        <f>D108="AL-4A"</f>
        <v>0</v>
      </c>
    </row>
    <row r="4618" spans="1:1" ht="11.75" customHeight="1">
      <c r="A4618" s="1989">
        <f>IF(D108="AL-5A",0.21,IF(D108="AL-1B",1.17,IF(D108="AL-2B",0.98,IF(D108="AL-3B",0.78,IF(D108="AL-4B",0.59,IF(D108="AL-5B",0.39,IF(D108="AL-6B",0.23,IF(D108="PH Classic",0.6*D105/D101*3.6,IF(D108="PH Low",1*D105/D101*3.6,IF(D108="PH+",0.1))))))))))</f>
        <v>1.17</v>
      </c>
    </row>
    <row r="4619" spans="1:1" ht="11.75" customHeight="1">
      <c r="A4619" s="1989" t="b">
        <f>D108="AL-5A"</f>
        <v>0</v>
      </c>
    </row>
    <row r="4620" spans="1:1" ht="11.75" customHeight="1">
      <c r="A4620" s="1989">
        <f>IF(D108="AL-1B",1.17,IF(D108="AL-2B",0.98,IF(D108="AL-3B",0.78,IF(D108="AL-4B",0.59,IF(D108="AL-5B",0.39,IF(D108="AL-6B",0.23,IF(D108="PH Classic",0.6*D105/D101*3.6,IF(D108="PH Low",1*D105/D101*3.6,IF(D108="PH+",0.1)))))))))</f>
        <v>1.17</v>
      </c>
    </row>
    <row r="4621" spans="1:1" ht="11.75" customHeight="1">
      <c r="A4621" s="1989" t="b">
        <f>D108="AL-1B"</f>
        <v>1</v>
      </c>
    </row>
    <row r="4622" spans="1:1" ht="11.75" customHeight="1">
      <c r="A4622" s="1989" t="b">
        <f>IF(D108="AL-2B",0.98,IF(D108="AL-3B",0.78,IF(D108="AL-4B",0.59,IF(D108="AL-5B",0.39,IF(D108="AL-6B",0.23,IF(D108="PH Classic",0.6*D105/D101*3.6,IF(D108="PH Low",1*D105/D101*3.6,IF(D108="PH+",0.1))))))))</f>
        <v>0</v>
      </c>
    </row>
    <row r="4623" spans="1:1" ht="11.75" customHeight="1">
      <c r="A4623" s="1989" t="b">
        <f>D108="AL-2B"</f>
        <v>0</v>
      </c>
    </row>
    <row r="4624" spans="1:1" ht="11.75" customHeight="1">
      <c r="A4624" s="1989" t="b">
        <f>IF(D108="AL-3B",0.78,IF(D108="AL-4B",0.59,IF(D108="AL-5B",0.39,IF(D108="AL-6B",0.23,IF(D108="PH Classic",0.6*D105/D101*3.6,IF(D108="PH Low",1*D105/D101*3.6,IF(D108="PH+",0.1)))))))</f>
        <v>0</v>
      </c>
    </row>
    <row r="4625" spans="1:1" ht="11.75" customHeight="1">
      <c r="A4625" s="1989" t="b">
        <f>D108="AL-3B"</f>
        <v>0</v>
      </c>
    </row>
    <row r="4626" spans="1:1" ht="11.75" customHeight="1">
      <c r="A4626" s="1989" t="b">
        <f>IF(D108="AL-4B",0.59,IF(D108="AL-5B",0.39,IF(D108="AL-6B",0.23,IF(D108="PH Classic",0.6*D105/D101*3.6,IF(D108="PH Low",1*D105/D101*3.6,IF(D108="PH+",0.1))))))</f>
        <v>0</v>
      </c>
    </row>
    <row r="4627" spans="1:1" ht="11.75" customHeight="1">
      <c r="A4627" s="1989" t="b">
        <f>D108="AL-4B"</f>
        <v>0</v>
      </c>
    </row>
    <row r="4628" spans="1:1" ht="11.75" customHeight="1">
      <c r="A4628" s="1989" t="b">
        <f>IF(D108="AL-5B",0.39,IF(D108="AL-6B",0.23,IF(D108="PH Classic",0.6*D105/D101*3.6,IF(D108="PH Low",1*D105/D101*3.6,IF(D108="PH+",0.1)))))</f>
        <v>0</v>
      </c>
    </row>
    <row r="4629" spans="1:1" ht="11.75" customHeight="1">
      <c r="A4629" s="1989" t="b">
        <f>D108="AL-5B"</f>
        <v>0</v>
      </c>
    </row>
    <row r="4630" spans="1:1" ht="11.75" customHeight="1">
      <c r="A4630" s="1989" t="b">
        <f>IF(D108="AL-6B",0.23,IF(D108="PH Classic",0.6*D105/D101*3.6,IF(D108="PH Low",1*D105/D101*3.6,IF(D108="PH+",0.1))))</f>
        <v>0</v>
      </c>
    </row>
    <row r="4631" spans="1:1" ht="11.75" customHeight="1">
      <c r="A4631" s="1989" t="b">
        <f>D108="AL-6B"</f>
        <v>0</v>
      </c>
    </row>
    <row r="4632" spans="1:1" ht="11.75" customHeight="1">
      <c r="A4632" s="1989" t="b">
        <f>IF(D108="PH Classic",0.6*D105/D101*3.6,IF(D108="PH Low",1*D105/D101*3.6,IF(D108="PH+",0.1)))</f>
        <v>0</v>
      </c>
    </row>
    <row r="4633" spans="1:1" ht="11.75" customHeight="1">
      <c r="A4633" s="1989" t="b">
        <f>D108="PH Classic"</f>
        <v>0</v>
      </c>
    </row>
    <row r="4634" spans="1:1" ht="11.75" customHeight="1">
      <c r="A4634" s="1989">
        <f>0.6*D105/D101*3.6</f>
        <v>6.9772512537248366</v>
      </c>
    </row>
    <row r="4635" spans="1:1" ht="11.75" customHeight="1">
      <c r="A4635" s="1989">
        <f>0.6*D105</f>
        <v>4800</v>
      </c>
    </row>
    <row r="4636" spans="1:1" ht="11.75" customHeight="1">
      <c r="A4636" s="1989">
        <f>D101*3.6</f>
        <v>8915.8319999999985</v>
      </c>
    </row>
    <row r="4637" spans="1:1" ht="11.75" customHeight="1">
      <c r="A4637" s="1989" t="b">
        <f>IF(D108="PH Low",1*D105/D101*3.6,IF(D108="PH+",0.1))</f>
        <v>0</v>
      </c>
    </row>
    <row r="4638" spans="1:1" ht="11.75" customHeight="1">
      <c r="A4638" s="1989" t="b">
        <f>D108="PH Low"</f>
        <v>0</v>
      </c>
    </row>
    <row r="4639" spans="1:1" ht="11.75" customHeight="1">
      <c r="A4639" s="1989">
        <f>1*D105/D101*3.6</f>
        <v>11.628752089541393</v>
      </c>
    </row>
    <row r="4640" spans="1:1" ht="11.75" customHeight="1">
      <c r="A4640" s="1989">
        <f>1*D105</f>
        <v>8000</v>
      </c>
    </row>
    <row r="4641" spans="1:1" ht="11.75" customHeight="1">
      <c r="A4641" s="1989">
        <f>D101*3.6</f>
        <v>8915.8319999999985</v>
      </c>
    </row>
    <row r="4642" spans="1:1" ht="11.75" customHeight="1">
      <c r="A4642" s="1989" t="b">
        <f>IF(D108="PH+",0.1)</f>
        <v>0</v>
      </c>
    </row>
    <row r="4643" spans="1:1" ht="11.75" customHeight="1">
      <c r="A4643" s="1989" t="b">
        <f>D108="PH+"</f>
        <v>0</v>
      </c>
    </row>
    <row r="4644" spans="1:1" ht="11.75" customHeight="1">
      <c r="A4644" s="1990">
        <f>H27-D43</f>
        <v>132765.64793897627</v>
      </c>
    </row>
    <row r="4645" spans="1:1" ht="11.75" customHeight="1">
      <c r="A4645" s="1989" t="b">
        <f>D113="Electricity"</f>
        <v>0</v>
      </c>
    </row>
    <row r="4646" spans="1:1" ht="11.75" customHeight="1">
      <c r="A4646" s="1990">
        <f>I103+K51+D117+M121+I101+I102+M43+SUM(H65:H67)</f>
        <v>265287.6445956853</v>
      </c>
    </row>
    <row r="4647" spans="1:1" ht="11.75" customHeight="1">
      <c r="A4647" s="1990">
        <f>I103+K51+D117+M121+I101+I102+M43</f>
        <v>180897.30859568529</v>
      </c>
    </row>
    <row r="4648" spans="1:1" ht="11.75" customHeight="1">
      <c r="A4648" s="1990">
        <f>I103+K51+D117+M121+I101+I102</f>
        <v>180897.30859568529</v>
      </c>
    </row>
    <row r="4649" spans="1:1" ht="11.75" customHeight="1">
      <c r="A4649" s="1990">
        <f>I103+K51+D117+M121+I101</f>
        <v>164109.06314703665</v>
      </c>
    </row>
    <row r="4650" spans="1:1" ht="11.75" customHeight="1">
      <c r="A4650" s="1990">
        <f>I103+K51+D117+M121</f>
        <v>88005.3704468098</v>
      </c>
    </row>
    <row r="4651" spans="1:1" ht="11.75" customHeight="1">
      <c r="A4651" s="1990">
        <f>I103+K51+D117</f>
        <v>39024.570446809812</v>
      </c>
    </row>
    <row r="4652" spans="1:1" ht="11.75" customHeight="1">
      <c r="A4652" s="1990">
        <f>I103+K51</f>
        <v>36006.531012790423</v>
      </c>
    </row>
    <row r="4653" spans="1:1" ht="11.75" customHeight="1">
      <c r="A4653" s="1989">
        <f>1.21*G108*D20*24/1000*D101</f>
        <v>387079.06311359996</v>
      </c>
    </row>
    <row r="4654" spans="1:1" ht="11.75" customHeight="1">
      <c r="A4654" s="1989">
        <f>1.21*G108*D20*24/1000</f>
        <v>156.29328000000001</v>
      </c>
    </row>
    <row r="4655" spans="1:1" ht="11.75" customHeight="1">
      <c r="A4655" s="1989">
        <f>1.21*G108*D20*24</f>
        <v>156293.28</v>
      </c>
    </row>
    <row r="4656" spans="1:1" ht="11.75" customHeight="1">
      <c r="A4656" s="1989">
        <f>1.21*G108*D20</f>
        <v>6512.22</v>
      </c>
    </row>
    <row r="4657" spans="1:1" ht="11.75" customHeight="1">
      <c r="A4657" s="1989">
        <f>1.21*G108</f>
        <v>1.4157</v>
      </c>
    </row>
    <row r="4658" spans="1:1" ht="11.75" customHeight="1">
      <c r="A4658" s="1989" t="b">
        <f>D108="Measured"</f>
        <v>0</v>
      </c>
    </row>
    <row r="4659" spans="1:1" ht="11.75" customHeight="1">
      <c r="A4659" s="1989">
        <f>G109*D105/D101*3.6</f>
        <v>17.44312813431209</v>
      </c>
    </row>
    <row r="4660" spans="1:1" ht="11.75" customHeight="1">
      <c r="A4660" s="1989">
        <f>G109*D105</f>
        <v>12000</v>
      </c>
    </row>
    <row r="4661" spans="1:1" ht="11.75" customHeight="1">
      <c r="A4661" s="1989">
        <f>D101*3.6</f>
        <v>8915.8319999999985</v>
      </c>
    </row>
    <row r="4662" spans="1:1" ht="11.75" customHeight="1">
      <c r="A4662" s="1989">
        <f>IF(D108="AL-1A",0.89,IF(D108="AL-2A",0.71,IF(D108="AL-3A",0.53,IF(D108="AL-4A",0.35,IF(D108="AL-5A",0.21,IF(D108="AL-1B",1.17,IF(D108="AL-2B",0.98,IF(D108="AL-3B",0.78,IF(D108="AL-4B",0.59,IF(D108="AL-5B",0.39,IF(D108="AL-6B",0.23,IF(D108="PH Classic",0.6*D105/D101*3.6,IF(D108="PH Low",1*D105/D101*3.6,IF(D108="PH+",0.1))))))))))))))</f>
        <v>1.17</v>
      </c>
    </row>
    <row r="4663" spans="1:1" ht="11.75" customHeight="1">
      <c r="A4663" s="1989" t="b">
        <f>D108="AL-1A"</f>
        <v>0</v>
      </c>
    </row>
    <row r="4664" spans="1:1" ht="11.75" customHeight="1">
      <c r="A4664" s="1989">
        <f>IF(D108="AL-2A",0.71,IF(D108="AL-3A",0.53,IF(D108="AL-4A",0.35,IF(D108="AL-5A",0.21,IF(D108="AL-1B",1.17,IF(D108="AL-2B",0.98,IF(D108="AL-3B",0.78,IF(D108="AL-4B",0.59,IF(D108="AL-5B",0.39,IF(D108="AL-6B",0.23,IF(D108="PH Classic",0.6*D105/D101*3.6,IF(D108="PH Low",1*D105/D101*3.6,IF(D108="PH+",0.1)))))))))))))</f>
        <v>1.17</v>
      </c>
    </row>
    <row r="4665" spans="1:1" ht="11.75" customHeight="1">
      <c r="A4665" s="1989" t="b">
        <f>D108="AL-2A"</f>
        <v>0</v>
      </c>
    </row>
    <row r="4666" spans="1:1" ht="11.75" customHeight="1">
      <c r="A4666" s="1989">
        <f>IF(D108="AL-3A",0.53,IF(D108="AL-4A",0.35,IF(D108="AL-5A",0.21,IF(D108="AL-1B",1.17,IF(D108="AL-2B",0.98,IF(D108="AL-3B",0.78,IF(D108="AL-4B",0.59,IF(D108="AL-5B",0.39,IF(D108="AL-6B",0.23,IF(D108="PH Classic",0.6*D105/D101*3.6,IF(D108="PH Low",1*D105/D101*3.6,IF(D108="PH+",0.1))))))))))))</f>
        <v>1.17</v>
      </c>
    </row>
    <row r="4667" spans="1:1" ht="11.75" customHeight="1">
      <c r="A4667" s="1989" t="b">
        <f>D108="AL-3A"</f>
        <v>0</v>
      </c>
    </row>
    <row r="4668" spans="1:1" ht="11.75" customHeight="1">
      <c r="A4668" s="1989">
        <f>IF(D108="AL-4A",0.35,IF(D108="AL-5A",0.21,IF(D108="AL-1B",1.17,IF(D108="AL-2B",0.98,IF(D108="AL-3B",0.78,IF(D108="AL-4B",0.59,IF(D108="AL-5B",0.39,IF(D108="AL-6B",0.23,IF(D108="PH Classic",0.6*D105/D101*3.6,IF(D108="PH Low",1*D105/D101*3.6,IF(D108="PH+",0.1)))))))))))</f>
        <v>1.17</v>
      </c>
    </row>
    <row r="4669" spans="1:1" ht="11.75" customHeight="1">
      <c r="A4669" s="1989" t="b">
        <f>D108="AL-4A"</f>
        <v>0</v>
      </c>
    </row>
    <row r="4670" spans="1:1" ht="11.75" customHeight="1">
      <c r="A4670" s="1989">
        <f>IF(D108="AL-5A",0.21,IF(D108="AL-1B",1.17,IF(D108="AL-2B",0.98,IF(D108="AL-3B",0.78,IF(D108="AL-4B",0.59,IF(D108="AL-5B",0.39,IF(D108="AL-6B",0.23,IF(D108="PH Classic",0.6*D105/D101*3.6,IF(D108="PH Low",1*D105/D101*3.6,IF(D108="PH+",0.1))))))))))</f>
        <v>1.17</v>
      </c>
    </row>
    <row r="4671" spans="1:1" ht="11.75" customHeight="1">
      <c r="A4671" s="1989" t="b">
        <f>D108="AL-5A"</f>
        <v>0</v>
      </c>
    </row>
    <row r="4672" spans="1:1" ht="11.75" customHeight="1">
      <c r="A4672" s="1989">
        <f>IF(D108="AL-1B",1.17,IF(D108="AL-2B",0.98,IF(D108="AL-3B",0.78,IF(D108="AL-4B",0.59,IF(D108="AL-5B",0.39,IF(D108="AL-6B",0.23,IF(D108="PH Classic",0.6*D105/D101*3.6,IF(D108="PH Low",1*D105/D101*3.6,IF(D108="PH+",0.1)))))))))</f>
        <v>1.17</v>
      </c>
    </row>
    <row r="4673" spans="1:1" ht="11.75" customHeight="1">
      <c r="A4673" s="1989" t="b">
        <f>D108="AL-1B"</f>
        <v>1</v>
      </c>
    </row>
    <row r="4674" spans="1:1" ht="11.75" customHeight="1">
      <c r="A4674" s="1989" t="b">
        <f>IF(D108="AL-2B",0.98,IF(D108="AL-3B",0.78,IF(D108="AL-4B",0.59,IF(D108="AL-5B",0.39,IF(D108="AL-6B",0.23,IF(D108="PH Classic",0.6*D105/D101*3.6,IF(D108="PH Low",1*D105/D101*3.6,IF(D108="PH+",0.1))))))))</f>
        <v>0</v>
      </c>
    </row>
    <row r="4675" spans="1:1" ht="11.75" customHeight="1">
      <c r="A4675" s="1989" t="b">
        <f>D108="AL-2B"</f>
        <v>0</v>
      </c>
    </row>
    <row r="4676" spans="1:1" ht="11.75" customHeight="1">
      <c r="A4676" s="1989" t="b">
        <f>IF(D108="AL-3B",0.78,IF(D108="AL-4B",0.59,IF(D108="AL-5B",0.39,IF(D108="AL-6B",0.23,IF(D108="PH Classic",0.6*D105/D101*3.6,IF(D108="PH Low",1*D105/D101*3.6,IF(D108="PH+",0.1)))))))</f>
        <v>0</v>
      </c>
    </row>
    <row r="4677" spans="1:1" ht="11.75" customHeight="1">
      <c r="A4677" s="1989" t="b">
        <f>D108="AL-3B"</f>
        <v>0</v>
      </c>
    </row>
    <row r="4678" spans="1:1" ht="11.75" customHeight="1">
      <c r="A4678" s="1989" t="b">
        <f>IF(D108="AL-4B",0.59,IF(D108="AL-5B",0.39,IF(D108="AL-6B",0.23,IF(D108="PH Classic",0.6*D105/D101*3.6,IF(D108="PH Low",1*D105/D101*3.6,IF(D108="PH+",0.1))))))</f>
        <v>0</v>
      </c>
    </row>
    <row r="4679" spans="1:1" ht="11.75" customHeight="1">
      <c r="A4679" s="1989" t="b">
        <f>D108="AL-4B"</f>
        <v>0</v>
      </c>
    </row>
    <row r="4680" spans="1:1" ht="11.75" customHeight="1">
      <c r="A4680" s="1989" t="b">
        <f>IF(D108="AL-5B",0.39,IF(D108="AL-6B",0.23,IF(D108="PH Classic",0.6*D105/D101*3.6,IF(D108="PH Low",1*D105/D101*3.6,IF(D108="PH+",0.1)))))</f>
        <v>0</v>
      </c>
    </row>
    <row r="4681" spans="1:1" ht="11.75" customHeight="1">
      <c r="A4681" s="1989" t="b">
        <f>D108="AL-5B"</f>
        <v>0</v>
      </c>
    </row>
    <row r="4682" spans="1:1" ht="11.75" customHeight="1">
      <c r="A4682" s="1989" t="b">
        <f>IF(D108="AL-6B",0.23,IF(D108="PH Classic",0.6*D105/D101*3.6,IF(D108="PH Low",1*D105/D101*3.6,IF(D108="PH+",0.1))))</f>
        <v>0</v>
      </c>
    </row>
    <row r="4683" spans="1:1" ht="11.75" customHeight="1">
      <c r="A4683" s="1989" t="b">
        <f>D108="AL-6B"</f>
        <v>0</v>
      </c>
    </row>
    <row r="4684" spans="1:1" ht="11.75" customHeight="1">
      <c r="A4684" s="1989" t="b">
        <f>IF(D108="PH Classic",0.6*D105/D101*3.6,IF(D108="PH Low",1*D105/D101*3.6,IF(D108="PH+",0.1)))</f>
        <v>0</v>
      </c>
    </row>
    <row r="4685" spans="1:1" ht="11.75" customHeight="1">
      <c r="A4685" s="1989" t="b">
        <f>D108="PH Classic"</f>
        <v>0</v>
      </c>
    </row>
    <row r="4686" spans="1:1" ht="11.75" customHeight="1">
      <c r="A4686" s="1989">
        <f>0.6*D105/D101*3.6</f>
        <v>6.9772512537248366</v>
      </c>
    </row>
    <row r="4687" spans="1:1" ht="11.75" customHeight="1">
      <c r="A4687" s="1989">
        <f>0.6*D105</f>
        <v>4800</v>
      </c>
    </row>
    <row r="4688" spans="1:1" ht="11.75" customHeight="1">
      <c r="A4688" s="1989">
        <f>D101*3.6</f>
        <v>8915.8319999999985</v>
      </c>
    </row>
    <row r="4689" spans="1:1" ht="11.75" customHeight="1">
      <c r="A4689" s="1989" t="b">
        <f>IF(D108="PH Low",1*D105/D101*3.6,IF(D108="PH+",0.1))</f>
        <v>0</v>
      </c>
    </row>
    <row r="4690" spans="1:1" ht="11.75" customHeight="1">
      <c r="A4690" s="1989" t="b">
        <f>D108="PH Low"</f>
        <v>0</v>
      </c>
    </row>
    <row r="4691" spans="1:1" ht="11.75" customHeight="1">
      <c r="A4691" s="1989">
        <f>1*D105/D101*3.6</f>
        <v>11.628752089541393</v>
      </c>
    </row>
    <row r="4692" spans="1:1" ht="11.75" customHeight="1">
      <c r="A4692" s="1989">
        <f>1*D105</f>
        <v>8000</v>
      </c>
    </row>
    <row r="4693" spans="1:1" ht="11.75" customHeight="1">
      <c r="A4693" s="1989">
        <f>D101*3.6</f>
        <v>8915.8319999999985</v>
      </c>
    </row>
    <row r="4694" spans="1:1" ht="11.75" customHeight="1">
      <c r="A4694" s="1990">
        <f>H27-D43</f>
        <v>132765.64793897627</v>
      </c>
    </row>
    <row r="4695" spans="1:1" ht="11.75" customHeight="1">
      <c r="A4695" s="1989" t="b">
        <f>D113="Electricity"</f>
        <v>0</v>
      </c>
    </row>
    <row r="4696" spans="1:1" ht="11.75" customHeight="1">
      <c r="A4696" s="1990">
        <f>I103+K51+D117+M121+I101+I102+M43+SUM(H65:H67)</f>
        <v>265287.6445956853</v>
      </c>
    </row>
    <row r="4697" spans="1:1" ht="11.75" customHeight="1">
      <c r="A4697" s="1990">
        <f>I103+K51+D117+M121+I101+I102+M43</f>
        <v>180897.30859568529</v>
      </c>
    </row>
    <row r="4698" spans="1:1" ht="11.75" customHeight="1">
      <c r="A4698" s="1990">
        <f>I103+K51+D117+M121+I101+I102</f>
        <v>180897.30859568529</v>
      </c>
    </row>
    <row r="4699" spans="1:1" ht="11.75" customHeight="1">
      <c r="A4699" s="1990">
        <f>I103+K51+D117+M121+I101</f>
        <v>164109.06314703665</v>
      </c>
    </row>
    <row r="4700" spans="1:1" ht="11.75" customHeight="1">
      <c r="A4700" s="1990">
        <f>I103+K51+D117+M121</f>
        <v>88005.3704468098</v>
      </c>
    </row>
    <row r="4701" spans="1:1" ht="11.75" customHeight="1">
      <c r="A4701" s="1990">
        <f>I103+K51+D117</f>
        <v>39024.570446809812</v>
      </c>
    </row>
    <row r="4702" spans="1:1" ht="11.75" customHeight="1">
      <c r="A4702" s="1990">
        <f>I103+K51</f>
        <v>36006.531012790423</v>
      </c>
    </row>
    <row r="4703" spans="1:1" ht="11.75" customHeight="1">
      <c r="A4703" s="1989">
        <f>1.21*G108*D20*24/1000*D101</f>
        <v>387079.06311359996</v>
      </c>
    </row>
    <row r="4704" spans="1:1" ht="11.75" customHeight="1">
      <c r="A4704" s="1989">
        <f>1.21*G108*D20*24/1000</f>
        <v>156.29328000000001</v>
      </c>
    </row>
    <row r="4705" spans="1:1" ht="11.75" customHeight="1">
      <c r="A4705" s="1989">
        <f>1.21*G108*D20*24</f>
        <v>156293.28</v>
      </c>
    </row>
    <row r="4706" spans="1:1" ht="11.75" customHeight="1">
      <c r="A4706" s="1989">
        <f>1.21*G108*D20</f>
        <v>6512.22</v>
      </c>
    </row>
    <row r="4707" spans="1:1" ht="11.75" customHeight="1">
      <c r="A4707" s="1989">
        <f>1.21*G108</f>
        <v>1.4157</v>
      </c>
    </row>
    <row r="4708" spans="1:1" ht="11.75" customHeight="1">
      <c r="A4708" s="1989" t="b">
        <f>D108="Measured"</f>
        <v>0</v>
      </c>
    </row>
    <row r="4709" spans="1:1" ht="11.75" customHeight="1">
      <c r="A4709" s="1989">
        <f>G109*D105/D101*3.6</f>
        <v>17.44312813431209</v>
      </c>
    </row>
    <row r="4710" spans="1:1" ht="11.75" customHeight="1">
      <c r="A4710" s="1989">
        <f>G109*D105</f>
        <v>12000</v>
      </c>
    </row>
    <row r="4711" spans="1:1" ht="11.75" customHeight="1">
      <c r="A4711" s="1989">
        <f>D101*3.6</f>
        <v>8915.8319999999985</v>
      </c>
    </row>
    <row r="4712" spans="1:1" ht="11.75" customHeight="1">
      <c r="A4712" s="1989">
        <f>IF(D108="AL-1A",0.89,IF(D108="AL-2A",0.71,IF(D108="AL-3A",0.53,IF(D108="AL-4A",0.35,IF(D108="AL-5A",0.21,IF(D108="AL-1B",1.17,IF(D108="AL-2B",0.98,IF(D108="AL-3B",0.78,IF(D108="AL-4B",0.59,IF(D108="AL-5B",0.39,IF(D108="AL-6B",0.23,IF(D108="PH Classic",0.6*D105/D101*3.6,IF(D108="PH Low",1*D105/D101*3.6,IF(D108="PH+",0.1))))))))))))))</f>
        <v>1.17</v>
      </c>
    </row>
    <row r="4713" spans="1:1" ht="11.75" customHeight="1">
      <c r="A4713" s="1989" t="b">
        <f>D108="AL-1A"</f>
        <v>0</v>
      </c>
    </row>
    <row r="4714" spans="1:1" ht="11.75" customHeight="1">
      <c r="A4714" s="1989">
        <f>IF(D108="AL-2A",0.71,IF(D108="AL-3A",0.53,IF(D108="AL-4A",0.35,IF(D108="AL-5A",0.21,IF(D108="AL-1B",1.17,IF(D108="AL-2B",0.98,IF(D108="AL-3B",0.78,IF(D108="AL-4B",0.59,IF(D108="AL-5B",0.39,IF(D108="AL-6B",0.23,IF(D108="PH Classic",0.6*D105/D101*3.6,IF(D108="PH Low",1*D105/D101*3.6,IF(D108="PH+",0.1)))))))))))))</f>
        <v>1.17</v>
      </c>
    </row>
    <row r="4715" spans="1:1" ht="11.75" customHeight="1">
      <c r="A4715" s="1989" t="b">
        <f>D108="AL-2A"</f>
        <v>0</v>
      </c>
    </row>
    <row r="4716" spans="1:1" ht="11.75" customHeight="1">
      <c r="A4716" s="1989">
        <f>IF(D108="AL-3A",0.53,IF(D108="AL-4A",0.35,IF(D108="AL-5A",0.21,IF(D108="AL-1B",1.17,IF(D108="AL-2B",0.98,IF(D108="AL-3B",0.78,IF(D108="AL-4B",0.59,IF(D108="AL-5B",0.39,IF(D108="AL-6B",0.23,IF(D108="PH Classic",0.6*D105/D101*3.6,IF(D108="PH Low",1*D105/D101*3.6,IF(D108="PH+",0.1))))))))))))</f>
        <v>1.17</v>
      </c>
    </row>
    <row r="4717" spans="1:1" ht="11.75" customHeight="1">
      <c r="A4717" s="1989" t="b">
        <f>D108="AL-3A"</f>
        <v>0</v>
      </c>
    </row>
    <row r="4718" spans="1:1" ht="11.75" customHeight="1">
      <c r="A4718" s="1989">
        <f>IF(D108="AL-4A",0.35,IF(D108="AL-5A",0.21,IF(D108="AL-1B",1.17,IF(D108="AL-2B",0.98,IF(D108="AL-3B",0.78,IF(D108="AL-4B",0.59,IF(D108="AL-5B",0.39,IF(D108="AL-6B",0.23,IF(D108="PH Classic",0.6*D105/D101*3.6,IF(D108="PH Low",1*D105/D101*3.6,IF(D108="PH+",0.1)))))))))))</f>
        <v>1.17</v>
      </c>
    </row>
    <row r="4719" spans="1:1" ht="11.75" customHeight="1">
      <c r="A4719" s="1989" t="b">
        <f>D108="AL-4A"</f>
        <v>0</v>
      </c>
    </row>
    <row r="4720" spans="1:1" ht="11.75" customHeight="1">
      <c r="A4720" s="1989">
        <f>IF(D108="AL-5A",0.21,IF(D108="AL-1B",1.17,IF(D108="AL-2B",0.98,IF(D108="AL-3B",0.78,IF(D108="AL-4B",0.59,IF(D108="AL-5B",0.39,IF(D108="AL-6B",0.23,IF(D108="PH Classic",0.6*D105/D101*3.6,IF(D108="PH Low",1*D105/D101*3.6,IF(D108="PH+",0.1))))))))))</f>
        <v>1.17</v>
      </c>
    </row>
    <row r="4721" spans="1:1" ht="11.75" customHeight="1">
      <c r="A4721" s="1989" t="b">
        <f>D108="AL-5A"</f>
        <v>0</v>
      </c>
    </row>
    <row r="4722" spans="1:1" ht="11.75" customHeight="1">
      <c r="A4722" s="1989">
        <f>IF(D108="AL-1B",1.17,IF(D108="AL-2B",0.98,IF(D108="AL-3B",0.78,IF(D108="AL-4B",0.59,IF(D108="AL-5B",0.39,IF(D108="AL-6B",0.23,IF(D108="PH Classic",0.6*D105/D101*3.6,IF(D108="PH Low",1*D105/D101*3.6,IF(D108="PH+",0.1)))))))))</f>
        <v>1.17</v>
      </c>
    </row>
    <row r="4723" spans="1:1" ht="11.75" customHeight="1">
      <c r="A4723" s="1989" t="b">
        <f>D108="AL-1B"</f>
        <v>1</v>
      </c>
    </row>
    <row r="4724" spans="1:1" ht="11.75" customHeight="1">
      <c r="A4724" s="1989" t="b">
        <f>IF(D108="AL-2B",0.98,IF(D108="AL-3B",0.78,IF(D108="AL-4B",0.59,IF(D108="AL-5B",0.39,IF(D108="AL-6B",0.23,IF(D108="PH Classic",0.6*D105/D101*3.6,IF(D108="PH Low",1*D105/D101*3.6,IF(D108="PH+",0.1))))))))</f>
        <v>0</v>
      </c>
    </row>
    <row r="4725" spans="1:1" ht="11.75" customHeight="1">
      <c r="A4725" s="1989" t="b">
        <f>D108="AL-2B"</f>
        <v>0</v>
      </c>
    </row>
    <row r="4726" spans="1:1" ht="11.75" customHeight="1">
      <c r="A4726" s="1989" t="b">
        <f>IF(D108="AL-3B",0.78,IF(D108="AL-4B",0.59,IF(D108="AL-5B",0.39,IF(D108="AL-6B",0.23,IF(D108="PH Classic",0.6*D105/D101*3.6,IF(D108="PH Low",1*D105/D101*3.6,IF(D108="PH+",0.1)))))))</f>
        <v>0</v>
      </c>
    </row>
    <row r="4727" spans="1:1" ht="11.75" customHeight="1">
      <c r="A4727" s="1989" t="b">
        <f>D108="AL-3B"</f>
        <v>0</v>
      </c>
    </row>
    <row r="4728" spans="1:1" ht="11.75" customHeight="1">
      <c r="A4728" s="1989" t="b">
        <f>IF(D108="AL-4B",0.59,IF(D108="AL-5B",0.39,IF(D108="AL-6B",0.23,IF(D108="PH Classic",0.6*D105/D101*3.6,IF(D108="PH Low",1*D105/D101*3.6,IF(D108="PH+",0.1))))))</f>
        <v>0</v>
      </c>
    </row>
    <row r="4729" spans="1:1" ht="11.75" customHeight="1">
      <c r="A4729" s="1989" t="b">
        <f>D108="AL-4B"</f>
        <v>0</v>
      </c>
    </row>
    <row r="4730" spans="1:1" ht="11.75" customHeight="1">
      <c r="A4730" s="1989" t="b">
        <f>IF(D108="AL-5B",0.39,IF(D108="AL-6B",0.23,IF(D108="PH Classic",0.6*D105/D101*3.6,IF(D108="PH Low",1*D105/D101*3.6,IF(D108="PH+",0.1)))))</f>
        <v>0</v>
      </c>
    </row>
    <row r="4731" spans="1:1" ht="11.75" customHeight="1">
      <c r="A4731" s="1989" t="b">
        <f>D108="AL-5B"</f>
        <v>0</v>
      </c>
    </row>
    <row r="4732" spans="1:1" ht="11.75" customHeight="1">
      <c r="A4732" s="1989" t="b">
        <f>IF(D108="AL-6B",0.23,IF(D108="PH Classic",0.6*D105/D101*3.6,IF(D108="PH Low",1*D105/D101*3.6,IF(D108="PH+",0.1))))</f>
        <v>0</v>
      </c>
    </row>
    <row r="4733" spans="1:1" ht="11.75" customHeight="1">
      <c r="A4733" s="1989" t="b">
        <f>D108="AL-6B"</f>
        <v>0</v>
      </c>
    </row>
    <row r="4734" spans="1:1" ht="11.75" customHeight="1">
      <c r="A4734" s="1989" t="b">
        <f>IF(D108="PH Classic",0.6*D105/D101*3.6,IF(D108="PH Low",1*D105/D101*3.6,IF(D108="PH+",0.1)))</f>
        <v>0</v>
      </c>
    </row>
    <row r="4735" spans="1:1" ht="11.75" customHeight="1">
      <c r="A4735" s="1989" t="b">
        <f>D108="PH Classic"</f>
        <v>0</v>
      </c>
    </row>
    <row r="4736" spans="1:1" ht="11.75" customHeight="1">
      <c r="A4736" s="1989">
        <f>0.6*D105/D101*3.6</f>
        <v>6.9772512537248366</v>
      </c>
    </row>
    <row r="4737" spans="1:1" ht="11.75" customHeight="1">
      <c r="A4737" s="1989">
        <f>0.6*D105</f>
        <v>4800</v>
      </c>
    </row>
    <row r="4738" spans="1:1" ht="11.75" customHeight="1">
      <c r="A4738" s="1989">
        <f>D101*3.6</f>
        <v>8915.8319999999985</v>
      </c>
    </row>
    <row r="4739" spans="1:1" ht="11.75" customHeight="1">
      <c r="A4739" s="1989" t="b">
        <f>IF(D108="PH Low",1*D105/D101*3.6,IF(D108="PH+",0.1))</f>
        <v>0</v>
      </c>
    </row>
    <row r="4740" spans="1:1" ht="11.75" customHeight="1">
      <c r="A4740" s="1989" t="b">
        <f>D108="PH Low"</f>
        <v>0</v>
      </c>
    </row>
    <row r="4741" spans="1:1" ht="11.75" customHeight="1">
      <c r="A4741" s="1989">
        <f>1*D105/D101*3.6</f>
        <v>11.628752089541393</v>
      </c>
    </row>
    <row r="4742" spans="1:1" ht="11.75" customHeight="1">
      <c r="A4742" s="1989">
        <f>1*D105</f>
        <v>8000</v>
      </c>
    </row>
    <row r="4743" spans="1:1" ht="11.75" customHeight="1">
      <c r="A4743" s="1989">
        <f>D101*3.6</f>
        <v>8915.8319999999985</v>
      </c>
    </row>
    <row r="4744" spans="1:1" ht="11.75" customHeight="1">
      <c r="A4744" s="1990">
        <f>H27-D43</f>
        <v>132765.64793897627</v>
      </c>
    </row>
    <row r="4745" spans="1:1" ht="11.75" customHeight="1">
      <c r="A4745" s="1989" t="b">
        <f>D113="Electricity"</f>
        <v>0</v>
      </c>
    </row>
    <row r="4746" spans="1:1" ht="11.75" customHeight="1">
      <c r="A4746" s="1990">
        <f>I103+K51+D117+M121+I101+I102+M43+SUM(H65:H67)</f>
        <v>265287.6445956853</v>
      </c>
    </row>
    <row r="4747" spans="1:1" ht="11.75" customHeight="1">
      <c r="A4747" s="1990">
        <f>I103+K51+D117+M121+I101+I102+M43</f>
        <v>180897.30859568529</v>
      </c>
    </row>
    <row r="4748" spans="1:1" ht="11.75" customHeight="1">
      <c r="A4748" s="1990">
        <f>I103+K51+D117+M121+I101+I102</f>
        <v>180897.30859568529</v>
      </c>
    </row>
    <row r="4749" spans="1:1" ht="11.75" customHeight="1">
      <c r="A4749" s="1990">
        <f>I103+K51+D117+M121+I101</f>
        <v>164109.06314703665</v>
      </c>
    </row>
    <row r="4750" spans="1:1" ht="11.75" customHeight="1">
      <c r="A4750" s="1990">
        <f>I103+K51+D117+M121</f>
        <v>88005.3704468098</v>
      </c>
    </row>
    <row r="4751" spans="1:1" ht="11.75" customHeight="1">
      <c r="A4751" s="1990">
        <f>I103+K51+D117</f>
        <v>39024.570446809812</v>
      </c>
    </row>
    <row r="4752" spans="1:1" ht="11.75" customHeight="1">
      <c r="A4752" s="1990">
        <f>I103+K51</f>
        <v>36006.531012790423</v>
      </c>
    </row>
    <row r="4753" spans="1:1" ht="11.75" customHeight="1">
      <c r="A4753" s="1989">
        <f>1.21*G108*D20*24/1000*D101</f>
        <v>387079.06311359996</v>
      </c>
    </row>
    <row r="4754" spans="1:1" ht="11.75" customHeight="1">
      <c r="A4754" s="1989">
        <f>1.21*G108*D20*24/1000</f>
        <v>156.29328000000001</v>
      </c>
    </row>
    <row r="4755" spans="1:1" ht="11.75" customHeight="1">
      <c r="A4755" s="1989">
        <f>1.21*G108*D20*24</f>
        <v>156293.28</v>
      </c>
    </row>
    <row r="4756" spans="1:1" ht="11.75" customHeight="1">
      <c r="A4756" s="1989">
        <f>1.21*G108*D20</f>
        <v>6512.22</v>
      </c>
    </row>
    <row r="4757" spans="1:1" ht="11.75" customHeight="1">
      <c r="A4757" s="1989">
        <f>1.21*G108</f>
        <v>1.4157</v>
      </c>
    </row>
    <row r="4758" spans="1:1" ht="11.75" customHeight="1">
      <c r="A4758" s="1989" t="b">
        <f>D108="Measured"</f>
        <v>0</v>
      </c>
    </row>
    <row r="4759" spans="1:1" ht="11.75" customHeight="1">
      <c r="A4759" s="1989">
        <f>G109*D105/D101*3.6</f>
        <v>17.44312813431209</v>
      </c>
    </row>
    <row r="4760" spans="1:1" ht="11.75" customHeight="1">
      <c r="A4760" s="1989">
        <f>G109*D105</f>
        <v>12000</v>
      </c>
    </row>
    <row r="4761" spans="1:1" ht="11.75" customHeight="1">
      <c r="A4761" s="1989">
        <f>D101*3.6</f>
        <v>8915.8319999999985</v>
      </c>
    </row>
    <row r="4762" spans="1:1" ht="11.75" customHeight="1">
      <c r="A4762" s="1989">
        <f>IF(D108="AL-1A",0.89,IF(D108="AL-2A",0.71,IF(D108="AL-3A",0.53,IF(D108="AL-4A",0.35,IF(D108="AL-5A",0.21,IF(D108="AL-1B",1.17,IF(D108="AL-2B",0.98,IF(D108="AL-3B",0.78,IF(D108="AL-4B",0.59,IF(D108="AL-5B",0.39,IF(D108="AL-6B",0.23,IF(D108="PH Classic",0.6*D105/D101*3.6,IF(D108="PH Low",1*D105/D101*3.6,IF(D108="PH+",0.1))))))))))))))</f>
        <v>1.17</v>
      </c>
    </row>
    <row r="4763" spans="1:1" ht="11.75" customHeight="1">
      <c r="A4763" s="1989" t="b">
        <f>D108="AL-1A"</f>
        <v>0</v>
      </c>
    </row>
    <row r="4764" spans="1:1" ht="11.75" customHeight="1">
      <c r="A4764" s="1989">
        <f>IF(D108="AL-2A",0.71,IF(D108="AL-3A",0.53,IF(D108="AL-4A",0.35,IF(D108="AL-5A",0.21,IF(D108="AL-1B",1.17,IF(D108="AL-2B",0.98,IF(D108="AL-3B",0.78,IF(D108="AL-4B",0.59,IF(D108="AL-5B",0.39,IF(D108="AL-6B",0.23,IF(D108="PH Classic",0.6*D105/D101*3.6,IF(D108="PH Low",1*D105/D101*3.6,IF(D108="PH+",0.1)))))))))))))</f>
        <v>1.17</v>
      </c>
    </row>
    <row r="4765" spans="1:1" ht="11.75" customHeight="1">
      <c r="A4765" s="1989" t="b">
        <f>D108="AL-2A"</f>
        <v>0</v>
      </c>
    </row>
    <row r="4766" spans="1:1" ht="11.75" customHeight="1">
      <c r="A4766" s="1989">
        <f>IF(D108="AL-3A",0.53,IF(D108="AL-4A",0.35,IF(D108="AL-5A",0.21,IF(D108="AL-1B",1.17,IF(D108="AL-2B",0.98,IF(D108="AL-3B",0.78,IF(D108="AL-4B",0.59,IF(D108="AL-5B",0.39,IF(D108="AL-6B",0.23,IF(D108="PH Classic",0.6*D105/D101*3.6,IF(D108="PH Low",1*D105/D101*3.6,IF(D108="PH+",0.1))))))))))))</f>
        <v>1.17</v>
      </c>
    </row>
    <row r="4767" spans="1:1" ht="11.75" customHeight="1">
      <c r="A4767" s="1989" t="b">
        <f>D108="AL-3A"</f>
        <v>0</v>
      </c>
    </row>
    <row r="4768" spans="1:1" ht="11.75" customHeight="1">
      <c r="A4768" s="1989">
        <f>IF(D108="AL-4A",0.35,IF(D108="AL-5A",0.21,IF(D108="AL-1B",1.17,IF(D108="AL-2B",0.98,IF(D108="AL-3B",0.78,IF(D108="AL-4B",0.59,IF(D108="AL-5B",0.39,IF(D108="AL-6B",0.23,IF(D108="PH Classic",0.6*D105/D101*3.6,IF(D108="PH Low",1*D105/D101*3.6,IF(D108="PH+",0.1)))))))))))</f>
        <v>1.17</v>
      </c>
    </row>
    <row r="4769" spans="1:1" ht="11.75" customHeight="1">
      <c r="A4769" s="1989" t="b">
        <f>D108="AL-4A"</f>
        <v>0</v>
      </c>
    </row>
    <row r="4770" spans="1:1" ht="11.75" customHeight="1">
      <c r="A4770" s="1989">
        <f>IF(D108="AL-5A",0.21,IF(D108="AL-1B",1.17,IF(D108="AL-2B",0.98,IF(D108="AL-3B",0.78,IF(D108="AL-4B",0.59,IF(D108="AL-5B",0.39,IF(D108="AL-6B",0.23,IF(D108="PH Classic",0.6*D105/D101*3.6,IF(D108="PH Low",1*D105/D101*3.6,IF(D108="PH+",0.1))))))))))</f>
        <v>1.17</v>
      </c>
    </row>
    <row r="4771" spans="1:1" ht="11.75" customHeight="1">
      <c r="A4771" s="1989" t="b">
        <f>D108="AL-5A"</f>
        <v>0</v>
      </c>
    </row>
    <row r="4772" spans="1:1" ht="11.75" customHeight="1">
      <c r="A4772" s="1989">
        <f>IF(D108="AL-1B",1.17,IF(D108="AL-2B",0.98,IF(D108="AL-3B",0.78,IF(D108="AL-4B",0.59,IF(D108="AL-5B",0.39,IF(D108="AL-6B",0.23,IF(D108="PH Classic",0.6*D105/D101*3.6,IF(D108="PH Low",1*D105/D101*3.6,IF(D108="PH+",0.1)))))))))</f>
        <v>1.17</v>
      </c>
    </row>
    <row r="4773" spans="1:1" ht="11.75" customHeight="1">
      <c r="A4773" s="1989" t="b">
        <f>D108="AL-1B"</f>
        <v>1</v>
      </c>
    </row>
    <row r="4774" spans="1:1" ht="11.75" customHeight="1">
      <c r="A4774" s="1989" t="b">
        <f>IF(D108="AL-2B",0.98,IF(D108="AL-3B",0.78,IF(D108="AL-4B",0.59,IF(D108="AL-5B",0.39,IF(D108="AL-6B",0.23,IF(D108="PH Classic",0.6*D105/D101*3.6,IF(D108="PH Low",1*D105/D101*3.6,IF(D108="PH+",0.1))))))))</f>
        <v>0</v>
      </c>
    </row>
    <row r="4775" spans="1:1" ht="11.75" customHeight="1">
      <c r="A4775" s="1989" t="b">
        <f>D108="AL-2B"</f>
        <v>0</v>
      </c>
    </row>
    <row r="4776" spans="1:1" ht="11.75" customHeight="1">
      <c r="A4776" s="1989" t="b">
        <f>IF(D108="AL-3B",0.78,IF(D108="AL-4B",0.59,IF(D108="AL-5B",0.39,IF(D108="AL-6B",0.23,IF(D108="PH Classic",0.6*D105/D101*3.6,IF(D108="PH Low",1*D105/D101*3.6,IF(D108="PH+",0.1)))))))</f>
        <v>0</v>
      </c>
    </row>
    <row r="4777" spans="1:1" ht="11.75" customHeight="1">
      <c r="A4777" s="1989" t="b">
        <f>D108="AL-3B"</f>
        <v>0</v>
      </c>
    </row>
    <row r="4778" spans="1:1" ht="11.75" customHeight="1">
      <c r="A4778" s="1989" t="b">
        <f>IF(D108="AL-4B",0.59,IF(D108="AL-5B",0.39,IF(D108="AL-6B",0.23,IF(D108="PH Classic",0.6*D105/D101*3.6,IF(D108="PH Low",1*D105/D101*3.6,IF(D108="PH+",0.1))))))</f>
        <v>0</v>
      </c>
    </row>
    <row r="4779" spans="1:1" ht="11.75" customHeight="1">
      <c r="A4779" s="1989" t="b">
        <f>D108="AL-4B"</f>
        <v>0</v>
      </c>
    </row>
    <row r="4780" spans="1:1" ht="11.75" customHeight="1">
      <c r="A4780" s="1989" t="b">
        <f>IF(D108="AL-5B",0.39,IF(D108="AL-6B",0.23,IF(D108="PH Classic",0.6*D105/D101*3.6,IF(D108="PH Low",1*D105/D101*3.6,IF(D108="PH+",0.1)))))</f>
        <v>0</v>
      </c>
    </row>
    <row r="4781" spans="1:1" ht="11.75" customHeight="1">
      <c r="A4781" s="1989" t="b">
        <f>D108="AL-5B"</f>
        <v>0</v>
      </c>
    </row>
    <row r="4782" spans="1:1" ht="11.75" customHeight="1">
      <c r="A4782" s="1989" t="b">
        <f>IF(D108="AL-6B",0.23,IF(D108="PH Classic",0.6*D105/D101*3.6,IF(D108="PH Low",1*D105/D101*3.6,IF(D108="PH+",0.1))))</f>
        <v>0</v>
      </c>
    </row>
    <row r="4783" spans="1:1" ht="11.75" customHeight="1">
      <c r="A4783" s="1989" t="b">
        <f>D108="AL-6B"</f>
        <v>0</v>
      </c>
    </row>
    <row r="4784" spans="1:1" ht="11.75" customHeight="1">
      <c r="A4784" s="1989" t="b">
        <f>IF(D108="PH Classic",0.6*D105/D101*3.6,IF(D108="PH Low",1*D105/D101*3.6,IF(D108="PH+",0.1)))</f>
        <v>0</v>
      </c>
    </row>
    <row r="4785" spans="1:1" ht="11.75" customHeight="1">
      <c r="A4785" s="1989" t="b">
        <f>D108="PH Classic"</f>
        <v>0</v>
      </c>
    </row>
    <row r="4786" spans="1:1" ht="11.75" customHeight="1">
      <c r="A4786" s="1989">
        <f>0.6*D105/D101*3.6</f>
        <v>6.9772512537248366</v>
      </c>
    </row>
    <row r="4787" spans="1:1" ht="11.75" customHeight="1">
      <c r="A4787" s="1989">
        <f>0.6*D105</f>
        <v>4800</v>
      </c>
    </row>
    <row r="4788" spans="1:1" ht="11.75" customHeight="1">
      <c r="A4788" s="1989">
        <f>D101*3.6</f>
        <v>8915.8319999999985</v>
      </c>
    </row>
    <row r="4789" spans="1:1" ht="11.75" customHeight="1">
      <c r="A4789" s="1989" t="b">
        <f>IF(D108="PH Low",1*D105/D101*3.6,IF(D108="PH+",0.1))</f>
        <v>0</v>
      </c>
    </row>
    <row r="4790" spans="1:1" ht="11.75" customHeight="1">
      <c r="A4790" s="1989" t="b">
        <f>D108="PH Low"</f>
        <v>0</v>
      </c>
    </row>
    <row r="4791" spans="1:1" ht="11.75" customHeight="1">
      <c r="A4791" s="1989">
        <f>1*D105/D101*3.6</f>
        <v>11.628752089541393</v>
      </c>
    </row>
    <row r="4792" spans="1:1" ht="11.75" customHeight="1">
      <c r="A4792" s="1989">
        <f>1*D105</f>
        <v>8000</v>
      </c>
    </row>
    <row r="4793" spans="1:1" ht="11.75" customHeight="1">
      <c r="A4793" s="1989">
        <f>D101*3.6</f>
        <v>8915.8319999999985</v>
      </c>
    </row>
    <row r="4794" spans="1:1" ht="11.75" customHeight="1">
      <c r="A4794" s="1989" t="b">
        <f>IF(D108="PH+",0.1)</f>
        <v>0</v>
      </c>
    </row>
    <row r="4795" spans="1:1" ht="11.75" customHeight="1">
      <c r="A4795" s="1989" t="b">
        <f>D108="PH+"</f>
        <v>0</v>
      </c>
    </row>
    <row r="4796" spans="1:1" ht="11.75" customHeight="1">
      <c r="A4796" s="1989">
        <f>IF(H20="Present",VLOOKUP(H19,CANADA!A6:K699,9,FALSE),VLOOKUP(H19,CANADA!A6:K699,11,FALSE))</f>
        <v>4600</v>
      </c>
    </row>
    <row r="4797" spans="1:1" ht="11.75" customHeight="1">
      <c r="A4797" s="1989">
        <f>MATCH('NRL50-n-Factors'!D34,'NRL50-n-Factors'!C38:C49,0)</f>
        <v>5</v>
      </c>
    </row>
    <row r="4798" spans="1:1" ht="11.75" customHeight="1">
      <c r="A4798" s="1989">
        <f>MATCH(REPORT!D103,'NRL50-n-Factors'!D37:J37,0)</f>
        <v>2</v>
      </c>
    </row>
    <row r="4799" spans="1:1" ht="11.75" customHeight="1">
      <c r="A4799" s="1989" t="b">
        <f>D51="Gas"</f>
        <v>0</v>
      </c>
    </row>
    <row r="4800" spans="1:1" ht="11.75" customHeight="1">
      <c r="A4800" s="1989">
        <f>D$20*G101*24</f>
        <v>30728.853316304834</v>
      </c>
    </row>
    <row r="4801" spans="1:1" ht="11.75" customHeight="1">
      <c r="A4801" s="1989">
        <f>SUM(H65:H67)</f>
        <v>84390.33600000001</v>
      </c>
    </row>
    <row r="4802" spans="1:1" ht="11.75" customHeight="1">
      <c r="A4802" s="1989">
        <f>IF(D113="Heatpump",K51+D117+D114+M43+H70,IF(D113="Gas",K51+D117+M43+H70))</f>
        <v>132765.64793897627</v>
      </c>
    </row>
    <row r="4803" spans="1:1" ht="11.75" customHeight="1">
      <c r="A4803" s="1989" t="b">
        <f>D113="Heatpump"</f>
        <v>1</v>
      </c>
    </row>
    <row r="4804" spans="1:1" ht="11.75" customHeight="1">
      <c r="A4804" s="1990">
        <f>K51+D117+D114+M43+H70</f>
        <v>132765.64793897627</v>
      </c>
    </row>
    <row r="4805" spans="1:1" ht="11.75" customHeight="1">
      <c r="A4805" s="1989" t="b">
        <f>IF(D113="Gas",K51+D117+M43+H70)</f>
        <v>0</v>
      </c>
    </row>
    <row r="4806" spans="1:1" ht="11.75" customHeight="1">
      <c r="A4806" s="1989">
        <f>SUM(D44:D46)</f>
        <v>0</v>
      </c>
    </row>
    <row r="4807" spans="1:1" ht="11.75" customHeight="1">
      <c r="A4807" s="1990">
        <f>I44+I45</f>
        <v>0</v>
      </c>
    </row>
    <row r="4808" spans="1:1" ht="11.75" customHeight="1">
      <c r="A4808" s="1989">
        <f>H28*0.0373</f>
        <v>0</v>
      </c>
    </row>
    <row r="4809" spans="1:1" ht="11.75" customHeight="1">
      <c r="A4809" s="1989">
        <f>H30*36.72</f>
        <v>0</v>
      </c>
    </row>
    <row r="4810" spans="1:1" ht="11.75" customHeight="1">
      <c r="A4810" s="1990">
        <f>H27-D43</f>
        <v>132765.64793897627</v>
      </c>
    </row>
    <row r="4811" spans="1:1" ht="11.75" customHeight="1">
      <c r="A4811" s="1989" t="b">
        <f>D113="Electricity"</f>
        <v>0</v>
      </c>
    </row>
    <row r="4812" spans="1:1" ht="11.75" customHeight="1">
      <c r="A4812" s="1990">
        <f>I103+K51+D117+M121+I101+I102+M43+SUM(H65:H67)</f>
        <v>265287.6445956853</v>
      </c>
    </row>
    <row r="4813" spans="1:1" ht="11.75" customHeight="1">
      <c r="A4813" s="1990">
        <f>I103+K51+D117+M121+I101+I102+M43</f>
        <v>180897.30859568529</v>
      </c>
    </row>
    <row r="4814" spans="1:1" ht="11.75" customHeight="1">
      <c r="A4814" s="1990">
        <f>I103+K51+D117+M121+I101+I102</f>
        <v>180897.30859568529</v>
      </c>
    </row>
    <row r="4815" spans="1:1" ht="11.75" customHeight="1">
      <c r="A4815" s="1990">
        <f>I103+K51+D117+M121+I101</f>
        <v>164109.06314703665</v>
      </c>
    </row>
    <row r="4816" spans="1:1" ht="11.75" customHeight="1">
      <c r="A4816" s="1990">
        <f>I103+K51+D117+M121</f>
        <v>88005.3704468098</v>
      </c>
    </row>
    <row r="4817" spans="1:1" ht="11.75" customHeight="1">
      <c r="A4817" s="1990">
        <f>I103+K51+D117</f>
        <v>39024.570446809812</v>
      </c>
    </row>
    <row r="4818" spans="1:1" ht="11.75" customHeight="1">
      <c r="A4818" s="1990">
        <f>I103+K51</f>
        <v>36006.531012790423</v>
      </c>
    </row>
    <row r="4819" spans="1:1" ht="11.75" customHeight="1">
      <c r="A4819" s="1989">
        <f>1.21*G108*D20*24/1000*D101</f>
        <v>387079.06311359996</v>
      </c>
    </row>
    <row r="4820" spans="1:1" ht="11.75" customHeight="1">
      <c r="A4820" s="1989">
        <f>1.21*G108*D20*24/1000</f>
        <v>156.29328000000001</v>
      </c>
    </row>
    <row r="4821" spans="1:1" ht="11.75" customHeight="1">
      <c r="A4821" s="1989">
        <f>1.21*G108*D20*24</f>
        <v>156293.28</v>
      </c>
    </row>
    <row r="4822" spans="1:1" ht="11.75" customHeight="1">
      <c r="A4822" s="1989">
        <f>1.21*G108*D20</f>
        <v>6512.22</v>
      </c>
    </row>
    <row r="4823" spans="1:1" ht="11.75" customHeight="1">
      <c r="A4823" s="1989">
        <f>1.21*G108</f>
        <v>1.4157</v>
      </c>
    </row>
    <row r="4824" spans="1:1" ht="11.75" customHeight="1">
      <c r="A4824" s="1989" t="b">
        <f>D108="Measured"</f>
        <v>0</v>
      </c>
    </row>
    <row r="4825" spans="1:1" ht="11.75" customHeight="1">
      <c r="A4825" s="1989">
        <f>G109*D105/D101*3.6</f>
        <v>17.44312813431209</v>
      </c>
    </row>
    <row r="4826" spans="1:1" ht="11.75" customHeight="1">
      <c r="A4826" s="1989" t="b">
        <f>D113="Electricity"</f>
        <v>0</v>
      </c>
    </row>
    <row r="4827" spans="1:1" ht="11.75" customHeight="1">
      <c r="A4827" s="1990">
        <f>I103+K51+D117+M121+I101+I102+M43+SUM(H65:H67)</f>
        <v>265287.6445956853</v>
      </c>
    </row>
    <row r="4828" spans="1:1" ht="11.75" customHeight="1">
      <c r="A4828" s="1990">
        <f>I103+K51+D117+M121+I101+I102+M43</f>
        <v>180897.30859568529</v>
      </c>
    </row>
    <row r="4829" spans="1:1" ht="11.75" customHeight="1">
      <c r="A4829" s="1990">
        <f>I103+K51+D117+M121+I101+I102</f>
        <v>180897.30859568529</v>
      </c>
    </row>
    <row r="4830" spans="1:1" ht="11.75" customHeight="1">
      <c r="A4830" s="1990">
        <f>I103+K51+D117+M121+I101</f>
        <v>164109.06314703665</v>
      </c>
    </row>
    <row r="4831" spans="1:1" ht="11.75" customHeight="1">
      <c r="A4831" s="1990">
        <f>I103+K51+D117+M121</f>
        <v>88005.3704468098</v>
      </c>
    </row>
    <row r="4832" spans="1:1" ht="11.75" customHeight="1">
      <c r="A4832" s="1990">
        <f>I103+K51+D117</f>
        <v>39024.570446809812</v>
      </c>
    </row>
    <row r="4833" spans="1:1" ht="11.75" customHeight="1">
      <c r="A4833" s="1990">
        <f>I103+K51</f>
        <v>36006.531012790423</v>
      </c>
    </row>
    <row r="4834" spans="1:1" ht="11.75" customHeight="1">
      <c r="A4834" s="1989">
        <f>1.21*G108*D20*24/1000*D101</f>
        <v>387079.06311359996</v>
      </c>
    </row>
    <row r="4835" spans="1:1" ht="11.75" customHeight="1">
      <c r="A4835" s="1989">
        <f>1.21*G108*D20*24/1000</f>
        <v>156.29328000000001</v>
      </c>
    </row>
    <row r="4836" spans="1:1" ht="11.75" customHeight="1">
      <c r="A4836" s="1989">
        <f>1.21*G108*D20*24</f>
        <v>156293.28</v>
      </c>
    </row>
    <row r="4837" spans="1:1" ht="11.75" customHeight="1">
      <c r="A4837" s="1989">
        <f>1.21*G108*D20</f>
        <v>6512.22</v>
      </c>
    </row>
    <row r="4838" spans="1:1" ht="11.75" customHeight="1">
      <c r="A4838" s="1989">
        <f>1.21*G108</f>
        <v>1.4157</v>
      </c>
    </row>
    <row r="4839" spans="1:1" ht="11.75" customHeight="1">
      <c r="A4839" s="1989" t="b">
        <f>D108="Measured"</f>
        <v>0</v>
      </c>
    </row>
    <row r="4840" spans="1:1" ht="11.75" customHeight="1">
      <c r="A4840" s="1989">
        <f>G109*D105/D101*3.6</f>
        <v>17.44312813431209</v>
      </c>
    </row>
    <row r="4841" spans="1:1" ht="11.75" customHeight="1">
      <c r="A4841" s="1989">
        <f>G109*D105</f>
        <v>12000</v>
      </c>
    </row>
    <row r="4842" spans="1:1" ht="11.75" customHeight="1">
      <c r="A4842" s="1989">
        <f>D101*3.6</f>
        <v>8915.8319999999985</v>
      </c>
    </row>
    <row r="4843" spans="1:1" ht="11.75" customHeight="1">
      <c r="A4843" s="1989">
        <f>IF(D108="AL-1A",0.89,IF(D108="AL-2A",0.71,IF(D108="AL-3A",0.53,IF(D108="AL-4A",0.35,IF(D108="AL-5A",0.21,IF(D108="AL-1B",1.17,IF(D108="AL-2B",0.98,IF(D108="AL-3B",0.78,IF(D108="AL-4B",0.59,IF(D108="AL-5B",0.39,IF(D108="AL-6B",0.23,IF(D108="PH Classic",0.6*D105/D101*3.6,IF(D108="PH Low",1*D105/D101*3.6,IF(D108="PH+",0.1))))))))))))))</f>
        <v>1.17</v>
      </c>
    </row>
    <row r="4844" spans="1:1" ht="11.75" customHeight="1">
      <c r="A4844" s="1989" t="b">
        <f>D108="AL-1A"</f>
        <v>0</v>
      </c>
    </row>
    <row r="4845" spans="1:1" ht="11.75" customHeight="1">
      <c r="A4845" s="1989">
        <f>IF(D108="AL-2A",0.71,IF(D108="AL-3A",0.53,IF(D108="AL-4A",0.35,IF(D108="AL-5A",0.21,IF(D108="AL-1B",1.17,IF(D108="AL-2B",0.98,IF(D108="AL-3B",0.78,IF(D108="AL-4B",0.59,IF(D108="AL-5B",0.39,IF(D108="AL-6B",0.23,IF(D108="PH Classic",0.6*D105/D101*3.6,IF(D108="PH Low",1*D105/D101*3.6,IF(D108="PH+",0.1)))))))))))))</f>
        <v>1.17</v>
      </c>
    </row>
    <row r="4846" spans="1:1" ht="11.75" customHeight="1">
      <c r="A4846" s="1989" t="b">
        <f>D108="AL-2A"</f>
        <v>0</v>
      </c>
    </row>
    <row r="4847" spans="1:1" ht="11.75" customHeight="1">
      <c r="A4847" s="1989">
        <f>IF(D108="AL-3A",0.53,IF(D108="AL-4A",0.35,IF(D108="AL-5A",0.21,IF(D108="AL-1B",1.17,IF(D108="AL-2B",0.98,IF(D108="AL-3B",0.78,IF(D108="AL-4B",0.59,IF(D108="AL-5B",0.39,IF(D108="AL-6B",0.23,IF(D108="PH Classic",0.6*D105/D101*3.6,IF(D108="PH Low",1*D105/D101*3.6,IF(D108="PH+",0.1))))))))))))</f>
        <v>1.17</v>
      </c>
    </row>
    <row r="4848" spans="1:1" ht="11.75" customHeight="1">
      <c r="A4848" s="1989" t="b">
        <f>D108="AL-3A"</f>
        <v>0</v>
      </c>
    </row>
    <row r="4849" spans="1:1" ht="11.75" customHeight="1">
      <c r="A4849" s="1989">
        <f>IF(D108="AL-4A",0.35,IF(D108="AL-5A",0.21,IF(D108="AL-1B",1.17,IF(D108="AL-2B",0.98,IF(D108="AL-3B",0.78,IF(D108="AL-4B",0.59,IF(D108="AL-5B",0.39,IF(D108="AL-6B",0.23,IF(D108="PH Classic",0.6*D105/D101*3.6,IF(D108="PH Low",1*D105/D101*3.6,IF(D108="PH+",0.1)))))))))))</f>
        <v>1.17</v>
      </c>
    </row>
    <row r="4850" spans="1:1" ht="11.75" customHeight="1">
      <c r="A4850" s="1989" t="b">
        <f>D108="AL-4A"</f>
        <v>0</v>
      </c>
    </row>
    <row r="4851" spans="1:1" ht="11.75" customHeight="1">
      <c r="A4851" s="1989">
        <f>IF(D108="AL-5A",0.21,IF(D108="AL-1B",1.17,IF(D108="AL-2B",0.98,IF(D108="AL-3B",0.78,IF(D108="AL-4B",0.59,IF(D108="AL-5B",0.39,IF(D108="AL-6B",0.23,IF(D108="PH Classic",0.6*D105/D101*3.6,IF(D108="PH Low",1*D105/D101*3.6,IF(D108="PH+",0.1))))))))))</f>
        <v>1.17</v>
      </c>
    </row>
    <row r="4852" spans="1:1" ht="11.75" customHeight="1">
      <c r="A4852" s="1989" t="b">
        <f>D108="AL-5A"</f>
        <v>0</v>
      </c>
    </row>
    <row r="4853" spans="1:1" ht="11.75" customHeight="1">
      <c r="A4853" s="1989">
        <f>IF(D108="AL-1B",1.17,IF(D108="AL-2B",0.98,IF(D108="AL-3B",0.78,IF(D108="AL-4B",0.59,IF(D108="AL-5B",0.39,IF(D108="AL-6B",0.23,IF(D108="PH Classic",0.6*D105/D101*3.6,IF(D108="PH Low",1*D105/D101*3.6,IF(D108="PH+",0.1)))))))))</f>
        <v>1.17</v>
      </c>
    </row>
    <row r="4854" spans="1:1" ht="11.75" customHeight="1">
      <c r="A4854" s="1989" t="b">
        <f>D108="AL-1B"</f>
        <v>1</v>
      </c>
    </row>
    <row r="4855" spans="1:1" ht="11.75" customHeight="1">
      <c r="A4855" s="1989" t="b">
        <f>IF(D108="AL-2B",0.98,IF(D108="AL-3B",0.78,IF(D108="AL-4B",0.59,IF(D108="AL-5B",0.39,IF(D108="AL-6B",0.23,IF(D108="PH Classic",0.6*D105/D101*3.6,IF(D108="PH Low",1*D105/D101*3.6,IF(D108="PH+",0.1))))))))</f>
        <v>0</v>
      </c>
    </row>
    <row r="4856" spans="1:1" ht="11.75" customHeight="1">
      <c r="A4856" s="1989" t="b">
        <f>D108="AL-2B"</f>
        <v>0</v>
      </c>
    </row>
    <row r="4857" spans="1:1" ht="11.75" customHeight="1">
      <c r="A4857" s="1989" t="b">
        <f>IF(D108="AL-3B",0.78,IF(D108="AL-4B",0.59,IF(D108="AL-5B",0.39,IF(D108="AL-6B",0.23,IF(D108="PH Classic",0.6*D105/D101*3.6,IF(D108="PH Low",1*D105/D101*3.6,IF(D108="PH+",0.1)))))))</f>
        <v>0</v>
      </c>
    </row>
    <row r="4858" spans="1:1" ht="11.75" customHeight="1">
      <c r="A4858" s="1989" t="b">
        <f>D108="AL-3B"</f>
        <v>0</v>
      </c>
    </row>
    <row r="4859" spans="1:1" ht="11.75" customHeight="1">
      <c r="A4859" s="1989" t="b">
        <f>IF(D108="AL-4B",0.59,IF(D108="AL-5B",0.39,IF(D108="AL-6B",0.23,IF(D108="PH Classic",0.6*D105/D101*3.6,IF(D108="PH Low",1*D105/D101*3.6,IF(D108="PH+",0.1))))))</f>
        <v>0</v>
      </c>
    </row>
    <row r="4860" spans="1:1" ht="11.75" customHeight="1">
      <c r="A4860" s="1989" t="b">
        <f>D108="AL-4B"</f>
        <v>0</v>
      </c>
    </row>
    <row r="4861" spans="1:1" ht="11.75" customHeight="1">
      <c r="A4861" s="1989" t="b">
        <f>IF(D108="AL-5B",0.39,IF(D108="AL-6B",0.23,IF(D108="PH Classic",0.6*D105/D101*3.6,IF(D108="PH Low",1*D105/D101*3.6,IF(D108="PH+",0.1)))))</f>
        <v>0</v>
      </c>
    </row>
    <row r="4862" spans="1:1" ht="11.75" customHeight="1">
      <c r="A4862" s="1989" t="b">
        <f>D108="AL-5B"</f>
        <v>0</v>
      </c>
    </row>
    <row r="4863" spans="1:1" ht="11.75" customHeight="1">
      <c r="A4863" s="1989" t="b">
        <f>IF(D108="AL-6B",0.23,IF(D108="PH Classic",0.6*D105/D101*3.6,IF(D108="PH Low",1*D105/D101*3.6,IF(D108="PH+",0.1))))</f>
        <v>0</v>
      </c>
    </row>
    <row r="4864" spans="1:1" ht="11.75" customHeight="1">
      <c r="A4864" s="1989" t="b">
        <f>D108="AL-6B"</f>
        <v>0</v>
      </c>
    </row>
    <row r="4865" spans="1:1" ht="11.75" customHeight="1">
      <c r="A4865" s="1989" t="b">
        <f>IF(D108="PH Classic",0.6*D105/D101*3.6,IF(D108="PH Low",1*D105/D101*3.6,IF(D108="PH+",0.1)))</f>
        <v>0</v>
      </c>
    </row>
    <row r="4866" spans="1:1" ht="11.75" customHeight="1">
      <c r="A4866" s="1989" t="b">
        <f>D108="PH Classic"</f>
        <v>0</v>
      </c>
    </row>
    <row r="4867" spans="1:1" ht="11.75" customHeight="1">
      <c r="A4867" s="1989">
        <f>0.6*D105/D101*3.6</f>
        <v>6.9772512537248366</v>
      </c>
    </row>
    <row r="4868" spans="1:1" ht="11.75" customHeight="1">
      <c r="A4868" s="1989">
        <f>0.6*D105</f>
        <v>4800</v>
      </c>
    </row>
    <row r="4869" spans="1:1" ht="11.75" customHeight="1">
      <c r="A4869" s="1989">
        <f>D101*3.6</f>
        <v>8915.8319999999985</v>
      </c>
    </row>
    <row r="4870" spans="1:1" ht="11.75" customHeight="1">
      <c r="A4870" s="1989" t="b">
        <f>IF(D108="PH Low",1*D105/D101*3.6,IF(D108="PH+",0.1))</f>
        <v>0</v>
      </c>
    </row>
    <row r="4871" spans="1:1" ht="11.75" customHeight="1">
      <c r="A4871" s="1989" t="b">
        <f>D108="PH Low"</f>
        <v>0</v>
      </c>
    </row>
    <row r="4872" spans="1:1" ht="11.75" customHeight="1">
      <c r="A4872" s="1989">
        <f>1*D105/D101*3.6</f>
        <v>11.628752089541393</v>
      </c>
    </row>
    <row r="4873" spans="1:1" ht="11.75" customHeight="1">
      <c r="A4873" s="1989">
        <f>1*D105</f>
        <v>8000</v>
      </c>
    </row>
    <row r="4874" spans="1:1" ht="11.75" customHeight="1">
      <c r="A4874" s="1989">
        <f>D101*3.6</f>
        <v>8915.8319999999985</v>
      </c>
    </row>
    <row r="4875" spans="1:1" ht="11.75" customHeight="1">
      <c r="A4875" s="1989" t="b">
        <f>IF(D108="PH+",0.1)</f>
        <v>0</v>
      </c>
    </row>
    <row r="4876" spans="1:1" ht="11.75" customHeight="1">
      <c r="A4876" s="1989" t="b">
        <f>D108="PH+"</f>
        <v>0</v>
      </c>
    </row>
    <row r="4877" spans="1:1" ht="11.75" customHeight="1">
      <c r="A4877" s="1990">
        <f>H27-D43</f>
        <v>132765.64793897627</v>
      </c>
    </row>
    <row r="4878" spans="1:1" ht="11.75" customHeight="1">
      <c r="A4878" s="1989" t="b">
        <f>D113="Electricity"</f>
        <v>0</v>
      </c>
    </row>
    <row r="4879" spans="1:1" ht="11.75" customHeight="1">
      <c r="A4879" s="1990">
        <f>I103+K51+D117+M121+I101+I102+M43+SUM(H65:H67)</f>
        <v>265287.6445956853</v>
      </c>
    </row>
    <row r="4880" spans="1:1" ht="11.75" customHeight="1">
      <c r="A4880" s="1990">
        <f>I103+K51+D117+M121+I101+I102+M43</f>
        <v>180897.30859568529</v>
      </c>
    </row>
    <row r="4881" spans="1:1" ht="11.75" customHeight="1">
      <c r="A4881" s="1990">
        <f>I103+K51+D117+M121+I101+I102</f>
        <v>180897.30859568529</v>
      </c>
    </row>
    <row r="4882" spans="1:1" ht="11.75" customHeight="1">
      <c r="A4882" s="1990">
        <f>I103+K51+D117+M121+I101</f>
        <v>164109.06314703665</v>
      </c>
    </row>
    <row r="4883" spans="1:1" ht="11.75" customHeight="1">
      <c r="A4883" s="1990">
        <f>I103+K51+D117+M121</f>
        <v>88005.3704468098</v>
      </c>
    </row>
    <row r="4884" spans="1:1" ht="11.75" customHeight="1">
      <c r="A4884" s="1990">
        <f>I103+K51+D117</f>
        <v>39024.570446809812</v>
      </c>
    </row>
    <row r="4885" spans="1:1" ht="11.75" customHeight="1">
      <c r="A4885" s="1990">
        <f>I103+K51</f>
        <v>36006.531012790423</v>
      </c>
    </row>
    <row r="4886" spans="1:1" ht="11.75" customHeight="1">
      <c r="A4886" s="1989">
        <f>1.21*G108*D20*24/1000*D101</f>
        <v>387079.06311359996</v>
      </c>
    </row>
    <row r="4887" spans="1:1" ht="11.75" customHeight="1">
      <c r="A4887" s="1989">
        <f>1.21*G108*D20*24/1000</f>
        <v>156.29328000000001</v>
      </c>
    </row>
    <row r="4888" spans="1:1" ht="11.75" customHeight="1">
      <c r="A4888" s="1989">
        <f>1.21*G108*D20*24</f>
        <v>156293.28</v>
      </c>
    </row>
    <row r="4889" spans="1:1" ht="11.75" customHeight="1">
      <c r="A4889" s="1989">
        <f>1.21*G108*D20</f>
        <v>6512.22</v>
      </c>
    </row>
    <row r="4890" spans="1:1" ht="11.75" customHeight="1">
      <c r="A4890" s="1989">
        <f>1.21*G108</f>
        <v>1.4157</v>
      </c>
    </row>
    <row r="4891" spans="1:1" ht="11.75" customHeight="1">
      <c r="A4891" s="1989" t="b">
        <f>D108="Measured"</f>
        <v>0</v>
      </c>
    </row>
    <row r="4892" spans="1:1" ht="11.75" customHeight="1">
      <c r="A4892" s="1989">
        <f>G109*D105/D101*3.6</f>
        <v>17.44312813431209</v>
      </c>
    </row>
    <row r="4893" spans="1:1" ht="11.75" customHeight="1">
      <c r="A4893" s="1989">
        <f>G109*D105</f>
        <v>12000</v>
      </c>
    </row>
    <row r="4894" spans="1:1" ht="11.75" customHeight="1">
      <c r="A4894" s="1989">
        <f>D101*3.6</f>
        <v>8915.8319999999985</v>
      </c>
    </row>
    <row r="4895" spans="1:1" ht="11.75" customHeight="1">
      <c r="A4895" s="1989">
        <f>IF(D108="AL-1A",0.89,IF(D108="AL-2A",0.71,IF(D108="AL-3A",0.53,IF(D108="AL-4A",0.35,IF(D108="AL-5A",0.21,IF(D108="AL-1B",1.17,IF(D108="AL-2B",0.98,IF(D108="AL-3B",0.78,IF(D108="AL-4B",0.59,IF(D108="AL-5B",0.39,IF(D108="AL-6B",0.23,IF(D108="PH Classic",0.6*D105/D101*3.6,IF(D108="PH Low",1*D105/D101*3.6,IF(D108="PH+",0.1))))))))))))))</f>
        <v>1.17</v>
      </c>
    </row>
    <row r="4896" spans="1:1" ht="11.75" customHeight="1">
      <c r="A4896" s="1989" t="b">
        <f>D108="AL-1A"</f>
        <v>0</v>
      </c>
    </row>
    <row r="4897" spans="1:1" ht="11.75" customHeight="1">
      <c r="A4897" s="1989">
        <f>IF(D108="AL-2A",0.71,IF(D108="AL-3A",0.53,IF(D108="AL-4A",0.35,IF(D108="AL-5A",0.21,IF(D108="AL-1B",1.17,IF(D108="AL-2B",0.98,IF(D108="AL-3B",0.78,IF(D108="AL-4B",0.59,IF(D108="AL-5B",0.39,IF(D108="AL-6B",0.23,IF(D108="PH Classic",0.6*D105/D101*3.6,IF(D108="PH Low",1*D105/D101*3.6,IF(D108="PH+",0.1)))))))))))))</f>
        <v>1.17</v>
      </c>
    </row>
    <row r="4898" spans="1:1" ht="11.75" customHeight="1">
      <c r="A4898" s="1989" t="b">
        <f>D108="AL-2A"</f>
        <v>0</v>
      </c>
    </row>
    <row r="4899" spans="1:1" ht="11.75" customHeight="1">
      <c r="A4899" s="1989">
        <f>IF(D108="AL-3A",0.53,IF(D108="AL-4A",0.35,IF(D108="AL-5A",0.21,IF(D108="AL-1B",1.17,IF(D108="AL-2B",0.98,IF(D108="AL-3B",0.78,IF(D108="AL-4B",0.59,IF(D108="AL-5B",0.39,IF(D108="AL-6B",0.23,IF(D108="PH Classic",0.6*D105/D101*3.6,IF(D108="PH Low",1*D105/D101*3.6,IF(D108="PH+",0.1))))))))))))</f>
        <v>1.17</v>
      </c>
    </row>
    <row r="4900" spans="1:1" ht="11.75" customHeight="1">
      <c r="A4900" s="1989" t="b">
        <f>D108="AL-3A"</f>
        <v>0</v>
      </c>
    </row>
    <row r="4901" spans="1:1" ht="11.75" customHeight="1">
      <c r="A4901" s="1989">
        <f>IF(D108="AL-4A",0.35,IF(D108="AL-5A",0.21,IF(D108="AL-1B",1.17,IF(D108="AL-2B",0.98,IF(D108="AL-3B",0.78,IF(D108="AL-4B",0.59,IF(D108="AL-5B",0.39,IF(D108="AL-6B",0.23,IF(D108="PH Classic",0.6*D105/D101*3.6,IF(D108="PH Low",1*D105/D101*3.6,IF(D108="PH+",0.1)))))))))))</f>
        <v>1.17</v>
      </c>
    </row>
    <row r="4902" spans="1:1" ht="11.75" customHeight="1">
      <c r="A4902" s="1989" t="b">
        <f>D108="AL-4A"</f>
        <v>0</v>
      </c>
    </row>
    <row r="4903" spans="1:1" ht="11.75" customHeight="1">
      <c r="A4903" s="1989">
        <f>IF(D108="AL-5A",0.21,IF(D108="AL-1B",1.17,IF(D108="AL-2B",0.98,IF(D108="AL-3B",0.78,IF(D108="AL-4B",0.59,IF(D108="AL-5B",0.39,IF(D108="AL-6B",0.23,IF(D108="PH Classic",0.6*D105/D101*3.6,IF(D108="PH Low",1*D105/D101*3.6,IF(D108="PH+",0.1))))))))))</f>
        <v>1.17</v>
      </c>
    </row>
    <row r="4904" spans="1:1" ht="11.75" customHeight="1">
      <c r="A4904" s="1989" t="b">
        <f>D108="AL-5A"</f>
        <v>0</v>
      </c>
    </row>
    <row r="4905" spans="1:1" ht="11.75" customHeight="1">
      <c r="A4905" s="1989">
        <f>IF(D108="AL-1B",1.17,IF(D108="AL-2B",0.98,IF(D108="AL-3B",0.78,IF(D108="AL-4B",0.59,IF(D108="AL-5B",0.39,IF(D108="AL-6B",0.23,IF(D108="PH Classic",0.6*D105/D101*3.6,IF(D108="PH Low",1*D105/D101*3.6,IF(D108="PH+",0.1)))))))))</f>
        <v>1.17</v>
      </c>
    </row>
    <row r="4906" spans="1:1" ht="11.75" customHeight="1">
      <c r="A4906" s="1989" t="b">
        <f>D108="AL-1B"</f>
        <v>1</v>
      </c>
    </row>
    <row r="4907" spans="1:1" ht="11.75" customHeight="1">
      <c r="A4907" s="1989" t="b">
        <f>IF(D108="AL-2B",0.98,IF(D108="AL-3B",0.78,IF(D108="AL-4B",0.59,IF(D108="AL-5B",0.39,IF(D108="AL-6B",0.23,IF(D108="PH Classic",0.6*D105/D101*3.6,IF(D108="PH Low",1*D105/D101*3.6,IF(D108="PH+",0.1))))))))</f>
        <v>0</v>
      </c>
    </row>
    <row r="4908" spans="1:1" ht="11.75" customHeight="1">
      <c r="A4908" s="1989" t="b">
        <f>D108="AL-2B"</f>
        <v>0</v>
      </c>
    </row>
    <row r="4909" spans="1:1" ht="11.75" customHeight="1">
      <c r="A4909" s="1989" t="b">
        <f>IF(D108="AL-3B",0.78,IF(D108="AL-4B",0.59,IF(D108="AL-5B",0.39,IF(D108="AL-6B",0.23,IF(D108="PH Classic",0.6*D105/D101*3.6,IF(D108="PH Low",1*D105/D101*3.6,IF(D108="PH+",0.1)))))))</f>
        <v>0</v>
      </c>
    </row>
    <row r="4910" spans="1:1" ht="11.75" customHeight="1">
      <c r="A4910" s="1989" t="b">
        <f>D108="AL-3B"</f>
        <v>0</v>
      </c>
    </row>
    <row r="4911" spans="1:1" ht="11.75" customHeight="1">
      <c r="A4911" s="1989" t="b">
        <f>IF(D108="AL-4B",0.59,IF(D108="AL-5B",0.39,IF(D108="AL-6B",0.23,IF(D108="PH Classic",0.6*D105/D101*3.6,IF(D108="PH Low",1*D105/D101*3.6,IF(D108="PH+",0.1))))))</f>
        <v>0</v>
      </c>
    </row>
    <row r="4912" spans="1:1" ht="11.75" customHeight="1">
      <c r="A4912" s="1989" t="b">
        <f>D108="AL-4B"</f>
        <v>0</v>
      </c>
    </row>
    <row r="4913" spans="1:1" ht="11.75" customHeight="1">
      <c r="A4913" s="1989" t="b">
        <f>IF(D108="AL-5B",0.39,IF(D108="AL-6B",0.23,IF(D108="PH Classic",0.6*D105/D101*3.6,IF(D108="PH Low",1*D105/D101*3.6,IF(D108="PH+",0.1)))))</f>
        <v>0</v>
      </c>
    </row>
    <row r="4914" spans="1:1" ht="11.75" customHeight="1">
      <c r="A4914" s="1989" t="b">
        <f>D108="AL-5B"</f>
        <v>0</v>
      </c>
    </row>
    <row r="4915" spans="1:1" ht="11.75" customHeight="1">
      <c r="A4915" s="1989" t="b">
        <f>IF(D108="AL-6B",0.23,IF(D108="PH Classic",0.6*D105/D101*3.6,IF(D108="PH Low",1*D105/D101*3.6,IF(D108="PH+",0.1))))</f>
        <v>0</v>
      </c>
    </row>
    <row r="4916" spans="1:1" ht="11.75" customHeight="1">
      <c r="A4916" s="1989" t="b">
        <f>D108="AL-6B"</f>
        <v>0</v>
      </c>
    </row>
    <row r="4917" spans="1:1" ht="11.75" customHeight="1">
      <c r="A4917" s="1989" t="b">
        <f>IF(D108="PH Classic",0.6*D105/D101*3.6,IF(D108="PH Low",1*D105/D101*3.6,IF(D108="PH+",0.1)))</f>
        <v>0</v>
      </c>
    </row>
    <row r="4918" spans="1:1" ht="11.75" customHeight="1">
      <c r="A4918" s="1989" t="b">
        <f>D108="PH Classic"</f>
        <v>0</v>
      </c>
    </row>
    <row r="4919" spans="1:1" ht="11.75" customHeight="1">
      <c r="A4919" s="1989">
        <f>0.6*D105/D101*3.6</f>
        <v>6.9772512537248366</v>
      </c>
    </row>
    <row r="4920" spans="1:1" ht="11.75" customHeight="1">
      <c r="A4920" s="1989">
        <f>0.6*D105</f>
        <v>4800</v>
      </c>
    </row>
    <row r="4921" spans="1:1" ht="11.75" customHeight="1">
      <c r="A4921" s="1989">
        <f>D101*3.6</f>
        <v>8915.8319999999985</v>
      </c>
    </row>
    <row r="4922" spans="1:1" ht="11.75" customHeight="1">
      <c r="A4922" s="1989" t="b">
        <f>IF(D108="PH Low",1*D105/D101*3.6,IF(D108="PH+",0.1))</f>
        <v>0</v>
      </c>
    </row>
    <row r="4923" spans="1:1" ht="11.75" customHeight="1">
      <c r="A4923" s="1989" t="b">
        <f>D108="PH Low"</f>
        <v>0</v>
      </c>
    </row>
    <row r="4924" spans="1:1" ht="11.75" customHeight="1">
      <c r="A4924" s="1989">
        <f>1*D105/D101*3.6</f>
        <v>11.628752089541393</v>
      </c>
    </row>
    <row r="4925" spans="1:1" ht="11.75" customHeight="1">
      <c r="A4925" s="1989">
        <f>1*D105</f>
        <v>8000</v>
      </c>
    </row>
    <row r="4926" spans="1:1" ht="11.75" customHeight="1">
      <c r="A4926" s="1989">
        <f>D101*3.6</f>
        <v>8915.8319999999985</v>
      </c>
    </row>
    <row r="4927" spans="1:1" ht="11.75" customHeight="1">
      <c r="A4927" s="1990">
        <f>H27-D43</f>
        <v>132765.64793897627</v>
      </c>
    </row>
    <row r="4928" spans="1:1" ht="11.75" customHeight="1">
      <c r="A4928" s="1989" t="b">
        <f>D113="Electricity"</f>
        <v>0</v>
      </c>
    </row>
    <row r="4929" spans="1:1" ht="11.75" customHeight="1">
      <c r="A4929" s="1990">
        <f>I103+K51+D117+M121+I101+I102+M43+SUM(H65:H67)</f>
        <v>265287.6445956853</v>
      </c>
    </row>
    <row r="4930" spans="1:1" ht="11.75" customHeight="1">
      <c r="A4930" s="1990">
        <f>I103+K51+D117+M121+I101+I102+M43</f>
        <v>180897.30859568529</v>
      </c>
    </row>
    <row r="4931" spans="1:1" ht="11.75" customHeight="1">
      <c r="A4931" s="1990">
        <f>I103+K51+D117+M121+I101+I102</f>
        <v>180897.30859568529</v>
      </c>
    </row>
    <row r="4932" spans="1:1" ht="11.75" customHeight="1">
      <c r="A4932" s="1990">
        <f>I103+K51+D117+M121+I101</f>
        <v>164109.06314703665</v>
      </c>
    </row>
    <row r="4933" spans="1:1" ht="11.75" customHeight="1">
      <c r="A4933" s="1990">
        <f>I103+K51+D117+M121</f>
        <v>88005.3704468098</v>
      </c>
    </row>
    <row r="4934" spans="1:1" ht="11.75" customHeight="1">
      <c r="A4934" s="1990">
        <f>I103+K51+D117</f>
        <v>39024.570446809812</v>
      </c>
    </row>
    <row r="4935" spans="1:1" ht="11.75" customHeight="1">
      <c r="A4935" s="1990">
        <f>I103+K51</f>
        <v>36006.531012790423</v>
      </c>
    </row>
    <row r="4936" spans="1:1" ht="11.75" customHeight="1">
      <c r="A4936" s="1989">
        <f>1.21*G108*D20*24/1000*D101</f>
        <v>387079.06311359996</v>
      </c>
    </row>
    <row r="4937" spans="1:1" ht="11.75" customHeight="1">
      <c r="A4937" s="1989">
        <f>1.21*G108*D20*24/1000</f>
        <v>156.29328000000001</v>
      </c>
    </row>
    <row r="4938" spans="1:1" ht="11.75" customHeight="1">
      <c r="A4938" s="1989">
        <f>1.21*G108*D20*24</f>
        <v>156293.28</v>
      </c>
    </row>
    <row r="4939" spans="1:1" ht="11.75" customHeight="1">
      <c r="A4939" s="1989">
        <f>1.21*G108*D20</f>
        <v>6512.22</v>
      </c>
    </row>
    <row r="4940" spans="1:1" ht="11.75" customHeight="1">
      <c r="A4940" s="1989">
        <f>1.21*G108</f>
        <v>1.4157</v>
      </c>
    </row>
    <row r="4941" spans="1:1" ht="11.75" customHeight="1">
      <c r="A4941" s="1989" t="b">
        <f>D108="Measured"</f>
        <v>0</v>
      </c>
    </row>
    <row r="4942" spans="1:1" ht="11.75" customHeight="1">
      <c r="A4942" s="1989">
        <f>G109*D105/D101*3.6</f>
        <v>17.44312813431209</v>
      </c>
    </row>
    <row r="4943" spans="1:1" ht="11.75" customHeight="1">
      <c r="A4943" s="1989">
        <f>G109*D105</f>
        <v>12000</v>
      </c>
    </row>
    <row r="4944" spans="1:1" ht="11.75" customHeight="1">
      <c r="A4944" s="1989">
        <f>D101*3.6</f>
        <v>8915.8319999999985</v>
      </c>
    </row>
    <row r="4945" spans="1:1" ht="11.75" customHeight="1">
      <c r="A4945" s="1989">
        <f>IF(D108="AL-1A",0.89,IF(D108="AL-2A",0.71,IF(D108="AL-3A",0.53,IF(D108="AL-4A",0.35,IF(D108="AL-5A",0.21,IF(D108="AL-1B",1.17,IF(D108="AL-2B",0.98,IF(D108="AL-3B",0.78,IF(D108="AL-4B",0.59,IF(D108="AL-5B",0.39,IF(D108="AL-6B",0.23,IF(D108="PH Classic",0.6*D105/D101*3.6,IF(D108="PH Low",1*D105/D101*3.6,IF(D108="PH+",0.1))))))))))))))</f>
        <v>1.17</v>
      </c>
    </row>
    <row r="4946" spans="1:1" ht="11.75" customHeight="1">
      <c r="A4946" s="1989" t="b">
        <f>D108="AL-1A"</f>
        <v>0</v>
      </c>
    </row>
    <row r="4947" spans="1:1" ht="11.75" customHeight="1">
      <c r="A4947" s="1989">
        <f>IF(D108="AL-2A",0.71,IF(D108="AL-3A",0.53,IF(D108="AL-4A",0.35,IF(D108="AL-5A",0.21,IF(D108="AL-1B",1.17,IF(D108="AL-2B",0.98,IF(D108="AL-3B",0.78,IF(D108="AL-4B",0.59,IF(D108="AL-5B",0.39,IF(D108="AL-6B",0.23,IF(D108="PH Classic",0.6*D105/D101*3.6,IF(D108="PH Low",1*D105/D101*3.6,IF(D108="PH+",0.1)))))))))))))</f>
        <v>1.17</v>
      </c>
    </row>
    <row r="4948" spans="1:1" ht="11.75" customHeight="1">
      <c r="A4948" s="1989" t="b">
        <f>D108="AL-2A"</f>
        <v>0</v>
      </c>
    </row>
    <row r="4949" spans="1:1" ht="11.75" customHeight="1">
      <c r="A4949" s="1989">
        <f>IF(D108="AL-3A",0.53,IF(D108="AL-4A",0.35,IF(D108="AL-5A",0.21,IF(D108="AL-1B",1.17,IF(D108="AL-2B",0.98,IF(D108="AL-3B",0.78,IF(D108="AL-4B",0.59,IF(D108="AL-5B",0.39,IF(D108="AL-6B",0.23,IF(D108="PH Classic",0.6*D105/D101*3.6,IF(D108="PH Low",1*D105/D101*3.6,IF(D108="PH+",0.1))))))))))))</f>
        <v>1.17</v>
      </c>
    </row>
    <row r="4950" spans="1:1" ht="11.75" customHeight="1">
      <c r="A4950" s="1989" t="b">
        <f>D108="AL-3A"</f>
        <v>0</v>
      </c>
    </row>
    <row r="4951" spans="1:1" ht="11.75" customHeight="1">
      <c r="A4951" s="1989">
        <f>IF(D108="AL-4A",0.35,IF(D108="AL-5A",0.21,IF(D108="AL-1B",1.17,IF(D108="AL-2B",0.98,IF(D108="AL-3B",0.78,IF(D108="AL-4B",0.59,IF(D108="AL-5B",0.39,IF(D108="AL-6B",0.23,IF(D108="PH Classic",0.6*D105/D101*3.6,IF(D108="PH Low",1*D105/D101*3.6,IF(D108="PH+",0.1)))))))))))</f>
        <v>1.17</v>
      </c>
    </row>
    <row r="4952" spans="1:1" ht="11.75" customHeight="1">
      <c r="A4952" s="1989" t="b">
        <f>D108="AL-4A"</f>
        <v>0</v>
      </c>
    </row>
    <row r="4953" spans="1:1" ht="11.75" customHeight="1">
      <c r="A4953" s="1989">
        <f>IF(D108="AL-5A",0.21,IF(D108="AL-1B",1.17,IF(D108="AL-2B",0.98,IF(D108="AL-3B",0.78,IF(D108="AL-4B",0.59,IF(D108="AL-5B",0.39,IF(D108="AL-6B",0.23,IF(D108="PH Classic",0.6*D105/D101*3.6,IF(D108="PH Low",1*D105/D101*3.6,IF(D108="PH+",0.1))))))))))</f>
        <v>1.17</v>
      </c>
    </row>
    <row r="4954" spans="1:1" ht="11.75" customHeight="1">
      <c r="A4954" s="1989" t="b">
        <f>D108="AL-5A"</f>
        <v>0</v>
      </c>
    </row>
    <row r="4955" spans="1:1" ht="11.75" customHeight="1">
      <c r="A4955" s="1989">
        <f>IF(D108="AL-1B",1.17,IF(D108="AL-2B",0.98,IF(D108="AL-3B",0.78,IF(D108="AL-4B",0.59,IF(D108="AL-5B",0.39,IF(D108="AL-6B",0.23,IF(D108="PH Classic",0.6*D105/D101*3.6,IF(D108="PH Low",1*D105/D101*3.6,IF(D108="PH+",0.1)))))))))</f>
        <v>1.17</v>
      </c>
    </row>
    <row r="4956" spans="1:1" ht="11.75" customHeight="1">
      <c r="A4956" s="1989" t="b">
        <f>D108="AL-1B"</f>
        <v>1</v>
      </c>
    </row>
    <row r="4957" spans="1:1" ht="11.75" customHeight="1">
      <c r="A4957" s="1989" t="b">
        <f>IF(D108="AL-2B",0.98,IF(D108="AL-3B",0.78,IF(D108="AL-4B",0.59,IF(D108="AL-5B",0.39,IF(D108="AL-6B",0.23,IF(D108="PH Classic",0.6*D105/D101*3.6,IF(D108="PH Low",1*D105/D101*3.6,IF(D108="PH+",0.1))))))))</f>
        <v>0</v>
      </c>
    </row>
    <row r="4958" spans="1:1" ht="11.75" customHeight="1">
      <c r="A4958" s="1989" t="b">
        <f>D108="AL-2B"</f>
        <v>0</v>
      </c>
    </row>
    <row r="4959" spans="1:1" ht="11.75" customHeight="1">
      <c r="A4959" s="1989" t="b">
        <f>IF(D108="AL-3B",0.78,IF(D108="AL-4B",0.59,IF(D108="AL-5B",0.39,IF(D108="AL-6B",0.23,IF(D108="PH Classic",0.6*D105/D101*3.6,IF(D108="PH Low",1*D105/D101*3.6,IF(D108="PH+",0.1)))))))</f>
        <v>0</v>
      </c>
    </row>
    <row r="4960" spans="1:1" ht="11.75" customHeight="1">
      <c r="A4960" s="1989" t="b">
        <f>D108="AL-3B"</f>
        <v>0</v>
      </c>
    </row>
    <row r="4961" spans="1:1" ht="11.75" customHeight="1">
      <c r="A4961" s="1989" t="b">
        <f>IF(D108="AL-4B",0.59,IF(D108="AL-5B",0.39,IF(D108="AL-6B",0.23,IF(D108="PH Classic",0.6*D105/D101*3.6,IF(D108="PH Low",1*D105/D101*3.6,IF(D108="PH+",0.1))))))</f>
        <v>0</v>
      </c>
    </row>
    <row r="4962" spans="1:1" ht="11.75" customHeight="1">
      <c r="A4962" s="1989" t="b">
        <f>D108="AL-4B"</f>
        <v>0</v>
      </c>
    </row>
    <row r="4963" spans="1:1" ht="11.75" customHeight="1">
      <c r="A4963" s="1989" t="b">
        <f>IF(D108="AL-5B",0.39,IF(D108="AL-6B",0.23,IF(D108="PH Classic",0.6*D105/D101*3.6,IF(D108="PH Low",1*D105/D101*3.6,IF(D108="PH+",0.1)))))</f>
        <v>0</v>
      </c>
    </row>
    <row r="4964" spans="1:1" ht="11.75" customHeight="1">
      <c r="A4964" s="1989" t="b">
        <f>D108="AL-5B"</f>
        <v>0</v>
      </c>
    </row>
    <row r="4965" spans="1:1" ht="11.75" customHeight="1">
      <c r="A4965" s="1989" t="b">
        <f>IF(D108="AL-6B",0.23,IF(D108="PH Classic",0.6*D105/D101*3.6,IF(D108="PH Low",1*D105/D101*3.6,IF(D108="PH+",0.1))))</f>
        <v>0</v>
      </c>
    </row>
    <row r="4966" spans="1:1" ht="11.75" customHeight="1">
      <c r="A4966" s="1989" t="b">
        <f>D108="AL-6B"</f>
        <v>0</v>
      </c>
    </row>
    <row r="4967" spans="1:1" ht="11.75" customHeight="1">
      <c r="A4967" s="1989" t="b">
        <f>IF(D108="PH Classic",0.6*D105/D101*3.6,IF(D108="PH Low",1*D105/D101*3.6,IF(D108="PH+",0.1)))</f>
        <v>0</v>
      </c>
    </row>
    <row r="4968" spans="1:1" ht="11.75" customHeight="1">
      <c r="A4968" s="1989" t="b">
        <f>D108="PH Classic"</f>
        <v>0</v>
      </c>
    </row>
    <row r="4969" spans="1:1" ht="11.75" customHeight="1">
      <c r="A4969" s="1989">
        <f>0.6*D105/D101*3.6</f>
        <v>6.9772512537248366</v>
      </c>
    </row>
    <row r="4970" spans="1:1" ht="11.75" customHeight="1">
      <c r="A4970" s="1989">
        <f>0.6*D105</f>
        <v>4800</v>
      </c>
    </row>
    <row r="4971" spans="1:1" ht="11.75" customHeight="1">
      <c r="A4971" s="1989">
        <f>D101*3.6</f>
        <v>8915.8319999999985</v>
      </c>
    </row>
    <row r="4972" spans="1:1" ht="11.75" customHeight="1">
      <c r="A4972" s="1989" t="b">
        <f>IF(D108="PH Low",1*D105/D101*3.6,IF(D108="PH+",0.1))</f>
        <v>0</v>
      </c>
    </row>
    <row r="4973" spans="1:1" ht="11.75" customHeight="1">
      <c r="A4973" s="1989" t="b">
        <f>D108="PH Low"</f>
        <v>0</v>
      </c>
    </row>
    <row r="4974" spans="1:1" ht="11.75" customHeight="1">
      <c r="A4974" s="1989">
        <f>1*D105/D101*3.6</f>
        <v>11.628752089541393</v>
      </c>
    </row>
    <row r="4975" spans="1:1" ht="11.75" customHeight="1">
      <c r="A4975" s="1989">
        <f>1*D105</f>
        <v>8000</v>
      </c>
    </row>
    <row r="4976" spans="1:1" ht="11.75" customHeight="1">
      <c r="A4976" s="1989">
        <f>D101*3.6</f>
        <v>8915.8319999999985</v>
      </c>
    </row>
    <row r="4977" spans="1:1" ht="11.75" customHeight="1">
      <c r="A4977" s="1990">
        <f>H27-D43</f>
        <v>132765.64793897627</v>
      </c>
    </row>
    <row r="4978" spans="1:1" ht="11.75" customHeight="1">
      <c r="A4978" s="1989" t="b">
        <f>D113="Electricity"</f>
        <v>0</v>
      </c>
    </row>
    <row r="4979" spans="1:1" ht="11.75" customHeight="1">
      <c r="A4979" s="1990">
        <f>I103+K51+D117+M121+I101+I102+M43+SUM(H65:H67)</f>
        <v>265287.6445956853</v>
      </c>
    </row>
    <row r="4980" spans="1:1" ht="11.75" customHeight="1">
      <c r="A4980" s="1990">
        <f>I103+K51+D117+M121+I101+I102+M43</f>
        <v>180897.30859568529</v>
      </c>
    </row>
    <row r="4981" spans="1:1" ht="11.75" customHeight="1">
      <c r="A4981" s="1990">
        <f>I103+K51+D117+M121+I101+I102</f>
        <v>180897.30859568529</v>
      </c>
    </row>
    <row r="4982" spans="1:1" ht="11.75" customHeight="1">
      <c r="A4982" s="1990">
        <f>I103+K51+D117+M121+I101</f>
        <v>164109.06314703665</v>
      </c>
    </row>
    <row r="4983" spans="1:1" ht="11.75" customHeight="1">
      <c r="A4983" s="1990">
        <f>I103+K51+D117+M121</f>
        <v>88005.3704468098</v>
      </c>
    </row>
    <row r="4984" spans="1:1" ht="11.75" customHeight="1">
      <c r="A4984" s="1990">
        <f>I103+K51+D117</f>
        <v>39024.570446809812</v>
      </c>
    </row>
    <row r="4985" spans="1:1" ht="11.75" customHeight="1">
      <c r="A4985" s="1990">
        <f>I103+K51</f>
        <v>36006.531012790423</v>
      </c>
    </row>
    <row r="4986" spans="1:1" ht="11.75" customHeight="1">
      <c r="A4986" s="1989">
        <f>1.21*G108*D20*24/1000*D101</f>
        <v>387079.06311359996</v>
      </c>
    </row>
    <row r="4987" spans="1:1" ht="11.75" customHeight="1">
      <c r="A4987" s="1989">
        <f>1.21*G108*D20*24/1000</f>
        <v>156.29328000000001</v>
      </c>
    </row>
    <row r="4988" spans="1:1" ht="11.75" customHeight="1">
      <c r="A4988" s="1989">
        <f>1.21*G108*D20*24</f>
        <v>156293.28</v>
      </c>
    </row>
    <row r="4989" spans="1:1" ht="11.75" customHeight="1">
      <c r="A4989" s="1989">
        <f>1.21*G108*D20</f>
        <v>6512.22</v>
      </c>
    </row>
    <row r="4990" spans="1:1" ht="11.75" customHeight="1">
      <c r="A4990" s="1989">
        <f>1.21*G108</f>
        <v>1.4157</v>
      </c>
    </row>
    <row r="4991" spans="1:1" ht="11.75" customHeight="1">
      <c r="A4991" s="1989" t="b">
        <f>D108="Measured"</f>
        <v>0</v>
      </c>
    </row>
    <row r="4992" spans="1:1" ht="11.75" customHeight="1">
      <c r="A4992" s="1989">
        <f>G109*D105/D101*3.6</f>
        <v>17.44312813431209</v>
      </c>
    </row>
    <row r="4993" spans="1:1" ht="11.75" customHeight="1">
      <c r="A4993" s="1989">
        <f>G109*D105</f>
        <v>12000</v>
      </c>
    </row>
    <row r="4994" spans="1:1" ht="11.75" customHeight="1">
      <c r="A4994" s="1989">
        <f>D101*3.6</f>
        <v>8915.8319999999985</v>
      </c>
    </row>
    <row r="4995" spans="1:1" ht="11.75" customHeight="1">
      <c r="A4995" s="1989">
        <f>IF(D108="AL-1A",0.89,IF(D108="AL-2A",0.71,IF(D108="AL-3A",0.53,IF(D108="AL-4A",0.35,IF(D108="AL-5A",0.21,IF(D108="AL-1B",1.17,IF(D108="AL-2B",0.98,IF(D108="AL-3B",0.78,IF(D108="AL-4B",0.59,IF(D108="AL-5B",0.39,IF(D108="AL-6B",0.23,IF(D108="PH Classic",0.6*D105/D101*3.6,IF(D108="PH Low",1*D105/D101*3.6,IF(D108="PH+",0.1))))))))))))))</f>
        <v>1.17</v>
      </c>
    </row>
    <row r="4996" spans="1:1" ht="11.75" customHeight="1">
      <c r="A4996" s="1989" t="b">
        <f>D108="AL-1A"</f>
        <v>0</v>
      </c>
    </row>
    <row r="4997" spans="1:1" ht="11.75" customHeight="1">
      <c r="A4997" s="1989">
        <f>IF(D108="AL-2A",0.71,IF(D108="AL-3A",0.53,IF(D108="AL-4A",0.35,IF(D108="AL-5A",0.21,IF(D108="AL-1B",1.17,IF(D108="AL-2B",0.98,IF(D108="AL-3B",0.78,IF(D108="AL-4B",0.59,IF(D108="AL-5B",0.39,IF(D108="AL-6B",0.23,IF(D108="PH Classic",0.6*D105/D101*3.6,IF(D108="PH Low",1*D105/D101*3.6,IF(D108="PH+",0.1)))))))))))))</f>
        <v>1.17</v>
      </c>
    </row>
    <row r="4998" spans="1:1" ht="11.75" customHeight="1">
      <c r="A4998" s="1989" t="b">
        <f>D108="AL-2A"</f>
        <v>0</v>
      </c>
    </row>
    <row r="4999" spans="1:1" ht="11.75" customHeight="1">
      <c r="A4999" s="1989">
        <f>IF(D108="AL-3A",0.53,IF(D108="AL-4A",0.35,IF(D108="AL-5A",0.21,IF(D108="AL-1B",1.17,IF(D108="AL-2B",0.98,IF(D108="AL-3B",0.78,IF(D108="AL-4B",0.59,IF(D108="AL-5B",0.39,IF(D108="AL-6B",0.23,IF(D108="PH Classic",0.6*D105/D101*3.6,IF(D108="PH Low",1*D105/D101*3.6,IF(D108="PH+",0.1))))))))))))</f>
        <v>1.17</v>
      </c>
    </row>
    <row r="5000" spans="1:1" ht="11.75" customHeight="1">
      <c r="A5000" s="1989" t="b">
        <f>D108="AL-3A"</f>
        <v>0</v>
      </c>
    </row>
    <row r="5001" spans="1:1" ht="11.75" customHeight="1">
      <c r="A5001" s="1989">
        <f>IF(D108="AL-4A",0.35,IF(D108="AL-5A",0.21,IF(D108="AL-1B",1.17,IF(D108="AL-2B",0.98,IF(D108="AL-3B",0.78,IF(D108="AL-4B",0.59,IF(D108="AL-5B",0.39,IF(D108="AL-6B",0.23,IF(D108="PH Classic",0.6*D105/D101*3.6,IF(D108="PH Low",1*D105/D101*3.6,IF(D108="PH+",0.1)))))))))))</f>
        <v>1.17</v>
      </c>
    </row>
    <row r="5002" spans="1:1" ht="11.75" customHeight="1">
      <c r="A5002" s="1989" t="b">
        <f>D108="AL-4A"</f>
        <v>0</v>
      </c>
    </row>
    <row r="5003" spans="1:1" ht="11.75" customHeight="1">
      <c r="A5003" s="1989">
        <f>IF(D108="AL-5A",0.21,IF(D108="AL-1B",1.17,IF(D108="AL-2B",0.98,IF(D108="AL-3B",0.78,IF(D108="AL-4B",0.59,IF(D108="AL-5B",0.39,IF(D108="AL-6B",0.23,IF(D108="PH Classic",0.6*D105/D101*3.6,IF(D108="PH Low",1*D105/D101*3.6,IF(D108="PH+",0.1))))))))))</f>
        <v>1.17</v>
      </c>
    </row>
    <row r="5004" spans="1:1" ht="11.75" customHeight="1">
      <c r="A5004" s="1989" t="b">
        <f>D108="AL-5A"</f>
        <v>0</v>
      </c>
    </row>
    <row r="5005" spans="1:1" ht="11.75" customHeight="1">
      <c r="A5005" s="1989">
        <f>IF(D108="AL-1B",1.17,IF(D108="AL-2B",0.98,IF(D108="AL-3B",0.78,IF(D108="AL-4B",0.59,IF(D108="AL-5B",0.39,IF(D108="AL-6B",0.23,IF(D108="PH Classic",0.6*D105/D101*3.6,IF(D108="PH Low",1*D105/D101*3.6,IF(D108="PH+",0.1)))))))))</f>
        <v>1.17</v>
      </c>
    </row>
    <row r="5006" spans="1:1" ht="11.75" customHeight="1">
      <c r="A5006" s="1989" t="b">
        <f>D108="AL-1B"</f>
        <v>1</v>
      </c>
    </row>
    <row r="5007" spans="1:1" ht="11.75" customHeight="1">
      <c r="A5007" s="1989" t="b">
        <f>IF(D108="AL-2B",0.98,IF(D108="AL-3B",0.78,IF(D108="AL-4B",0.59,IF(D108="AL-5B",0.39,IF(D108="AL-6B",0.23,IF(D108="PH Classic",0.6*D105/D101*3.6,IF(D108="PH Low",1*D105/D101*3.6,IF(D108="PH+",0.1))))))))</f>
        <v>0</v>
      </c>
    </row>
    <row r="5008" spans="1:1" ht="11.75" customHeight="1">
      <c r="A5008" s="1989" t="b">
        <f>D108="AL-2B"</f>
        <v>0</v>
      </c>
    </row>
    <row r="5009" spans="1:1" ht="11.75" customHeight="1">
      <c r="A5009" s="1989" t="b">
        <f>IF(D108="AL-3B",0.78,IF(D108="AL-4B",0.59,IF(D108="AL-5B",0.39,IF(D108="AL-6B",0.23,IF(D108="PH Classic",0.6*D105/D101*3.6,IF(D108="PH Low",1*D105/D101*3.6,IF(D108="PH+",0.1)))))))</f>
        <v>0</v>
      </c>
    </row>
    <row r="5010" spans="1:1" ht="11.75" customHeight="1">
      <c r="A5010" s="1989" t="b">
        <f>D108="AL-3B"</f>
        <v>0</v>
      </c>
    </row>
    <row r="5011" spans="1:1" ht="11.75" customHeight="1">
      <c r="A5011" s="1989" t="b">
        <f>IF(D108="AL-4B",0.59,IF(D108="AL-5B",0.39,IF(D108="AL-6B",0.23,IF(D108="PH Classic",0.6*D105/D101*3.6,IF(D108="PH Low",1*D105/D101*3.6,IF(D108="PH+",0.1))))))</f>
        <v>0</v>
      </c>
    </row>
    <row r="5012" spans="1:1" ht="11.75" customHeight="1">
      <c r="A5012" s="1989" t="b">
        <f>D108="AL-4B"</f>
        <v>0</v>
      </c>
    </row>
    <row r="5013" spans="1:1" ht="11.75" customHeight="1">
      <c r="A5013" s="1989" t="b">
        <f>IF(D108="AL-5B",0.39,IF(D108="AL-6B",0.23,IF(D108="PH Classic",0.6*D105/D101*3.6,IF(D108="PH Low",1*D105/D101*3.6,IF(D108="PH+",0.1)))))</f>
        <v>0</v>
      </c>
    </row>
    <row r="5014" spans="1:1" ht="11.75" customHeight="1">
      <c r="A5014" s="1989" t="b">
        <f>D108="AL-5B"</f>
        <v>0</v>
      </c>
    </row>
    <row r="5015" spans="1:1" ht="11.75" customHeight="1">
      <c r="A5015" s="1989" t="b">
        <f>IF(D108="AL-6B",0.23,IF(D108="PH Classic",0.6*D105/D101*3.6,IF(D108="PH Low",1*D105/D101*3.6,IF(D108="PH+",0.1))))</f>
        <v>0</v>
      </c>
    </row>
    <row r="5016" spans="1:1" ht="11.75" customHeight="1">
      <c r="A5016" s="1989" t="b">
        <f>D108="AL-6B"</f>
        <v>0</v>
      </c>
    </row>
    <row r="5017" spans="1:1" ht="11.75" customHeight="1">
      <c r="A5017" s="1989" t="b">
        <f>IF(D108="PH Classic",0.6*D105/D101*3.6,IF(D108="PH Low",1*D105/D101*3.6,IF(D108="PH+",0.1)))</f>
        <v>0</v>
      </c>
    </row>
    <row r="5018" spans="1:1" ht="11.75" customHeight="1">
      <c r="A5018" s="1989" t="b">
        <f>D108="PH Classic"</f>
        <v>0</v>
      </c>
    </row>
    <row r="5019" spans="1:1" ht="11.75" customHeight="1">
      <c r="A5019" s="1989">
        <f>0.6*D105/D101*3.6</f>
        <v>6.9772512537248366</v>
      </c>
    </row>
    <row r="5020" spans="1:1" ht="11.75" customHeight="1">
      <c r="A5020" s="1989">
        <f>0.6*D105</f>
        <v>4800</v>
      </c>
    </row>
    <row r="5021" spans="1:1" ht="11.75" customHeight="1">
      <c r="A5021" s="1989">
        <f>D101*3.6</f>
        <v>8915.8319999999985</v>
      </c>
    </row>
    <row r="5022" spans="1:1" ht="11.75" customHeight="1">
      <c r="A5022" s="1989" t="b">
        <f>IF(D108="PH Low",1*D105/D101*3.6,IF(D108="PH+",0.1))</f>
        <v>0</v>
      </c>
    </row>
    <row r="5023" spans="1:1" ht="11.75" customHeight="1">
      <c r="A5023" s="1989" t="b">
        <f>D108="PH Low"</f>
        <v>0</v>
      </c>
    </row>
    <row r="5024" spans="1:1" ht="11.75" customHeight="1">
      <c r="A5024" s="1989">
        <f>1*D105/D101*3.6</f>
        <v>11.628752089541393</v>
      </c>
    </row>
    <row r="5025" spans="1:1" ht="11.75" customHeight="1">
      <c r="A5025" s="1989">
        <f>1*D105</f>
        <v>8000</v>
      </c>
    </row>
    <row r="5026" spans="1:1" ht="11.75" customHeight="1">
      <c r="A5026" s="1989">
        <f>D101*3.6</f>
        <v>8915.8319999999985</v>
      </c>
    </row>
    <row r="5027" spans="1:1" ht="11.75" customHeight="1">
      <c r="A5027" s="1989" t="b">
        <f>IF(D108="PH+",0.1)</f>
        <v>0</v>
      </c>
    </row>
    <row r="5028" spans="1:1" ht="11.75" customHeight="1">
      <c r="A5028" s="1989" t="b">
        <f>D108="PH+"</f>
        <v>0</v>
      </c>
    </row>
    <row r="5029" spans="1:1" ht="11.75" customHeight="1">
      <c r="A5029" s="1989">
        <f>IF(H20="Present",VLOOKUP(H19,CANADA!A6:K699,9,FALSE),VLOOKUP(H19,CANADA!A6:K699,11,FALSE))</f>
        <v>4600</v>
      </c>
    </row>
    <row r="5030" spans="1:1" ht="11.75" customHeight="1">
      <c r="A5030" s="1989">
        <f>MATCH('NRL50-n-Factors'!D34,'NRL50-n-Factors'!C38:C49,0)</f>
        <v>5</v>
      </c>
    </row>
    <row r="5031" spans="1:1" ht="11.75" customHeight="1">
      <c r="A5031" s="1989">
        <f>MATCH(REPORT!D103,'NRL50-n-Factors'!D37:J37,0)</f>
        <v>2</v>
      </c>
    </row>
    <row r="5032" spans="1:1" ht="11.75" customHeight="1">
      <c r="A5032" s="1989" t="b">
        <f>D51="Gas"</f>
        <v>0</v>
      </c>
    </row>
    <row r="5033" spans="1:1" ht="11.75" customHeight="1">
      <c r="A5033" s="1989">
        <f>D$20*G101*24</f>
        <v>30728.853316304834</v>
      </c>
    </row>
    <row r="5034" spans="1:1" ht="11.75" customHeight="1">
      <c r="A5034" s="1989">
        <f>SUM(H65:H67)</f>
        <v>84390.33600000001</v>
      </c>
    </row>
    <row r="5035" spans="1:1" ht="11.75" customHeight="1">
      <c r="A5035" s="1989">
        <f>IF(D113="Heatpump",K51+D117+D114+M43+H70,IF(D113="Gas",K51+D117+M43+H70))</f>
        <v>132765.64793897627</v>
      </c>
    </row>
    <row r="5036" spans="1:1" ht="11.75" customHeight="1">
      <c r="A5036" s="1989" t="b">
        <f>D113="Heatpump"</f>
        <v>1</v>
      </c>
    </row>
    <row r="5037" spans="1:1" ht="11.75" customHeight="1">
      <c r="A5037" s="1990">
        <f>K51+D117+D114+M43+H70</f>
        <v>132765.64793897627</v>
      </c>
    </row>
    <row r="5038" spans="1:1" ht="11.75" customHeight="1">
      <c r="A5038" s="1989" t="b">
        <f>IF(D113="Gas",K51+D117+M43+H70)</f>
        <v>0</v>
      </c>
    </row>
    <row r="5039" spans="1:1" ht="11.75" customHeight="1">
      <c r="A5039" s="1989">
        <f>SUM(D44:D46)</f>
        <v>0</v>
      </c>
    </row>
    <row r="5040" spans="1:1" ht="11.75" customHeight="1">
      <c r="A5040" s="1990">
        <f>I44+I45</f>
        <v>0</v>
      </c>
    </row>
    <row r="5041" spans="1:1" ht="11.75" customHeight="1">
      <c r="A5041" s="1989">
        <f>H28*0.0373</f>
        <v>0</v>
      </c>
    </row>
    <row r="5042" spans="1:1" ht="11.75" customHeight="1">
      <c r="A5042" s="1989">
        <f>H30*36.72</f>
        <v>0</v>
      </c>
    </row>
    <row r="5043" spans="1:1" ht="11.75" customHeight="1">
      <c r="A5043" s="1990">
        <f>H27-D43</f>
        <v>132765.64793897627</v>
      </c>
    </row>
    <row r="5044" spans="1:1" ht="11.75" customHeight="1">
      <c r="A5044" s="1989" t="b">
        <f>D113="Electricity"</f>
        <v>0</v>
      </c>
    </row>
    <row r="5045" spans="1:1" ht="11.75" customHeight="1">
      <c r="A5045" s="1990">
        <f>I103+K51+D117+M121+I101+I102+M43+SUM(H65:H67)</f>
        <v>265287.6445956853</v>
      </c>
    </row>
    <row r="5046" spans="1:1" ht="11.75" customHeight="1">
      <c r="A5046" s="1990">
        <f>I103+K51+D117+M121+I101+I102+M43</f>
        <v>180897.30859568529</v>
      </c>
    </row>
    <row r="5047" spans="1:1" ht="11.75" customHeight="1">
      <c r="A5047" s="1990">
        <f>I103+K51+D117+M121+I101+I102</f>
        <v>180897.30859568529</v>
      </c>
    </row>
    <row r="5048" spans="1:1" ht="11.75" customHeight="1">
      <c r="A5048" s="1990">
        <f>I103+K51+D117+M121+I101</f>
        <v>164109.06314703665</v>
      </c>
    </row>
    <row r="5049" spans="1:1" ht="11.75" customHeight="1">
      <c r="A5049" s="1990">
        <f>I103+K51+D117+M121</f>
        <v>88005.3704468098</v>
      </c>
    </row>
    <row r="5050" spans="1:1" ht="11.75" customHeight="1">
      <c r="A5050" s="1990">
        <f>I103+K51+D117</f>
        <v>39024.570446809812</v>
      </c>
    </row>
    <row r="5051" spans="1:1" ht="11.75" customHeight="1">
      <c r="A5051" s="1990">
        <f>I103+K51</f>
        <v>36006.531012790423</v>
      </c>
    </row>
    <row r="5052" spans="1:1" ht="11.75" customHeight="1">
      <c r="A5052" s="1989">
        <f>1.21*G108*D20*24/1000*D101</f>
        <v>387079.06311359996</v>
      </c>
    </row>
    <row r="5053" spans="1:1" ht="11.75" customHeight="1">
      <c r="A5053" s="1989">
        <f>1.21*G108*D20*24/1000</f>
        <v>156.29328000000001</v>
      </c>
    </row>
    <row r="5054" spans="1:1" ht="11.75" customHeight="1">
      <c r="A5054" s="1989">
        <f>1.21*G108*D20*24</f>
        <v>156293.28</v>
      </c>
    </row>
    <row r="5055" spans="1:1" ht="11.75" customHeight="1">
      <c r="A5055" s="1989">
        <f>1.21*G108*D20</f>
        <v>6512.22</v>
      </c>
    </row>
    <row r="5056" spans="1:1" ht="11.75" customHeight="1">
      <c r="A5056" s="1989">
        <f>1.21*G108</f>
        <v>1.4157</v>
      </c>
    </row>
    <row r="5057" spans="1:1" ht="11.75" customHeight="1">
      <c r="A5057" s="1989" t="b">
        <f>D108="Measured"</f>
        <v>0</v>
      </c>
    </row>
    <row r="5058" spans="1:1" ht="11.75" customHeight="1">
      <c r="A5058" s="1989">
        <f>G109*D105/D101*3.6</f>
        <v>17.44312813431209</v>
      </c>
    </row>
    <row r="5059" spans="1:1" ht="11.75" customHeight="1">
      <c r="A5059" s="1989">
        <f>G109*D105</f>
        <v>12000</v>
      </c>
    </row>
    <row r="5060" spans="1:1" ht="11.75" customHeight="1">
      <c r="A5060" s="1989">
        <f>D101*3.6</f>
        <v>8915.8319999999985</v>
      </c>
    </row>
    <row r="5061" spans="1:1" ht="11.75" customHeight="1">
      <c r="A5061" s="1989">
        <f>IF(D108="AL-1A",0.89,IF(D108="AL-2A",0.71,IF(D108="AL-3A",0.53,IF(D108="AL-4A",0.35,IF(D108="AL-5A",0.21,IF(D108="AL-1B",1.17,IF(D108="AL-2B",0.98,IF(D108="AL-3B",0.78,IF(D108="AL-4B",0.59,IF(D108="AL-5B",0.39,IF(D108="AL-6B",0.23,IF(D108="PH Classic",0.6*D105/D101*3.6,IF(D108="PH Low",1*D105/D101*3.6,IF(D108="PH+",0.1))))))))))))))</f>
        <v>1.17</v>
      </c>
    </row>
    <row r="5062" spans="1:1" ht="11.75" customHeight="1">
      <c r="A5062" s="1989" t="b">
        <f>D108="AL-1A"</f>
        <v>0</v>
      </c>
    </row>
    <row r="5063" spans="1:1" ht="11.75" customHeight="1">
      <c r="A5063" s="1989">
        <f>IF(D108="AL-2A",0.71,IF(D108="AL-3A",0.53,IF(D108="AL-4A",0.35,IF(D108="AL-5A",0.21,IF(D108="AL-1B",1.17,IF(D108="AL-2B",0.98,IF(D108="AL-3B",0.78,IF(D108="AL-4B",0.59,IF(D108="AL-5B",0.39,IF(D108="AL-6B",0.23,IF(D108="PH Classic",0.6*D105/D101*3.6,IF(D108="PH Low",1*D105/D101*3.6,IF(D108="PH+",0.1)))))))))))))</f>
        <v>1.17</v>
      </c>
    </row>
    <row r="5064" spans="1:1" ht="11.75" customHeight="1">
      <c r="A5064" s="1989" t="b">
        <f>D108="AL-2A"</f>
        <v>0</v>
      </c>
    </row>
    <row r="5065" spans="1:1" ht="11.75" customHeight="1">
      <c r="A5065" s="1989">
        <f>IF(D108="AL-3A",0.53,IF(D108="AL-4A",0.35,IF(D108="AL-5A",0.21,IF(D108="AL-1B",1.17,IF(D108="AL-2B",0.98,IF(D108="AL-3B",0.78,IF(D108="AL-4B",0.59,IF(D108="AL-5B",0.39,IF(D108="AL-6B",0.23,IF(D108="PH Classic",0.6*D105/D101*3.6,IF(D108="PH Low",1*D105/D101*3.6,IF(D108="PH+",0.1))))))))))))</f>
        <v>1.17</v>
      </c>
    </row>
    <row r="5066" spans="1:1" ht="11.75" customHeight="1">
      <c r="A5066" s="1989" t="b">
        <f>D108="AL-3A"</f>
        <v>0</v>
      </c>
    </row>
    <row r="5067" spans="1:1" ht="11.75" customHeight="1">
      <c r="A5067" s="1989">
        <f>IF(D108="AL-4A",0.35,IF(D108="AL-5A",0.21,IF(D108="AL-1B",1.17,IF(D108="AL-2B",0.98,IF(D108="AL-3B",0.78,IF(D108="AL-4B",0.59,IF(D108="AL-5B",0.39,IF(D108="AL-6B",0.23,IF(D108="PH Classic",0.6*D105/D101*3.6,IF(D108="PH Low",1*D105/D101*3.6,IF(D108="PH+",0.1)))))))))))</f>
        <v>1.17</v>
      </c>
    </row>
    <row r="5068" spans="1:1" ht="11.75" customHeight="1">
      <c r="A5068" s="1989" t="b">
        <f>D108="AL-4A"</f>
        <v>0</v>
      </c>
    </row>
    <row r="5069" spans="1:1" ht="11.75" customHeight="1">
      <c r="A5069" s="1989">
        <f>IF(D108="AL-5A",0.21,IF(D108="AL-1B",1.17,IF(D108="AL-2B",0.98,IF(D108="AL-3B",0.78,IF(D108="AL-4B",0.59,IF(D108="AL-5B",0.39,IF(D108="AL-6B",0.23,IF(D108="PH Classic",0.6*D105/D101*3.6,IF(D108="PH Low",1*D105/D101*3.6,IF(D108="PH+",0.1))))))))))</f>
        <v>1.17</v>
      </c>
    </row>
    <row r="5070" spans="1:1" ht="11.75" customHeight="1">
      <c r="A5070" s="1989" t="b">
        <f>D108="AL-5A"</f>
        <v>0</v>
      </c>
    </row>
    <row r="5071" spans="1:1" ht="11.75" customHeight="1">
      <c r="A5071" s="1989">
        <f>IF(D108="AL-1B",1.17,IF(D108="AL-2B",0.98,IF(D108="AL-3B",0.78,IF(D108="AL-4B",0.59,IF(D108="AL-5B",0.39,IF(D108="AL-6B",0.23,IF(D108="PH Classic",0.6*D105/D101*3.6,IF(D108="PH Low",1*D105/D101*3.6,IF(D108="PH+",0.1)))))))))</f>
        <v>1.17</v>
      </c>
    </row>
    <row r="5072" spans="1:1" ht="11.75" customHeight="1">
      <c r="A5072" s="1989" t="b">
        <f>D108="AL-1B"</f>
        <v>1</v>
      </c>
    </row>
    <row r="5073" spans="1:1" ht="11.75" customHeight="1">
      <c r="A5073" s="1989" t="b">
        <f>IF(D108="AL-2B",0.98,IF(D108="AL-3B",0.78,IF(D108="AL-4B",0.59,IF(D108="AL-5B",0.39,IF(D108="AL-6B",0.23,IF(D108="PH Classic",0.6*D105/D101*3.6,IF(D108="PH Low",1*D105/D101*3.6,IF(D108="PH+",0.1))))))))</f>
        <v>0</v>
      </c>
    </row>
    <row r="5074" spans="1:1" ht="11.75" customHeight="1">
      <c r="A5074" s="1989" t="b">
        <f>D108="AL-2B"</f>
        <v>0</v>
      </c>
    </row>
    <row r="5075" spans="1:1" ht="11.75" customHeight="1">
      <c r="A5075" s="1989" t="b">
        <f>IF(D108="AL-3B",0.78,IF(D108="AL-4B",0.59,IF(D108="AL-5B",0.39,IF(D108="AL-6B",0.23,IF(D108="PH Classic",0.6*D105/D101*3.6,IF(D108="PH Low",1*D105/D101*3.6,IF(D108="PH+",0.1)))))))</f>
        <v>0</v>
      </c>
    </row>
    <row r="5076" spans="1:1" ht="11.75" customHeight="1">
      <c r="A5076" s="1989" t="b">
        <f>D108="AL-3B"</f>
        <v>0</v>
      </c>
    </row>
    <row r="5077" spans="1:1" ht="11.75" customHeight="1">
      <c r="A5077" s="1989" t="b">
        <f>IF(D108="AL-4B",0.59,IF(D108="AL-5B",0.39,IF(D108="AL-6B",0.23,IF(D108="PH Classic",0.6*D105/D101*3.6,IF(D108="PH Low",1*D105/D101*3.6,IF(D108="PH+",0.1))))))</f>
        <v>0</v>
      </c>
    </row>
    <row r="5078" spans="1:1" ht="11.75" customHeight="1">
      <c r="A5078" s="1989" t="b">
        <f>D108="AL-4B"</f>
        <v>0</v>
      </c>
    </row>
    <row r="5079" spans="1:1" ht="11.75" customHeight="1">
      <c r="A5079" s="1989" t="b">
        <f>IF(D108="AL-5B",0.39,IF(D108="AL-6B",0.23,IF(D108="PH Classic",0.6*D105/D101*3.6,IF(D108="PH Low",1*D105/D101*3.6,IF(D108="PH+",0.1)))))</f>
        <v>0</v>
      </c>
    </row>
    <row r="5080" spans="1:1" ht="11.75" customHeight="1">
      <c r="A5080" s="1989" t="b">
        <f>D108="AL-5B"</f>
        <v>0</v>
      </c>
    </row>
    <row r="5081" spans="1:1" ht="11.75" customHeight="1">
      <c r="A5081" s="1989" t="b">
        <f>IF(D108="AL-6B",0.23,IF(D108="PH Classic",0.6*D105/D101*3.6,IF(D108="PH Low",1*D105/D101*3.6,IF(D108="PH+",0.1))))</f>
        <v>0</v>
      </c>
    </row>
    <row r="5082" spans="1:1" ht="11.75" customHeight="1">
      <c r="A5082" s="1989" t="b">
        <f>D108="AL-6B"</f>
        <v>0</v>
      </c>
    </row>
    <row r="5083" spans="1:1" ht="11.75" customHeight="1">
      <c r="A5083" s="1989" t="b">
        <f>IF(D108="PH Classic",0.6*D105/D101*3.6,IF(D108="PH Low",1*D105/D101*3.6,IF(D108="PH+",0.1)))</f>
        <v>0</v>
      </c>
    </row>
    <row r="5084" spans="1:1" ht="11.75" customHeight="1">
      <c r="A5084" s="1989" t="b">
        <f>D108="PH Classic"</f>
        <v>0</v>
      </c>
    </row>
    <row r="5085" spans="1:1" ht="11.75" customHeight="1">
      <c r="A5085" s="1989">
        <f>0.6*D105/D101*3.6</f>
        <v>6.9772512537248366</v>
      </c>
    </row>
    <row r="5086" spans="1:1" ht="11.75" customHeight="1">
      <c r="A5086" s="1989">
        <f>0.6*D105</f>
        <v>4800</v>
      </c>
    </row>
    <row r="5087" spans="1:1" ht="11.75" customHeight="1">
      <c r="A5087" s="1989">
        <f>D101*3.6</f>
        <v>8915.8319999999985</v>
      </c>
    </row>
    <row r="5088" spans="1:1" ht="11.75" customHeight="1">
      <c r="A5088" s="1989" t="b">
        <f>IF(D108="PH Low",1*D105/D101*3.6,IF(D108="PH+",0.1))</f>
        <v>0</v>
      </c>
    </row>
    <row r="5089" spans="1:1" ht="11.75" customHeight="1">
      <c r="A5089" s="1989" t="b">
        <f>D108="PH Low"</f>
        <v>0</v>
      </c>
    </row>
    <row r="5090" spans="1:1" ht="11.75" customHeight="1">
      <c r="A5090" s="1989">
        <f>1*D105/D101*3.6</f>
        <v>11.628752089541393</v>
      </c>
    </row>
    <row r="5091" spans="1:1" ht="11.75" customHeight="1">
      <c r="A5091" s="1989">
        <f>1*D105</f>
        <v>8000</v>
      </c>
    </row>
    <row r="5092" spans="1:1" ht="11.75" customHeight="1">
      <c r="A5092" s="1989">
        <f>D101*3.6</f>
        <v>8915.8319999999985</v>
      </c>
    </row>
    <row r="5093" spans="1:1" ht="11.75" customHeight="1">
      <c r="A5093" s="1990">
        <f>H27-D43</f>
        <v>132765.64793897627</v>
      </c>
    </row>
    <row r="5094" spans="1:1" ht="11.75" customHeight="1">
      <c r="A5094" s="1989" t="b">
        <f>D113="Electricity"</f>
        <v>0</v>
      </c>
    </row>
    <row r="5095" spans="1:1" ht="11.75" customHeight="1">
      <c r="A5095" s="1990">
        <f>I103+K51+D117+M121+I101+I102+M43+SUM(H65:H67)</f>
        <v>265287.6445956853</v>
      </c>
    </row>
    <row r="5096" spans="1:1" ht="11.75" customHeight="1">
      <c r="A5096" s="1990">
        <f>I103+K51+D117+M121+I101+I102+M43</f>
        <v>180897.30859568529</v>
      </c>
    </row>
    <row r="5097" spans="1:1" ht="11.75" customHeight="1">
      <c r="A5097" s="1990">
        <f>I103+K51+D117+M121+I101+I102</f>
        <v>180897.30859568529</v>
      </c>
    </row>
    <row r="5098" spans="1:1" ht="11.75" customHeight="1">
      <c r="A5098" s="1990">
        <f>I103+K51+D117+M121+I101</f>
        <v>164109.06314703665</v>
      </c>
    </row>
    <row r="5099" spans="1:1" ht="11.75" customHeight="1">
      <c r="A5099" s="1990">
        <f>I103+K51+D117+M121</f>
        <v>88005.3704468098</v>
      </c>
    </row>
    <row r="5100" spans="1:1" ht="11.75" customHeight="1">
      <c r="A5100" s="1990">
        <f>I103+K51+D117</f>
        <v>39024.570446809812</v>
      </c>
    </row>
    <row r="5101" spans="1:1" ht="11.75" customHeight="1">
      <c r="A5101" s="1990">
        <f>I103+K51</f>
        <v>36006.531012790423</v>
      </c>
    </row>
    <row r="5102" spans="1:1" ht="11.75" customHeight="1">
      <c r="A5102" s="1989">
        <f>1.21*G108*D20*24/1000*D101</f>
        <v>387079.06311359996</v>
      </c>
    </row>
    <row r="5103" spans="1:1" ht="11.75" customHeight="1">
      <c r="A5103" s="1989">
        <f>1.21*G108*D20*24/1000</f>
        <v>156.29328000000001</v>
      </c>
    </row>
    <row r="5104" spans="1:1" ht="11.75" customHeight="1">
      <c r="A5104" s="1989">
        <f>1.21*G108*D20*24</f>
        <v>156293.28</v>
      </c>
    </row>
    <row r="5105" spans="1:1" ht="11.75" customHeight="1">
      <c r="A5105" s="1989">
        <f>1.21*G108*D20</f>
        <v>6512.22</v>
      </c>
    </row>
    <row r="5106" spans="1:1" ht="11.75" customHeight="1">
      <c r="A5106" s="1989">
        <f>1.21*G108</f>
        <v>1.4157</v>
      </c>
    </row>
    <row r="5107" spans="1:1" ht="11.75" customHeight="1">
      <c r="A5107" s="1989" t="b">
        <f>D108="Measured"</f>
        <v>0</v>
      </c>
    </row>
    <row r="5108" spans="1:1" ht="11.75" customHeight="1">
      <c r="A5108" s="1989">
        <f>G109*D105/D101*3.6</f>
        <v>17.44312813431209</v>
      </c>
    </row>
    <row r="5109" spans="1:1" ht="11.75" customHeight="1">
      <c r="A5109" s="1989">
        <f>G109*D105</f>
        <v>12000</v>
      </c>
    </row>
    <row r="5110" spans="1:1" ht="11.75" customHeight="1">
      <c r="A5110" s="1989">
        <f>D101*3.6</f>
        <v>8915.8319999999985</v>
      </c>
    </row>
    <row r="5111" spans="1:1" ht="11.75" customHeight="1">
      <c r="A5111" s="1989">
        <f>IF(D108="AL-1A",0.89,IF(D108="AL-2A",0.71,IF(D108="AL-3A",0.53,IF(D108="AL-4A",0.35,IF(D108="AL-5A",0.21,IF(D108="AL-1B",1.17,IF(D108="AL-2B",0.98,IF(D108="AL-3B",0.78,IF(D108="AL-4B",0.59,IF(D108="AL-5B",0.39,IF(D108="AL-6B",0.23,IF(D108="PH Classic",0.6*D105/D101*3.6,IF(D108="PH Low",1*D105/D101*3.6,IF(D108="PH+",0.1))))))))))))))</f>
        <v>1.17</v>
      </c>
    </row>
    <row r="5112" spans="1:1" ht="11.75" customHeight="1">
      <c r="A5112" s="1989" t="b">
        <f>D108="AL-1A"</f>
        <v>0</v>
      </c>
    </row>
    <row r="5113" spans="1:1" ht="11.75" customHeight="1">
      <c r="A5113" s="1989">
        <f>IF(D108="AL-2A",0.71,IF(D108="AL-3A",0.53,IF(D108="AL-4A",0.35,IF(D108="AL-5A",0.21,IF(D108="AL-1B",1.17,IF(D108="AL-2B",0.98,IF(D108="AL-3B",0.78,IF(D108="AL-4B",0.59,IF(D108="AL-5B",0.39,IF(D108="AL-6B",0.23,IF(D108="PH Classic",0.6*D105/D101*3.6,IF(D108="PH Low",1*D105/D101*3.6,IF(D108="PH+",0.1)))))))))))))</f>
        <v>1.17</v>
      </c>
    </row>
    <row r="5114" spans="1:1" ht="11.75" customHeight="1">
      <c r="A5114" s="1989" t="b">
        <f>D108="AL-2A"</f>
        <v>0</v>
      </c>
    </row>
    <row r="5115" spans="1:1" ht="11.75" customHeight="1">
      <c r="A5115" s="1989">
        <f>IF(D108="AL-3A",0.53,IF(D108="AL-4A",0.35,IF(D108="AL-5A",0.21,IF(D108="AL-1B",1.17,IF(D108="AL-2B",0.98,IF(D108="AL-3B",0.78,IF(D108="AL-4B",0.59,IF(D108="AL-5B",0.39,IF(D108="AL-6B",0.23,IF(D108="PH Classic",0.6*D105/D101*3.6,IF(D108="PH Low",1*D105/D101*3.6,IF(D108="PH+",0.1))))))))))))</f>
        <v>1.17</v>
      </c>
    </row>
    <row r="5116" spans="1:1" ht="11.75" customHeight="1">
      <c r="A5116" s="1989" t="b">
        <f>D108="AL-3A"</f>
        <v>0</v>
      </c>
    </row>
    <row r="5117" spans="1:1" ht="11.75" customHeight="1">
      <c r="A5117" s="1989">
        <f>IF(D108="AL-4A",0.35,IF(D108="AL-5A",0.21,IF(D108="AL-1B",1.17,IF(D108="AL-2B",0.98,IF(D108="AL-3B",0.78,IF(D108="AL-4B",0.59,IF(D108="AL-5B",0.39,IF(D108="AL-6B",0.23,IF(D108="PH Classic",0.6*D105/D101*3.6,IF(D108="PH Low",1*D105/D101*3.6,IF(D108="PH+",0.1)))))))))))</f>
        <v>1.17</v>
      </c>
    </row>
    <row r="5118" spans="1:1" ht="11.75" customHeight="1">
      <c r="A5118" s="1989" t="b">
        <f>D108="AL-4A"</f>
        <v>0</v>
      </c>
    </row>
    <row r="5119" spans="1:1" ht="11.75" customHeight="1">
      <c r="A5119" s="1989">
        <f>IF(D108="AL-5A",0.21,IF(D108="AL-1B",1.17,IF(D108="AL-2B",0.98,IF(D108="AL-3B",0.78,IF(D108="AL-4B",0.59,IF(D108="AL-5B",0.39,IF(D108="AL-6B",0.23,IF(D108="PH Classic",0.6*D105/D101*3.6,IF(D108="PH Low",1*D105/D101*3.6,IF(D108="PH+",0.1))))))))))</f>
        <v>1.17</v>
      </c>
    </row>
    <row r="5120" spans="1:1" ht="11.75" customHeight="1">
      <c r="A5120" s="1989" t="b">
        <f>D108="AL-5A"</f>
        <v>0</v>
      </c>
    </row>
    <row r="5121" spans="1:1" ht="11.75" customHeight="1">
      <c r="A5121" s="1989">
        <f>IF(D108="AL-1B",1.17,IF(D108="AL-2B",0.98,IF(D108="AL-3B",0.78,IF(D108="AL-4B",0.59,IF(D108="AL-5B",0.39,IF(D108="AL-6B",0.23,IF(D108="PH Classic",0.6*D105/D101*3.6,IF(D108="PH Low",1*D105/D101*3.6,IF(D108="PH+",0.1)))))))))</f>
        <v>1.17</v>
      </c>
    </row>
    <row r="5122" spans="1:1" ht="11.75" customHeight="1">
      <c r="A5122" s="1989" t="b">
        <f>D108="AL-1B"</f>
        <v>1</v>
      </c>
    </row>
    <row r="5123" spans="1:1" ht="11.75" customHeight="1">
      <c r="A5123" s="1989" t="b">
        <f>IF(D108="AL-2B",0.98,IF(D108="AL-3B",0.78,IF(D108="AL-4B",0.59,IF(D108="AL-5B",0.39,IF(D108="AL-6B",0.23,IF(D108="PH Classic",0.6*D105/D101*3.6,IF(D108="PH Low",1*D105/D101*3.6,IF(D108="PH+",0.1))))))))</f>
        <v>0</v>
      </c>
    </row>
    <row r="5124" spans="1:1" ht="11.75" customHeight="1">
      <c r="A5124" s="1989" t="b">
        <f>D108="AL-2B"</f>
        <v>0</v>
      </c>
    </row>
    <row r="5125" spans="1:1" ht="11.75" customHeight="1">
      <c r="A5125" s="1989" t="b">
        <f>IF(D108="AL-3B",0.78,IF(D108="AL-4B",0.59,IF(D108="AL-5B",0.39,IF(D108="AL-6B",0.23,IF(D108="PH Classic",0.6*D105/D101*3.6,IF(D108="PH Low",1*D105/D101*3.6,IF(D108="PH+",0.1)))))))</f>
        <v>0</v>
      </c>
    </row>
    <row r="5126" spans="1:1" ht="11.75" customHeight="1">
      <c r="A5126" s="1989" t="b">
        <f>D108="AL-3B"</f>
        <v>0</v>
      </c>
    </row>
    <row r="5127" spans="1:1" ht="11.75" customHeight="1">
      <c r="A5127" s="1989" t="b">
        <f>IF(D108="AL-4B",0.59,IF(D108="AL-5B",0.39,IF(D108="AL-6B",0.23,IF(D108="PH Classic",0.6*D105/D101*3.6,IF(D108="PH Low",1*D105/D101*3.6,IF(D108="PH+",0.1))))))</f>
        <v>0</v>
      </c>
    </row>
    <row r="5128" spans="1:1" ht="11.75" customHeight="1">
      <c r="A5128" s="1989" t="b">
        <f>D108="AL-4B"</f>
        <v>0</v>
      </c>
    </row>
    <row r="5129" spans="1:1" ht="11.75" customHeight="1">
      <c r="A5129" s="1989" t="b">
        <f>IF(D108="AL-5B",0.39,IF(D108="AL-6B",0.23,IF(D108="PH Classic",0.6*D105/D101*3.6,IF(D108="PH Low",1*D105/D101*3.6,IF(D108="PH+",0.1)))))</f>
        <v>0</v>
      </c>
    </row>
    <row r="5130" spans="1:1" ht="11.75" customHeight="1">
      <c r="A5130" s="1989" t="b">
        <f>D108="AL-5B"</f>
        <v>0</v>
      </c>
    </row>
    <row r="5131" spans="1:1" ht="11.75" customHeight="1">
      <c r="A5131" s="1989" t="b">
        <f>IF(D108="AL-6B",0.23,IF(D108="PH Classic",0.6*D105/D101*3.6,IF(D108="PH Low",1*D105/D101*3.6,IF(D108="PH+",0.1))))</f>
        <v>0</v>
      </c>
    </row>
    <row r="5132" spans="1:1" ht="11.75" customHeight="1">
      <c r="A5132" s="1989" t="b">
        <f>D108="AL-6B"</f>
        <v>0</v>
      </c>
    </row>
    <row r="5133" spans="1:1" ht="11.75" customHeight="1">
      <c r="A5133" s="1989" t="b">
        <f>IF(D108="PH Classic",0.6*D105/D101*3.6,IF(D108="PH Low",1*D105/D101*3.6,IF(D108="PH+",0.1)))</f>
        <v>0</v>
      </c>
    </row>
    <row r="5134" spans="1:1" ht="11.75" customHeight="1">
      <c r="A5134" s="1989" t="b">
        <f>D108="PH Classic"</f>
        <v>0</v>
      </c>
    </row>
    <row r="5135" spans="1:1" ht="11.75" customHeight="1">
      <c r="A5135" s="1989">
        <f>0.6*D105/D101*3.6</f>
        <v>6.9772512537248366</v>
      </c>
    </row>
    <row r="5136" spans="1:1" ht="11.75" customHeight="1">
      <c r="A5136" s="1989">
        <f>0.6*D105</f>
        <v>4800</v>
      </c>
    </row>
    <row r="5137" spans="1:1" ht="11.75" customHeight="1">
      <c r="A5137" s="1989">
        <f>D101*3.6</f>
        <v>8915.8319999999985</v>
      </c>
    </row>
    <row r="5138" spans="1:1" ht="11.75" customHeight="1">
      <c r="A5138" s="1989" t="b">
        <f>IF(D108="PH Low",1*D105/D101*3.6,IF(D108="PH+",0.1))</f>
        <v>0</v>
      </c>
    </row>
    <row r="5139" spans="1:1" ht="11.75" customHeight="1">
      <c r="A5139" s="1989" t="b">
        <f>D108="PH Low"</f>
        <v>0</v>
      </c>
    </row>
    <row r="5140" spans="1:1" ht="11.75" customHeight="1">
      <c r="A5140" s="1989">
        <f>1*D105/D101*3.6</f>
        <v>11.628752089541393</v>
      </c>
    </row>
    <row r="5141" spans="1:1" ht="11.75" customHeight="1">
      <c r="A5141" s="1989">
        <f>1*D105</f>
        <v>8000</v>
      </c>
    </row>
    <row r="5142" spans="1:1" ht="11.75" customHeight="1">
      <c r="A5142" s="1989">
        <f>D101*3.6</f>
        <v>8915.8319999999985</v>
      </c>
    </row>
    <row r="5143" spans="1:1" ht="11.75" customHeight="1">
      <c r="A5143" s="1990">
        <f>H27-D43</f>
        <v>132765.64793897627</v>
      </c>
    </row>
    <row r="5144" spans="1:1" ht="11.75" customHeight="1">
      <c r="A5144" s="1989" t="b">
        <f>D113="Electricity"</f>
        <v>0</v>
      </c>
    </row>
    <row r="5145" spans="1:1" ht="11.75" customHeight="1">
      <c r="A5145" s="1990">
        <f>I103+K51+D117+M121+I101+I102+M43+SUM(H65:H67)</f>
        <v>265287.6445956853</v>
      </c>
    </row>
    <row r="5146" spans="1:1" ht="11.75" customHeight="1">
      <c r="A5146" s="1990">
        <f>I103+K51+D117+M121+I101+I102+M43</f>
        <v>180897.30859568529</v>
      </c>
    </row>
    <row r="5147" spans="1:1" ht="11.75" customHeight="1">
      <c r="A5147" s="1990">
        <f>I103+K51+D117+M121+I101+I102</f>
        <v>180897.30859568529</v>
      </c>
    </row>
    <row r="5148" spans="1:1" ht="11.75" customHeight="1">
      <c r="A5148" s="1990">
        <f>I103+K51+D117+M121+I101</f>
        <v>164109.06314703665</v>
      </c>
    </row>
    <row r="5149" spans="1:1" ht="11.75" customHeight="1">
      <c r="A5149" s="1990">
        <f>I103+K51+D117+M121</f>
        <v>88005.3704468098</v>
      </c>
    </row>
    <row r="5150" spans="1:1" ht="11.75" customHeight="1">
      <c r="A5150" s="1990">
        <f>I103+K51+D117</f>
        <v>39024.570446809812</v>
      </c>
    </row>
    <row r="5151" spans="1:1" ht="11.75" customHeight="1">
      <c r="A5151" s="1990">
        <f>I103+K51</f>
        <v>36006.531012790423</v>
      </c>
    </row>
    <row r="5152" spans="1:1" ht="11.75" customHeight="1">
      <c r="A5152" s="1989">
        <f>1.21*G108*D20*24/1000*D101</f>
        <v>387079.06311359996</v>
      </c>
    </row>
    <row r="5153" spans="1:1" ht="11.75" customHeight="1">
      <c r="A5153" s="1989">
        <f>1.21*G108*D20*24/1000</f>
        <v>156.29328000000001</v>
      </c>
    </row>
    <row r="5154" spans="1:1" ht="11.75" customHeight="1">
      <c r="A5154" s="1989">
        <f>1.21*G108*D20*24</f>
        <v>156293.28</v>
      </c>
    </row>
    <row r="5155" spans="1:1" ht="11.75" customHeight="1">
      <c r="A5155" s="1989">
        <f>1.21*G108*D20</f>
        <v>6512.22</v>
      </c>
    </row>
    <row r="5156" spans="1:1" ht="11.75" customHeight="1">
      <c r="A5156" s="1989">
        <f>1.21*G108</f>
        <v>1.4157</v>
      </c>
    </row>
    <row r="5157" spans="1:1" ht="11.75" customHeight="1">
      <c r="A5157" s="1989" t="b">
        <f>D108="Measured"</f>
        <v>0</v>
      </c>
    </row>
    <row r="5158" spans="1:1" ht="11.75" customHeight="1">
      <c r="A5158" s="1989">
        <f>G109*D105/D101*3.6</f>
        <v>17.44312813431209</v>
      </c>
    </row>
    <row r="5159" spans="1:1" ht="11.75" customHeight="1">
      <c r="A5159" s="1989">
        <f>G109*D105</f>
        <v>12000</v>
      </c>
    </row>
    <row r="5160" spans="1:1" ht="11.75" customHeight="1">
      <c r="A5160" s="1989">
        <f>D101*3.6</f>
        <v>8915.8319999999985</v>
      </c>
    </row>
    <row r="5161" spans="1:1" ht="11.75" customHeight="1">
      <c r="A5161" s="1989">
        <f>IF(D108="AL-1A",0.89,IF(D108="AL-2A",0.71,IF(D108="AL-3A",0.53,IF(D108="AL-4A",0.35,IF(D108="AL-5A",0.21,IF(D108="AL-1B",1.17,IF(D108="AL-2B",0.98,IF(D108="AL-3B",0.78,IF(D108="AL-4B",0.59,IF(D108="AL-5B",0.39,IF(D108="AL-6B",0.23,IF(D108="PH Classic",0.6*D105/D101*3.6,IF(D108="PH Low",1*D105/D101*3.6,IF(D108="PH+",0.1))))))))))))))</f>
        <v>1.17</v>
      </c>
    </row>
    <row r="5162" spans="1:1" ht="11.75" customHeight="1">
      <c r="A5162" s="1989" t="b">
        <f>D108="AL-1A"</f>
        <v>0</v>
      </c>
    </row>
    <row r="5163" spans="1:1" ht="11.75" customHeight="1">
      <c r="A5163" s="1989">
        <f>IF(D108="AL-2A",0.71,IF(D108="AL-3A",0.53,IF(D108="AL-4A",0.35,IF(D108="AL-5A",0.21,IF(D108="AL-1B",1.17,IF(D108="AL-2B",0.98,IF(D108="AL-3B",0.78,IF(D108="AL-4B",0.59,IF(D108="AL-5B",0.39,IF(D108="AL-6B",0.23,IF(D108="PH Classic",0.6*D105/D101*3.6,IF(D108="PH Low",1*D105/D101*3.6,IF(D108="PH+",0.1)))))))))))))</f>
        <v>1.17</v>
      </c>
    </row>
    <row r="5164" spans="1:1" ht="11.75" customHeight="1">
      <c r="A5164" s="1989" t="b">
        <f>D108="AL-2A"</f>
        <v>0</v>
      </c>
    </row>
    <row r="5165" spans="1:1" ht="11.75" customHeight="1">
      <c r="A5165" s="1989">
        <f>IF(D108="AL-3A",0.53,IF(D108="AL-4A",0.35,IF(D108="AL-5A",0.21,IF(D108="AL-1B",1.17,IF(D108="AL-2B",0.98,IF(D108="AL-3B",0.78,IF(D108="AL-4B",0.59,IF(D108="AL-5B",0.39,IF(D108="AL-6B",0.23,IF(D108="PH Classic",0.6*D105/D101*3.6,IF(D108="PH Low",1*D105/D101*3.6,IF(D108="PH+",0.1))))))))))))</f>
        <v>1.17</v>
      </c>
    </row>
    <row r="5166" spans="1:1" ht="11.75" customHeight="1">
      <c r="A5166" s="1989" t="b">
        <f>D108="AL-3A"</f>
        <v>0</v>
      </c>
    </row>
    <row r="5167" spans="1:1" ht="11.75" customHeight="1">
      <c r="A5167" s="1989">
        <f>IF(D108="AL-4A",0.35,IF(D108="AL-5A",0.21,IF(D108="AL-1B",1.17,IF(D108="AL-2B",0.98,IF(D108="AL-3B",0.78,IF(D108="AL-4B",0.59,IF(D108="AL-5B",0.39,IF(D108="AL-6B",0.23,IF(D108="PH Classic",0.6*D105/D101*3.6,IF(D108="PH Low",1*D105/D101*3.6,IF(D108="PH+",0.1)))))))))))</f>
        <v>1.17</v>
      </c>
    </row>
    <row r="5168" spans="1:1" ht="11.75" customHeight="1">
      <c r="A5168" s="1989" t="b">
        <f>D108="AL-4A"</f>
        <v>0</v>
      </c>
    </row>
    <row r="5169" spans="1:1" ht="11.75" customHeight="1">
      <c r="A5169" s="1989">
        <f>IF(D108="AL-5A",0.21,IF(D108="AL-1B",1.17,IF(D108="AL-2B",0.98,IF(D108="AL-3B",0.78,IF(D108="AL-4B",0.59,IF(D108="AL-5B",0.39,IF(D108="AL-6B",0.23,IF(D108="PH Classic",0.6*D105/D101*3.6,IF(D108="PH Low",1*D105/D101*3.6,IF(D108="PH+",0.1))))))))))</f>
        <v>1.17</v>
      </c>
    </row>
    <row r="5170" spans="1:1" ht="11.75" customHeight="1">
      <c r="A5170" s="1989" t="b">
        <f>D108="AL-5A"</f>
        <v>0</v>
      </c>
    </row>
    <row r="5171" spans="1:1" ht="11.75" customHeight="1">
      <c r="A5171" s="1989">
        <f>IF(D108="AL-1B",1.17,IF(D108="AL-2B",0.98,IF(D108="AL-3B",0.78,IF(D108="AL-4B",0.59,IF(D108="AL-5B",0.39,IF(D108="AL-6B",0.23,IF(D108="PH Classic",0.6*D105/D101*3.6,IF(D108="PH Low",1*D105/D101*3.6,IF(D108="PH+",0.1)))))))))</f>
        <v>1.17</v>
      </c>
    </row>
    <row r="5172" spans="1:1" ht="11.75" customHeight="1">
      <c r="A5172" s="1989" t="b">
        <f>D108="AL-1B"</f>
        <v>1</v>
      </c>
    </row>
    <row r="5173" spans="1:1" ht="11.75" customHeight="1">
      <c r="A5173" s="1989" t="b">
        <f>IF(D108="AL-2B",0.98,IF(D108="AL-3B",0.78,IF(D108="AL-4B",0.59,IF(D108="AL-5B",0.39,IF(D108="AL-6B",0.23,IF(D108="PH Classic",0.6*D105/D101*3.6,IF(D108="PH Low",1*D105/D101*3.6,IF(D108="PH+",0.1))))))))</f>
        <v>0</v>
      </c>
    </row>
    <row r="5174" spans="1:1" ht="11.75" customHeight="1">
      <c r="A5174" s="1989" t="b">
        <f>D108="AL-2B"</f>
        <v>0</v>
      </c>
    </row>
    <row r="5175" spans="1:1" ht="11.75" customHeight="1">
      <c r="A5175" s="1989" t="b">
        <f>IF(D108="AL-3B",0.78,IF(D108="AL-4B",0.59,IF(D108="AL-5B",0.39,IF(D108="AL-6B",0.23,IF(D108="PH Classic",0.6*D105/D101*3.6,IF(D108="PH Low",1*D105/D101*3.6,IF(D108="PH+",0.1)))))))</f>
        <v>0</v>
      </c>
    </row>
    <row r="5176" spans="1:1" ht="11.75" customHeight="1">
      <c r="A5176" s="1989" t="b">
        <f>D108="AL-3B"</f>
        <v>0</v>
      </c>
    </row>
    <row r="5177" spans="1:1" ht="11.75" customHeight="1">
      <c r="A5177" s="1989" t="b">
        <f>IF(D108="AL-4B",0.59,IF(D108="AL-5B",0.39,IF(D108="AL-6B",0.23,IF(D108="PH Classic",0.6*D105/D101*3.6,IF(D108="PH Low",1*D105/D101*3.6,IF(D108="PH+",0.1))))))</f>
        <v>0</v>
      </c>
    </row>
    <row r="5178" spans="1:1" ht="11.75" customHeight="1">
      <c r="A5178" s="1989" t="b">
        <f>D108="AL-4B"</f>
        <v>0</v>
      </c>
    </row>
    <row r="5179" spans="1:1" ht="11.75" customHeight="1">
      <c r="A5179" s="1989" t="b">
        <f>IF(D108="AL-5B",0.39,IF(D108="AL-6B",0.23,IF(D108="PH Classic",0.6*D105/D101*3.6,IF(D108="PH Low",1*D105/D101*3.6,IF(D108="PH+",0.1)))))</f>
        <v>0</v>
      </c>
    </row>
    <row r="5180" spans="1:1" ht="11.75" customHeight="1">
      <c r="A5180" s="1989" t="b">
        <f>D108="AL-5B"</f>
        <v>0</v>
      </c>
    </row>
    <row r="5181" spans="1:1" ht="11.75" customHeight="1">
      <c r="A5181" s="1989" t="b">
        <f>IF(D108="AL-6B",0.23,IF(D108="PH Classic",0.6*D105/D101*3.6,IF(D108="PH Low",1*D105/D101*3.6,IF(D108="PH+",0.1))))</f>
        <v>0</v>
      </c>
    </row>
    <row r="5182" spans="1:1" ht="11.75" customHeight="1">
      <c r="A5182" s="1989" t="b">
        <f>D108="AL-6B"</f>
        <v>0</v>
      </c>
    </row>
    <row r="5183" spans="1:1" ht="11.75" customHeight="1">
      <c r="A5183" s="1989" t="b">
        <f>IF(D108="PH Classic",0.6*D105/D101*3.6,IF(D108="PH Low",1*D105/D101*3.6,IF(D108="PH+",0.1)))</f>
        <v>0</v>
      </c>
    </row>
    <row r="5184" spans="1:1" ht="11.75" customHeight="1">
      <c r="A5184" s="1989" t="b">
        <f>D108="PH Classic"</f>
        <v>0</v>
      </c>
    </row>
    <row r="5185" spans="1:1" ht="11.75" customHeight="1">
      <c r="A5185" s="1989">
        <f>0.6*D105/D101*3.6</f>
        <v>6.9772512537248366</v>
      </c>
    </row>
    <row r="5186" spans="1:1" ht="11.75" customHeight="1">
      <c r="A5186" s="1989">
        <f>0.6*D105</f>
        <v>4800</v>
      </c>
    </row>
    <row r="5187" spans="1:1" ht="11.75" customHeight="1">
      <c r="A5187" s="1989">
        <f>D101*3.6</f>
        <v>8915.8319999999985</v>
      </c>
    </row>
    <row r="5188" spans="1:1" ht="11.75" customHeight="1">
      <c r="A5188" s="1989" t="b">
        <f>IF(D108="PH Low",1*D105/D101*3.6,IF(D108="PH+",0.1))</f>
        <v>0</v>
      </c>
    </row>
    <row r="5189" spans="1:1" ht="11.75" customHeight="1">
      <c r="A5189" s="1989" t="b">
        <f>D108="PH Low"</f>
        <v>0</v>
      </c>
    </row>
    <row r="5190" spans="1:1" ht="11.75" customHeight="1">
      <c r="A5190" s="1989">
        <f>1*D105/D101*3.6</f>
        <v>11.628752089541393</v>
      </c>
    </row>
    <row r="5191" spans="1:1" ht="11.75" customHeight="1">
      <c r="A5191" s="1989">
        <f>1*D105</f>
        <v>8000</v>
      </c>
    </row>
    <row r="5192" spans="1:1" ht="11.75" customHeight="1">
      <c r="A5192" s="1989">
        <f>D101*3.6</f>
        <v>8915.8319999999985</v>
      </c>
    </row>
    <row r="5193" spans="1:1" ht="11.75" customHeight="1">
      <c r="A5193" s="1990">
        <f>H27-D43</f>
        <v>132765.64793897627</v>
      </c>
    </row>
    <row r="5194" spans="1:1" ht="11.75" customHeight="1">
      <c r="A5194" s="1989" t="b">
        <f>D113="Electricity"</f>
        <v>0</v>
      </c>
    </row>
    <row r="5195" spans="1:1" ht="11.75" customHeight="1">
      <c r="A5195" s="1990">
        <f>I103+K51+D117+M121+I101+I102+M43+SUM(H65:H67)</f>
        <v>265287.6445956853</v>
      </c>
    </row>
    <row r="5196" spans="1:1" ht="11.75" customHeight="1">
      <c r="A5196" s="1990">
        <f>I103+K51+D117+M121+I101+I102+M43</f>
        <v>180897.30859568529</v>
      </c>
    </row>
    <row r="5197" spans="1:1" ht="11.75" customHeight="1">
      <c r="A5197" s="1990">
        <f>I103+K51+D117+M121+I101+I102</f>
        <v>180897.30859568529</v>
      </c>
    </row>
    <row r="5198" spans="1:1" ht="11.75" customHeight="1">
      <c r="A5198" s="1990">
        <f>I103+K51+D117+M121+I101</f>
        <v>164109.06314703665</v>
      </c>
    </row>
    <row r="5199" spans="1:1" ht="11.75" customHeight="1">
      <c r="A5199" s="1990">
        <f>I103+K51+D117+M121</f>
        <v>88005.3704468098</v>
      </c>
    </row>
    <row r="5200" spans="1:1" ht="11.75" customHeight="1">
      <c r="A5200" s="1990">
        <f>I103+K51+D117</f>
        <v>39024.570446809812</v>
      </c>
    </row>
    <row r="5201" spans="1:1" ht="11.75" customHeight="1">
      <c r="A5201" s="1990">
        <f>I103+K51</f>
        <v>36006.531012790423</v>
      </c>
    </row>
    <row r="5202" spans="1:1" ht="11.75" customHeight="1">
      <c r="A5202" s="1989">
        <f>1.21*G108*D20*24/1000*D101</f>
        <v>387079.06311359996</v>
      </c>
    </row>
    <row r="5203" spans="1:1" ht="11.75" customHeight="1">
      <c r="A5203" s="1989">
        <f>1.21*G108*D20*24/1000</f>
        <v>156.29328000000001</v>
      </c>
    </row>
    <row r="5204" spans="1:1" ht="11.75" customHeight="1">
      <c r="A5204" s="1989">
        <f>1.21*G108*D20*24</f>
        <v>156293.28</v>
      </c>
    </row>
    <row r="5205" spans="1:1" ht="11.75" customHeight="1">
      <c r="A5205" s="1989">
        <f>1.21*G108*D20</f>
        <v>6512.22</v>
      </c>
    </row>
    <row r="5206" spans="1:1" ht="11.75" customHeight="1">
      <c r="A5206" s="1989">
        <f>1.21*G108</f>
        <v>1.4157</v>
      </c>
    </row>
    <row r="5207" spans="1:1" ht="11.75" customHeight="1">
      <c r="A5207" s="1989" t="b">
        <f>D108="Measured"</f>
        <v>0</v>
      </c>
    </row>
    <row r="5208" spans="1:1" ht="11.75" customHeight="1">
      <c r="A5208" s="1989">
        <f>G109*D105/D101*3.6</f>
        <v>17.44312813431209</v>
      </c>
    </row>
    <row r="5209" spans="1:1" ht="11.75" customHeight="1">
      <c r="A5209" s="1989">
        <f>G109*D105</f>
        <v>12000</v>
      </c>
    </row>
    <row r="5210" spans="1:1" ht="11.75" customHeight="1">
      <c r="A5210" s="1989">
        <f>D101*3.6</f>
        <v>8915.8319999999985</v>
      </c>
    </row>
    <row r="5211" spans="1:1" ht="11.75" customHeight="1">
      <c r="A5211" s="1989">
        <f>IF(D108="AL-1A",0.89,IF(D108="AL-2A",0.71,IF(D108="AL-3A",0.53,IF(D108="AL-4A",0.35,IF(D108="AL-5A",0.21,IF(D108="AL-1B",1.17,IF(D108="AL-2B",0.98,IF(D108="AL-3B",0.78,IF(D108="AL-4B",0.59,IF(D108="AL-5B",0.39,IF(D108="AL-6B",0.23,IF(D108="PH Classic",0.6*D105/D101*3.6,IF(D108="PH Low",1*D105/D101*3.6,IF(D108="PH+",0.1))))))))))))))</f>
        <v>1.17</v>
      </c>
    </row>
    <row r="5212" spans="1:1" ht="11.75" customHeight="1">
      <c r="A5212" s="1989" t="b">
        <f>D108="AL-1A"</f>
        <v>0</v>
      </c>
    </row>
    <row r="5213" spans="1:1" ht="11.75" customHeight="1">
      <c r="A5213" s="1989">
        <f>IF(D108="AL-2A",0.71,IF(D108="AL-3A",0.53,IF(D108="AL-4A",0.35,IF(D108="AL-5A",0.21,IF(D108="AL-1B",1.17,IF(D108="AL-2B",0.98,IF(D108="AL-3B",0.78,IF(D108="AL-4B",0.59,IF(D108="AL-5B",0.39,IF(D108="AL-6B",0.23,IF(D108="PH Classic",0.6*D105/D101*3.6,IF(D108="PH Low",1*D105/D101*3.6,IF(D108="PH+",0.1)))))))))))))</f>
        <v>1.17</v>
      </c>
    </row>
    <row r="5214" spans="1:1" ht="11.75" customHeight="1">
      <c r="A5214" s="1989" t="b">
        <f>D108="AL-2A"</f>
        <v>0</v>
      </c>
    </row>
    <row r="5215" spans="1:1" ht="11.75" customHeight="1">
      <c r="A5215" s="1989">
        <f>IF(D108="AL-3A",0.53,IF(D108="AL-4A",0.35,IF(D108="AL-5A",0.21,IF(D108="AL-1B",1.17,IF(D108="AL-2B",0.98,IF(D108="AL-3B",0.78,IF(D108="AL-4B",0.59,IF(D108="AL-5B",0.39,IF(D108="AL-6B",0.23,IF(D108="PH Classic",0.6*D105/D101*3.6,IF(D108="PH Low",1*D105/D101*3.6,IF(D108="PH+",0.1))))))))))))</f>
        <v>1.17</v>
      </c>
    </row>
    <row r="5216" spans="1:1" ht="11.75" customHeight="1">
      <c r="A5216" s="1989" t="b">
        <f>D108="AL-3A"</f>
        <v>0</v>
      </c>
    </row>
    <row r="5217" spans="1:1" ht="11.75" customHeight="1">
      <c r="A5217" s="1989">
        <f>IF(D108="AL-4A",0.35,IF(D108="AL-5A",0.21,IF(D108="AL-1B",1.17,IF(D108="AL-2B",0.98,IF(D108="AL-3B",0.78,IF(D108="AL-4B",0.59,IF(D108="AL-5B",0.39,IF(D108="AL-6B",0.23,IF(D108="PH Classic",0.6*D105/D101*3.6,IF(D108="PH Low",1*D105/D101*3.6,IF(D108="PH+",0.1)))))))))))</f>
        <v>1.17</v>
      </c>
    </row>
    <row r="5218" spans="1:1" ht="11.75" customHeight="1">
      <c r="A5218" s="1989" t="b">
        <f>D108="AL-4A"</f>
        <v>0</v>
      </c>
    </row>
    <row r="5219" spans="1:1" ht="11.75" customHeight="1">
      <c r="A5219" s="1989">
        <f>IF(D108="AL-5A",0.21,IF(D108="AL-1B",1.17,IF(D108="AL-2B",0.98,IF(D108="AL-3B",0.78,IF(D108="AL-4B",0.59,IF(D108="AL-5B",0.39,IF(D108="AL-6B",0.23,IF(D108="PH Classic",0.6*D105/D101*3.6,IF(D108="PH Low",1*D105/D101*3.6,IF(D108="PH+",0.1))))))))))</f>
        <v>1.17</v>
      </c>
    </row>
    <row r="5220" spans="1:1" ht="11.75" customHeight="1">
      <c r="A5220" s="1989" t="b">
        <f>D108="AL-5A"</f>
        <v>0</v>
      </c>
    </row>
    <row r="5221" spans="1:1" ht="11.75" customHeight="1">
      <c r="A5221" s="1989">
        <f>IF(D108="AL-1B",1.17,IF(D108="AL-2B",0.98,IF(D108="AL-3B",0.78,IF(D108="AL-4B",0.59,IF(D108="AL-5B",0.39,IF(D108="AL-6B",0.23,IF(D108="PH Classic",0.6*D105/D101*3.6,IF(D108="PH Low",1*D105/D101*3.6,IF(D108="PH+",0.1)))))))))</f>
        <v>1.17</v>
      </c>
    </row>
    <row r="5222" spans="1:1" ht="11.75" customHeight="1">
      <c r="A5222" s="1989" t="b">
        <f>D108="AL-1B"</f>
        <v>1</v>
      </c>
    </row>
    <row r="5223" spans="1:1" ht="11.75" customHeight="1">
      <c r="A5223" s="1989" t="b">
        <f>IF(D108="AL-2B",0.98,IF(D108="AL-3B",0.78,IF(D108="AL-4B",0.59,IF(D108="AL-5B",0.39,IF(D108="AL-6B",0.23,IF(D108="PH Classic",0.6*D105/D101*3.6,IF(D108="PH Low",1*D105/D101*3.6,IF(D108="PH+",0.1))))))))</f>
        <v>0</v>
      </c>
    </row>
    <row r="5224" spans="1:1" ht="11.75" customHeight="1">
      <c r="A5224" s="1989" t="b">
        <f>D108="AL-2B"</f>
        <v>0</v>
      </c>
    </row>
    <row r="5225" spans="1:1" ht="11.75" customHeight="1">
      <c r="A5225" s="1989" t="b">
        <f>IF(D108="AL-3B",0.78,IF(D108="AL-4B",0.59,IF(D108="AL-5B",0.39,IF(D108="AL-6B",0.23,IF(D108="PH Classic",0.6*D105/D101*3.6,IF(D108="PH Low",1*D105/D101*3.6,IF(D108="PH+",0.1)))))))</f>
        <v>0</v>
      </c>
    </row>
    <row r="5226" spans="1:1" ht="11.75" customHeight="1">
      <c r="A5226" s="1989" t="b">
        <f>D108="AL-3B"</f>
        <v>0</v>
      </c>
    </row>
    <row r="5227" spans="1:1" ht="11.75" customHeight="1">
      <c r="A5227" s="1989" t="b">
        <f>IF(D108="AL-4B",0.59,IF(D108="AL-5B",0.39,IF(D108="AL-6B",0.23,IF(D108="PH Classic",0.6*D105/D101*3.6,IF(D108="PH Low",1*D105/D101*3.6,IF(D108="PH+",0.1))))))</f>
        <v>0</v>
      </c>
    </row>
    <row r="5228" spans="1:1" ht="11.75" customHeight="1">
      <c r="A5228" s="1989" t="b">
        <f>D108="AL-4B"</f>
        <v>0</v>
      </c>
    </row>
    <row r="5229" spans="1:1" ht="11.75" customHeight="1">
      <c r="A5229" s="1989" t="b">
        <f>IF(D108="AL-5B",0.39,IF(D108="AL-6B",0.23,IF(D108="PH Classic",0.6*D105/D101*3.6,IF(D108="PH Low",1*D105/D101*3.6,IF(D108="PH+",0.1)))))</f>
        <v>0</v>
      </c>
    </row>
    <row r="5230" spans="1:1" ht="11.75" customHeight="1">
      <c r="A5230" s="1989" t="b">
        <f>D108="AL-5B"</f>
        <v>0</v>
      </c>
    </row>
    <row r="5231" spans="1:1" ht="11.75" customHeight="1">
      <c r="A5231" s="1989" t="b">
        <f>IF(D108="AL-6B",0.23,IF(D108="PH Classic",0.6*D105/D101*3.6,IF(D108="PH Low",1*D105/D101*3.6,IF(D108="PH+",0.1))))</f>
        <v>0</v>
      </c>
    </row>
    <row r="5232" spans="1:1" ht="11.75" customHeight="1">
      <c r="A5232" s="1989" t="b">
        <f>D108="AL-6B"</f>
        <v>0</v>
      </c>
    </row>
    <row r="5233" spans="1:1" ht="11.75" customHeight="1">
      <c r="A5233" s="1989" t="b">
        <f>IF(D108="PH Classic",0.6*D105/D101*3.6,IF(D108="PH Low",1*D105/D101*3.6,IF(D108="PH+",0.1)))</f>
        <v>0</v>
      </c>
    </row>
    <row r="5234" spans="1:1" ht="11.75" customHeight="1">
      <c r="A5234" s="1989" t="b">
        <f>D108="PH Classic"</f>
        <v>0</v>
      </c>
    </row>
    <row r="5235" spans="1:1" ht="11.75" customHeight="1">
      <c r="A5235" s="1989">
        <f>0.6*D105/D101*3.6</f>
        <v>6.9772512537248366</v>
      </c>
    </row>
    <row r="5236" spans="1:1" ht="11.75" customHeight="1">
      <c r="A5236" s="1989">
        <f>0.6*D105</f>
        <v>4800</v>
      </c>
    </row>
    <row r="5237" spans="1:1" ht="11.75" customHeight="1">
      <c r="A5237" s="1989">
        <f>D101*3.6</f>
        <v>8915.8319999999985</v>
      </c>
    </row>
    <row r="5238" spans="1:1" ht="11.75" customHeight="1">
      <c r="A5238" s="1989" t="b">
        <f>IF(D108="PH Low",1*D105/D101*3.6,IF(D108="PH+",0.1))</f>
        <v>0</v>
      </c>
    </row>
    <row r="5239" spans="1:1" ht="11.75" customHeight="1">
      <c r="A5239" s="1989" t="b">
        <f>D108="PH Low"</f>
        <v>0</v>
      </c>
    </row>
    <row r="5240" spans="1:1" ht="11.75" customHeight="1">
      <c r="A5240" s="1989">
        <f>1*D105/D101*3.6</f>
        <v>11.628752089541393</v>
      </c>
    </row>
    <row r="5241" spans="1:1" ht="11.75" customHeight="1">
      <c r="A5241" s="1989">
        <f>1*D105</f>
        <v>8000</v>
      </c>
    </row>
    <row r="5242" spans="1:1" ht="11.75" customHeight="1">
      <c r="A5242" s="1989">
        <f>D101*3.6</f>
        <v>8915.8319999999985</v>
      </c>
    </row>
    <row r="5243" spans="1:1" ht="11.75" customHeight="1">
      <c r="A5243" s="1989" t="b">
        <f>IF(D108="PH+",0.1)</f>
        <v>0</v>
      </c>
    </row>
    <row r="5244" spans="1:1" ht="11.75" customHeight="1">
      <c r="A5244" s="1989" t="b">
        <f>D108="PH+"</f>
        <v>0</v>
      </c>
    </row>
    <row r="5245" spans="1:1" ht="11.75" customHeight="1">
      <c r="A5245" s="1989">
        <f>IF(H20="Present",VLOOKUP(H19,CANADA!A6:K699,9,FALSE),VLOOKUP(H19,CANADA!A6:K699,11,FALSE))</f>
        <v>4600</v>
      </c>
    </row>
    <row r="5246" spans="1:1" ht="11.75" customHeight="1">
      <c r="A5246" s="1989">
        <f>MATCH('NRL50-n-Factors'!D34,'NRL50-n-Factors'!C38:C49,0)</f>
        <v>5</v>
      </c>
    </row>
    <row r="5247" spans="1:1" ht="11.75" customHeight="1">
      <c r="A5247" s="1989">
        <f>MATCH(REPORT!D103,'NRL50-n-Factors'!D37:J37,0)</f>
        <v>2</v>
      </c>
    </row>
    <row r="5248" spans="1:1" ht="11.75" customHeight="1">
      <c r="A5248" s="1989" t="b">
        <f>D51="Gas"</f>
        <v>0</v>
      </c>
    </row>
    <row r="5249" spans="1:1" ht="11.75" customHeight="1">
      <c r="A5249" s="1989">
        <f>D$20*G101*24</f>
        <v>30728.853316304834</v>
      </c>
    </row>
    <row r="5250" spans="1:1" ht="11.75" customHeight="1">
      <c r="A5250" s="1989">
        <f>SUM(H65:H67)</f>
        <v>84390.33600000001</v>
      </c>
    </row>
    <row r="5251" spans="1:1" ht="11.75" customHeight="1">
      <c r="A5251" s="1989">
        <f>IF(D113="Heatpump",K51+D117+D114+M43+H70,IF(D113="Gas",K51+D117+M43+H70))</f>
        <v>132765.64793897627</v>
      </c>
    </row>
    <row r="5252" spans="1:1" ht="11.75" customHeight="1">
      <c r="A5252" s="1989" t="b">
        <f>D113="Heatpump"</f>
        <v>1</v>
      </c>
    </row>
    <row r="5253" spans="1:1" ht="11.75" customHeight="1">
      <c r="A5253" s="1990">
        <f>K51+D117+D114+M43+H70</f>
        <v>132765.64793897627</v>
      </c>
    </row>
    <row r="5254" spans="1:1" ht="11.75" customHeight="1">
      <c r="A5254" s="1989" t="b">
        <f>IF(D113="Gas",K51+D117+M43+H70)</f>
        <v>0</v>
      </c>
    </row>
    <row r="5255" spans="1:1" ht="11.75" customHeight="1">
      <c r="A5255" s="1989">
        <f>SUM(D44:D46)</f>
        <v>0</v>
      </c>
    </row>
    <row r="5256" spans="1:1" ht="11.75" customHeight="1">
      <c r="A5256" s="1990">
        <f>I44+I45</f>
        <v>0</v>
      </c>
    </row>
    <row r="5257" spans="1:1" ht="11.75" customHeight="1">
      <c r="A5257" s="1989">
        <f>H28*0.0373</f>
        <v>0</v>
      </c>
    </row>
    <row r="5258" spans="1:1" ht="11.75" customHeight="1">
      <c r="A5258" s="1989">
        <f>H30*36.72</f>
        <v>0</v>
      </c>
    </row>
    <row r="5259" spans="1:1" ht="11.75" customHeight="1">
      <c r="A5259" s="1990">
        <f>H27-D43</f>
        <v>132765.64793897627</v>
      </c>
    </row>
    <row r="5260" spans="1:1" ht="11.75" customHeight="1">
      <c r="A5260" s="1989" t="b">
        <f>D113="Electricity"</f>
        <v>0</v>
      </c>
    </row>
    <row r="5261" spans="1:1" ht="11.75" customHeight="1">
      <c r="A5261" s="1990">
        <f>I103+K51+D117+M121+I101+I102+M43+SUM(H65:H67)</f>
        <v>265287.6445956853</v>
      </c>
    </row>
    <row r="5262" spans="1:1" ht="11.75" customHeight="1">
      <c r="A5262" s="1990">
        <f>I103+K51+D117+M121+I101+I102+M43</f>
        <v>180897.30859568529</v>
      </c>
    </row>
    <row r="5263" spans="1:1" ht="11.75" customHeight="1">
      <c r="A5263" s="1990">
        <f>I103+K51+D117+M121+I101+I102</f>
        <v>180897.30859568529</v>
      </c>
    </row>
    <row r="5264" spans="1:1" ht="11.75" customHeight="1">
      <c r="A5264" s="1990">
        <f>I103+K51+D117+M121+I101</f>
        <v>164109.06314703665</v>
      </c>
    </row>
    <row r="5265" spans="1:1" ht="11.75" customHeight="1">
      <c r="A5265" s="1990">
        <f>I103+K51+D117+M121</f>
        <v>88005.3704468098</v>
      </c>
    </row>
    <row r="5266" spans="1:1" ht="11.75" customHeight="1">
      <c r="A5266" s="1990">
        <f>I103+K51+D117</f>
        <v>39024.570446809812</v>
      </c>
    </row>
    <row r="5267" spans="1:1" ht="11.75" customHeight="1">
      <c r="A5267" s="1990">
        <f>I103+K51</f>
        <v>36006.531012790423</v>
      </c>
    </row>
    <row r="5268" spans="1:1" ht="11.75" customHeight="1">
      <c r="A5268" s="1989">
        <f>1.21*G108*D20*24/1000*D101</f>
        <v>387079.06311359996</v>
      </c>
    </row>
    <row r="5269" spans="1:1" ht="11.75" customHeight="1">
      <c r="A5269" s="1989">
        <f>1.21*G108*D20*24/1000</f>
        <v>156.29328000000001</v>
      </c>
    </row>
    <row r="5270" spans="1:1" ht="11.75" customHeight="1">
      <c r="A5270" s="1989">
        <f>1.21*G108*D20*24</f>
        <v>156293.28</v>
      </c>
    </row>
    <row r="5271" spans="1:1" ht="11.75" customHeight="1">
      <c r="A5271" s="1989">
        <f>1.21*G108*D20</f>
        <v>6512.22</v>
      </c>
    </row>
    <row r="5272" spans="1:1" ht="11.75" customHeight="1">
      <c r="A5272" s="1989">
        <f>1.21*G108</f>
        <v>1.4157</v>
      </c>
    </row>
    <row r="5273" spans="1:1" ht="11.75" customHeight="1">
      <c r="A5273" s="1989" t="b">
        <f>D108="Measured"</f>
        <v>0</v>
      </c>
    </row>
    <row r="5274" spans="1:1" ht="11.75" customHeight="1">
      <c r="A5274" s="1989">
        <f>G109*D105/D101*3.6</f>
        <v>17.44312813431209</v>
      </c>
    </row>
    <row r="5275" spans="1:1" ht="11.75" customHeight="1">
      <c r="A5275" s="1989">
        <f>G109*D105</f>
        <v>12000</v>
      </c>
    </row>
    <row r="5276" spans="1:1" ht="11.75" customHeight="1">
      <c r="A5276" s="1989">
        <f>D101*3.6</f>
        <v>8915.8319999999985</v>
      </c>
    </row>
    <row r="5277" spans="1:1" ht="11.75" customHeight="1">
      <c r="A5277" s="1989">
        <f>IF(D108="AL-1A",0.89,IF(D108="AL-2A",0.71,IF(D108="AL-3A",0.53,IF(D108="AL-4A",0.35,IF(D108="AL-5A",0.21,IF(D108="AL-1B",1.17,IF(D108="AL-2B",0.98,IF(D108="AL-3B",0.78,IF(D108="AL-4B",0.59,IF(D108="AL-5B",0.39,IF(D108="AL-6B",0.23,IF(D108="PH Classic",0.6*D105/D101*3.6,IF(D108="PH Low",1*D105/D101*3.6,IF(D108="PH+",0.1))))))))))))))</f>
        <v>1.17</v>
      </c>
    </row>
    <row r="5278" spans="1:1" ht="11.75" customHeight="1">
      <c r="A5278" s="1989" t="b">
        <f>D108="AL-1A"</f>
        <v>0</v>
      </c>
    </row>
    <row r="5279" spans="1:1" ht="11.75" customHeight="1">
      <c r="A5279" s="1989">
        <f>IF(D108="AL-2A",0.71,IF(D108="AL-3A",0.53,IF(D108="AL-4A",0.35,IF(D108="AL-5A",0.21,IF(D108="AL-1B",1.17,IF(D108="AL-2B",0.98,IF(D108="AL-3B",0.78,IF(D108="AL-4B",0.59,IF(D108="AL-5B",0.39,IF(D108="AL-6B",0.23,IF(D108="PH Classic",0.6*D105/D101*3.6,IF(D108="PH Low",1*D105/D101*3.6,IF(D108="PH+",0.1)))))))))))))</f>
        <v>1.17</v>
      </c>
    </row>
    <row r="5280" spans="1:1" ht="11.75" customHeight="1">
      <c r="A5280" s="1989" t="b">
        <f>D108="AL-2A"</f>
        <v>0</v>
      </c>
    </row>
    <row r="5281" spans="1:1" ht="11.75" customHeight="1">
      <c r="A5281" s="1989">
        <f>IF(D108="AL-3A",0.53,IF(D108="AL-4A",0.35,IF(D108="AL-5A",0.21,IF(D108="AL-1B",1.17,IF(D108="AL-2B",0.98,IF(D108="AL-3B",0.78,IF(D108="AL-4B",0.59,IF(D108="AL-5B",0.39,IF(D108="AL-6B",0.23,IF(D108="PH Classic",0.6*D105/D101*3.6,IF(D108="PH Low",1*D105/D101*3.6,IF(D108="PH+",0.1))))))))))))</f>
        <v>1.17</v>
      </c>
    </row>
    <row r="5282" spans="1:1" ht="11.75" customHeight="1">
      <c r="A5282" s="1989" t="b">
        <f>D108="AL-3A"</f>
        <v>0</v>
      </c>
    </row>
    <row r="5283" spans="1:1" ht="11.75" customHeight="1">
      <c r="A5283" s="1989">
        <f>IF(D108="AL-4A",0.35,IF(D108="AL-5A",0.21,IF(D108="AL-1B",1.17,IF(D108="AL-2B",0.98,IF(D108="AL-3B",0.78,IF(D108="AL-4B",0.59,IF(D108="AL-5B",0.39,IF(D108="AL-6B",0.23,IF(D108="PH Classic",0.6*D105/D101*3.6,IF(D108="PH Low",1*D105/D101*3.6,IF(D108="PH+",0.1)))))))))))</f>
        <v>1.17</v>
      </c>
    </row>
    <row r="5284" spans="1:1" ht="11.75" customHeight="1">
      <c r="A5284" s="1989" t="b">
        <f>D108="AL-4A"</f>
        <v>0</v>
      </c>
    </row>
    <row r="5285" spans="1:1" ht="11.75" customHeight="1">
      <c r="A5285" s="1989">
        <f>IF(D108="AL-5A",0.21,IF(D108="AL-1B",1.17,IF(D108="AL-2B",0.98,IF(D108="AL-3B",0.78,IF(D108="AL-4B",0.59,IF(D108="AL-5B",0.39,IF(D108="AL-6B",0.23,IF(D108="PH Classic",0.6*D105/D101*3.6,IF(D108="PH Low",1*D105/D101*3.6,IF(D108="PH+",0.1))))))))))</f>
        <v>1.17</v>
      </c>
    </row>
    <row r="5286" spans="1:1" ht="11.75" customHeight="1">
      <c r="A5286" s="1989" t="b">
        <f>D108="AL-5A"</f>
        <v>0</v>
      </c>
    </row>
    <row r="5287" spans="1:1" ht="11.75" customHeight="1">
      <c r="A5287" s="1989">
        <f>IF(D108="AL-1B",1.17,IF(D108="AL-2B",0.98,IF(D108="AL-3B",0.78,IF(D108="AL-4B",0.59,IF(D108="AL-5B",0.39,IF(D108="AL-6B",0.23,IF(D108="PH Classic",0.6*D105/D101*3.6,IF(D108="PH Low",1*D105/D101*3.6,IF(D108="PH+",0.1)))))))))</f>
        <v>1.17</v>
      </c>
    </row>
    <row r="5288" spans="1:1" ht="11.75" customHeight="1">
      <c r="A5288" s="1989" t="b">
        <f>D108="AL-1B"</f>
        <v>1</v>
      </c>
    </row>
    <row r="5289" spans="1:1" ht="11.75" customHeight="1">
      <c r="A5289" s="1989" t="b">
        <f>IF(D108="AL-2B",0.98,IF(D108="AL-3B",0.78,IF(D108="AL-4B",0.59,IF(D108="AL-5B",0.39,IF(D108="AL-6B",0.23,IF(D108="PH Classic",0.6*D105/D101*3.6,IF(D108="PH Low",1*D105/D101*3.6,IF(D108="PH+",0.1))))))))</f>
        <v>0</v>
      </c>
    </row>
    <row r="5290" spans="1:1" ht="11.75" customHeight="1">
      <c r="A5290" s="1989" t="b">
        <f>D108="AL-2B"</f>
        <v>0</v>
      </c>
    </row>
    <row r="5291" spans="1:1" ht="11.75" customHeight="1">
      <c r="A5291" s="1989" t="b">
        <f>IF(D108="AL-3B",0.78,IF(D108="AL-4B",0.59,IF(D108="AL-5B",0.39,IF(D108="AL-6B",0.23,IF(D108="PH Classic",0.6*D105/D101*3.6,IF(D108="PH Low",1*D105/D101*3.6,IF(D108="PH+",0.1)))))))</f>
        <v>0</v>
      </c>
    </row>
    <row r="5292" spans="1:1" ht="11.75" customHeight="1">
      <c r="A5292" s="1989" t="b">
        <f>D108="AL-3B"</f>
        <v>0</v>
      </c>
    </row>
    <row r="5293" spans="1:1" ht="11.75" customHeight="1">
      <c r="A5293" s="1989" t="b">
        <f>IF(D108="AL-4B",0.59,IF(D108="AL-5B",0.39,IF(D108="AL-6B",0.23,IF(D108="PH Classic",0.6*D105/D101*3.6,IF(D108="PH Low",1*D105/D101*3.6,IF(D108="PH+",0.1))))))</f>
        <v>0</v>
      </c>
    </row>
    <row r="5294" spans="1:1" ht="11.75" customHeight="1">
      <c r="A5294" s="1989" t="b">
        <f>D108="AL-4B"</f>
        <v>0</v>
      </c>
    </row>
    <row r="5295" spans="1:1" ht="11.75" customHeight="1">
      <c r="A5295" s="1989" t="b">
        <f>IF(D108="AL-5B",0.39,IF(D108="AL-6B",0.23,IF(D108="PH Classic",0.6*D105/D101*3.6,IF(D108="PH Low",1*D105/D101*3.6,IF(D108="PH+",0.1)))))</f>
        <v>0</v>
      </c>
    </row>
    <row r="5296" spans="1:1" ht="11.75" customHeight="1">
      <c r="A5296" s="1989" t="b">
        <f>D108="AL-5B"</f>
        <v>0</v>
      </c>
    </row>
    <row r="5297" spans="1:1" ht="11.75" customHeight="1">
      <c r="A5297" s="1989" t="b">
        <f>IF(D108="AL-6B",0.23,IF(D108="PH Classic",0.6*D105/D101*3.6,IF(D108="PH Low",1*D105/D101*3.6,IF(D108="PH+",0.1))))</f>
        <v>0</v>
      </c>
    </row>
    <row r="5298" spans="1:1" ht="11.75" customHeight="1">
      <c r="A5298" s="1989" t="b">
        <f>D108="AL-6B"</f>
        <v>0</v>
      </c>
    </row>
    <row r="5299" spans="1:1" ht="11.75" customHeight="1">
      <c r="A5299" s="1989" t="b">
        <f>IF(D108="PH Classic",0.6*D105/D101*3.6,IF(D108="PH Low",1*D105/D101*3.6,IF(D108="PH+",0.1)))</f>
        <v>0</v>
      </c>
    </row>
    <row r="5300" spans="1:1" ht="11.75" customHeight="1">
      <c r="A5300" s="1989" t="b">
        <f>D108="PH Classic"</f>
        <v>0</v>
      </c>
    </row>
    <row r="5301" spans="1:1" ht="11.75" customHeight="1">
      <c r="A5301" s="1989">
        <f>0.6*D105/D101*3.6</f>
        <v>6.9772512537248366</v>
      </c>
    </row>
    <row r="5302" spans="1:1" ht="11.75" customHeight="1">
      <c r="A5302" s="1989">
        <f>0.6*D105</f>
        <v>4800</v>
      </c>
    </row>
    <row r="5303" spans="1:1" ht="11.75" customHeight="1">
      <c r="A5303" s="1989">
        <f>D101*3.6</f>
        <v>8915.8319999999985</v>
      </c>
    </row>
    <row r="5304" spans="1:1" ht="11.75" customHeight="1">
      <c r="A5304" s="1989" t="b">
        <f>IF(D108="PH Low",1*D105/D101*3.6,IF(D108="PH+",0.1))</f>
        <v>0</v>
      </c>
    </row>
    <row r="5305" spans="1:1" ht="11.75" customHeight="1">
      <c r="A5305" s="1989" t="b">
        <f>D108="PH Low"</f>
        <v>0</v>
      </c>
    </row>
    <row r="5306" spans="1:1" ht="11.75" customHeight="1">
      <c r="A5306" s="1989">
        <f>1*D105/D101*3.6</f>
        <v>11.628752089541393</v>
      </c>
    </row>
    <row r="5307" spans="1:1" ht="11.75" customHeight="1">
      <c r="A5307" s="1989">
        <f>1*D105</f>
        <v>8000</v>
      </c>
    </row>
    <row r="5308" spans="1:1" ht="11.75" customHeight="1">
      <c r="A5308" s="1989">
        <f>D101*3.6</f>
        <v>8915.8319999999985</v>
      </c>
    </row>
    <row r="5309" spans="1:1" ht="11.75" customHeight="1">
      <c r="A5309" s="1990">
        <f>H27-D43</f>
        <v>132765.64793897627</v>
      </c>
    </row>
    <row r="5310" spans="1:1" ht="11.75" customHeight="1">
      <c r="A5310" s="1989" t="b">
        <f>D113="Electricity"</f>
        <v>0</v>
      </c>
    </row>
    <row r="5311" spans="1:1" ht="11.75" customHeight="1">
      <c r="A5311" s="1990">
        <f>I103+K51+D117+M121+I101+I102+M43+SUM(H65:H67)</f>
        <v>265287.6445956853</v>
      </c>
    </row>
    <row r="5312" spans="1:1" ht="11.75" customHeight="1">
      <c r="A5312" s="1990">
        <f>I103+K51+D117+M121+I101+I102+M43</f>
        <v>180897.30859568529</v>
      </c>
    </row>
    <row r="5313" spans="1:1" ht="11.75" customHeight="1">
      <c r="A5313" s="1990">
        <f>I103+K51+D117+M121+I101+I102</f>
        <v>180897.30859568529</v>
      </c>
    </row>
    <row r="5314" spans="1:1" ht="11.75" customHeight="1">
      <c r="A5314" s="1990">
        <f>I103+K51+D117+M121+I101</f>
        <v>164109.06314703665</v>
      </c>
    </row>
    <row r="5315" spans="1:1" ht="11.75" customHeight="1">
      <c r="A5315" s="1990">
        <f>I103+K51+D117+M121</f>
        <v>88005.3704468098</v>
      </c>
    </row>
    <row r="5316" spans="1:1" ht="11.75" customHeight="1">
      <c r="A5316" s="1990">
        <f>I103+K51+D117</f>
        <v>39024.570446809812</v>
      </c>
    </row>
    <row r="5317" spans="1:1" ht="11.75" customHeight="1">
      <c r="A5317" s="1990">
        <f>I103+K51</f>
        <v>36006.531012790423</v>
      </c>
    </row>
    <row r="5318" spans="1:1" ht="11.75" customHeight="1">
      <c r="A5318" s="1989">
        <f>1.21*G108*D20*24/1000*D101</f>
        <v>387079.06311359996</v>
      </c>
    </row>
    <row r="5319" spans="1:1" ht="11.75" customHeight="1">
      <c r="A5319" s="1989">
        <f>1.21*G108*D20*24/1000</f>
        <v>156.29328000000001</v>
      </c>
    </row>
    <row r="5320" spans="1:1" ht="11.75" customHeight="1">
      <c r="A5320" s="1989">
        <f>1.21*G108*D20*24</f>
        <v>156293.28</v>
      </c>
    </row>
    <row r="5321" spans="1:1" ht="11.75" customHeight="1">
      <c r="A5321" s="1989">
        <f>1.21*G108*D20</f>
        <v>6512.22</v>
      </c>
    </row>
    <row r="5322" spans="1:1" ht="11.75" customHeight="1">
      <c r="A5322" s="1989">
        <f>1.21*G108</f>
        <v>1.4157</v>
      </c>
    </row>
    <row r="5323" spans="1:1" ht="11.75" customHeight="1">
      <c r="A5323" s="1989" t="b">
        <f>D108="Measured"</f>
        <v>0</v>
      </c>
    </row>
    <row r="5324" spans="1:1" ht="11.75" customHeight="1">
      <c r="A5324" s="1989">
        <f>G109*D105/D101*3.6</f>
        <v>17.44312813431209</v>
      </c>
    </row>
    <row r="5325" spans="1:1" ht="11.75" customHeight="1">
      <c r="A5325" s="1989">
        <f>G109*D105</f>
        <v>12000</v>
      </c>
    </row>
    <row r="5326" spans="1:1" ht="11.75" customHeight="1">
      <c r="A5326" s="1989">
        <f>D101*3.6</f>
        <v>8915.8319999999985</v>
      </c>
    </row>
    <row r="5327" spans="1:1" ht="11.75" customHeight="1">
      <c r="A5327" s="1989">
        <f>IF(D108="AL-1A",0.89,IF(D108="AL-2A",0.71,IF(D108="AL-3A",0.53,IF(D108="AL-4A",0.35,IF(D108="AL-5A",0.21,IF(D108="AL-1B",1.17,IF(D108="AL-2B",0.98,IF(D108="AL-3B",0.78,IF(D108="AL-4B",0.59,IF(D108="AL-5B",0.39,IF(D108="AL-6B",0.23,IF(D108="PH Classic",0.6*D105/D101*3.6,IF(D108="PH Low",1*D105/D101*3.6,IF(D108="PH+",0.1))))))))))))))</f>
        <v>1.17</v>
      </c>
    </row>
    <row r="5328" spans="1:1" ht="11.75" customHeight="1">
      <c r="A5328" s="1989" t="b">
        <f>D108="AL-1A"</f>
        <v>0</v>
      </c>
    </row>
    <row r="5329" spans="1:1" ht="11.75" customHeight="1">
      <c r="A5329" s="1989">
        <f>IF(D108="AL-2A",0.71,IF(D108="AL-3A",0.53,IF(D108="AL-4A",0.35,IF(D108="AL-5A",0.21,IF(D108="AL-1B",1.17,IF(D108="AL-2B",0.98,IF(D108="AL-3B",0.78,IF(D108="AL-4B",0.59,IF(D108="AL-5B",0.39,IF(D108="AL-6B",0.23,IF(D108="PH Classic",0.6*D105/D101*3.6,IF(D108="PH Low",1*D105/D101*3.6,IF(D108="PH+",0.1)))))))))))))</f>
        <v>1.17</v>
      </c>
    </row>
    <row r="5330" spans="1:1" ht="11.75" customHeight="1">
      <c r="A5330" s="1989" t="b">
        <f>D108="AL-2A"</f>
        <v>0</v>
      </c>
    </row>
    <row r="5331" spans="1:1" ht="11.75" customHeight="1">
      <c r="A5331" s="1989">
        <f>IF(D108="AL-3A",0.53,IF(D108="AL-4A",0.35,IF(D108="AL-5A",0.21,IF(D108="AL-1B",1.17,IF(D108="AL-2B",0.98,IF(D108="AL-3B",0.78,IF(D108="AL-4B",0.59,IF(D108="AL-5B",0.39,IF(D108="AL-6B",0.23,IF(D108="PH Classic",0.6*D105/D101*3.6,IF(D108="PH Low",1*D105/D101*3.6,IF(D108="PH+",0.1))))))))))))</f>
        <v>1.17</v>
      </c>
    </row>
    <row r="5332" spans="1:1" ht="11.75" customHeight="1">
      <c r="A5332" s="1989" t="b">
        <f>D108="AL-3A"</f>
        <v>0</v>
      </c>
    </row>
    <row r="5333" spans="1:1" ht="11.75" customHeight="1">
      <c r="A5333" s="1989">
        <f>IF(D108="AL-4A",0.35,IF(D108="AL-5A",0.21,IF(D108="AL-1B",1.17,IF(D108="AL-2B",0.98,IF(D108="AL-3B",0.78,IF(D108="AL-4B",0.59,IF(D108="AL-5B",0.39,IF(D108="AL-6B",0.23,IF(D108="PH Classic",0.6*D105/D101*3.6,IF(D108="PH Low",1*D105/D101*3.6,IF(D108="PH+",0.1)))))))))))</f>
        <v>1.17</v>
      </c>
    </row>
    <row r="5334" spans="1:1" ht="11.75" customHeight="1">
      <c r="A5334" s="1989" t="b">
        <f>D108="AL-4A"</f>
        <v>0</v>
      </c>
    </row>
    <row r="5335" spans="1:1" ht="11.75" customHeight="1">
      <c r="A5335" s="1989">
        <f>IF(D108="AL-5A",0.21,IF(D108="AL-1B",1.17,IF(D108="AL-2B",0.98,IF(D108="AL-3B",0.78,IF(D108="AL-4B",0.59,IF(D108="AL-5B",0.39,IF(D108="AL-6B",0.23,IF(D108="PH Classic",0.6*D105/D101*3.6,IF(D108="PH Low",1*D105/D101*3.6,IF(D108="PH+",0.1))))))))))</f>
        <v>1.17</v>
      </c>
    </row>
    <row r="5336" spans="1:1" ht="11.75" customHeight="1">
      <c r="A5336" s="1989" t="b">
        <f>D108="AL-5A"</f>
        <v>0</v>
      </c>
    </row>
    <row r="5337" spans="1:1" ht="11.75" customHeight="1">
      <c r="A5337" s="1989">
        <f>IF(D108="AL-1B",1.17,IF(D108="AL-2B",0.98,IF(D108="AL-3B",0.78,IF(D108="AL-4B",0.59,IF(D108="AL-5B",0.39,IF(D108="AL-6B",0.23,IF(D108="PH Classic",0.6*D105/D101*3.6,IF(D108="PH Low",1*D105/D101*3.6,IF(D108="PH+",0.1)))))))))</f>
        <v>1.17</v>
      </c>
    </row>
    <row r="5338" spans="1:1" ht="11.75" customHeight="1">
      <c r="A5338" s="1989" t="b">
        <f>D108="AL-1B"</f>
        <v>1</v>
      </c>
    </row>
    <row r="5339" spans="1:1" ht="11.75" customHeight="1">
      <c r="A5339" s="1989" t="b">
        <f>IF(D108="AL-2B",0.98,IF(D108="AL-3B",0.78,IF(D108="AL-4B",0.59,IF(D108="AL-5B",0.39,IF(D108="AL-6B",0.23,IF(D108="PH Classic",0.6*D105/D101*3.6,IF(D108="PH Low",1*D105/D101*3.6,IF(D108="PH+",0.1))))))))</f>
        <v>0</v>
      </c>
    </row>
    <row r="5340" spans="1:1" ht="11.75" customHeight="1">
      <c r="A5340" s="1989" t="b">
        <f>D108="AL-2B"</f>
        <v>0</v>
      </c>
    </row>
    <row r="5341" spans="1:1" ht="11.75" customHeight="1">
      <c r="A5341" s="1989" t="b">
        <f>IF(D108="AL-3B",0.78,IF(D108="AL-4B",0.59,IF(D108="AL-5B",0.39,IF(D108="AL-6B",0.23,IF(D108="PH Classic",0.6*D105/D101*3.6,IF(D108="PH Low",1*D105/D101*3.6,IF(D108="PH+",0.1)))))))</f>
        <v>0</v>
      </c>
    </row>
    <row r="5342" spans="1:1" ht="11.75" customHeight="1">
      <c r="A5342" s="1989" t="b">
        <f>D108="AL-3B"</f>
        <v>0</v>
      </c>
    </row>
    <row r="5343" spans="1:1" ht="11.75" customHeight="1">
      <c r="A5343" s="1989" t="b">
        <f>IF(D108="AL-4B",0.59,IF(D108="AL-5B",0.39,IF(D108="AL-6B",0.23,IF(D108="PH Classic",0.6*D105/D101*3.6,IF(D108="PH Low",1*D105/D101*3.6,IF(D108="PH+",0.1))))))</f>
        <v>0</v>
      </c>
    </row>
    <row r="5344" spans="1:1" ht="11.75" customHeight="1">
      <c r="A5344" s="1989" t="b">
        <f>D108="AL-4B"</f>
        <v>0</v>
      </c>
    </row>
    <row r="5345" spans="1:1" ht="11.75" customHeight="1">
      <c r="A5345" s="1989" t="b">
        <f>IF(D108="AL-5B",0.39,IF(D108="AL-6B",0.23,IF(D108="PH Classic",0.6*D105/D101*3.6,IF(D108="PH Low",1*D105/D101*3.6,IF(D108="PH+",0.1)))))</f>
        <v>0</v>
      </c>
    </row>
    <row r="5346" spans="1:1" ht="11.75" customHeight="1">
      <c r="A5346" s="1989" t="b">
        <f>D108="AL-5B"</f>
        <v>0</v>
      </c>
    </row>
    <row r="5347" spans="1:1" ht="11.75" customHeight="1">
      <c r="A5347" s="1989" t="b">
        <f>IF(D108="AL-6B",0.23,IF(D108="PH Classic",0.6*D105/D101*3.6,IF(D108="PH Low",1*D105/D101*3.6,IF(D108="PH+",0.1))))</f>
        <v>0</v>
      </c>
    </row>
    <row r="5348" spans="1:1" ht="11.75" customHeight="1">
      <c r="A5348" s="1989" t="b">
        <f>D108="AL-6B"</f>
        <v>0</v>
      </c>
    </row>
    <row r="5349" spans="1:1" ht="11.75" customHeight="1">
      <c r="A5349" s="1989" t="b">
        <f>IF(D108="PH Classic",0.6*D105/D101*3.6,IF(D108="PH Low",1*D105/D101*3.6,IF(D108="PH+",0.1)))</f>
        <v>0</v>
      </c>
    </row>
    <row r="5350" spans="1:1" ht="11.75" customHeight="1">
      <c r="A5350" s="1989" t="b">
        <f>D108="PH Classic"</f>
        <v>0</v>
      </c>
    </row>
    <row r="5351" spans="1:1" ht="11.75" customHeight="1">
      <c r="A5351" s="1989">
        <f>0.6*D105/D101*3.6</f>
        <v>6.9772512537248366</v>
      </c>
    </row>
    <row r="5352" spans="1:1" ht="11.75" customHeight="1">
      <c r="A5352" s="1989">
        <f>0.6*D105</f>
        <v>4800</v>
      </c>
    </row>
    <row r="5353" spans="1:1" ht="11.75" customHeight="1">
      <c r="A5353" s="1989">
        <f>D101*3.6</f>
        <v>8915.8319999999985</v>
      </c>
    </row>
    <row r="5354" spans="1:1" ht="11.75" customHeight="1">
      <c r="A5354" s="1989" t="b">
        <f>IF(D108="PH Low",1*D105/D101*3.6,IF(D108="PH+",0.1))</f>
        <v>0</v>
      </c>
    </row>
    <row r="5355" spans="1:1" ht="11.75" customHeight="1">
      <c r="A5355" s="1989" t="b">
        <f>D108="PH Low"</f>
        <v>0</v>
      </c>
    </row>
    <row r="5356" spans="1:1" ht="11.75" customHeight="1">
      <c r="A5356" s="1989">
        <f>1*D105/D101*3.6</f>
        <v>11.628752089541393</v>
      </c>
    </row>
    <row r="5357" spans="1:1" ht="11.75" customHeight="1">
      <c r="A5357" s="1989">
        <f>1*D105</f>
        <v>8000</v>
      </c>
    </row>
    <row r="5358" spans="1:1" ht="11.75" customHeight="1">
      <c r="A5358" s="1989">
        <f>D101*3.6</f>
        <v>8915.8319999999985</v>
      </c>
    </row>
    <row r="5359" spans="1:1" ht="11.75" customHeight="1">
      <c r="A5359" s="1990">
        <f>H27-D43</f>
        <v>132765.64793897627</v>
      </c>
    </row>
    <row r="5360" spans="1:1" ht="11.75" customHeight="1">
      <c r="A5360" s="1989" t="b">
        <f>D113="Electricity"</f>
        <v>0</v>
      </c>
    </row>
    <row r="5361" spans="1:1" ht="11.75" customHeight="1">
      <c r="A5361" s="1990">
        <f>I103+K51+D117+M121+I101+I102+M43+SUM(H65:H67)</f>
        <v>265287.6445956853</v>
      </c>
    </row>
    <row r="5362" spans="1:1" ht="11.75" customHeight="1">
      <c r="A5362" s="1990">
        <f>I103+K51+D117+M121+I101+I102+M43</f>
        <v>180897.30859568529</v>
      </c>
    </row>
    <row r="5363" spans="1:1" ht="11.75" customHeight="1">
      <c r="A5363" s="1990">
        <f>I103+K51+D117+M121+I101+I102</f>
        <v>180897.30859568529</v>
      </c>
    </row>
    <row r="5364" spans="1:1" ht="11.75" customHeight="1">
      <c r="A5364" s="1990">
        <f>I103+K51+D117+M121+I101</f>
        <v>164109.06314703665</v>
      </c>
    </row>
    <row r="5365" spans="1:1" ht="11.75" customHeight="1">
      <c r="A5365" s="1990">
        <f>I103+K51+D117+M121</f>
        <v>88005.3704468098</v>
      </c>
    </row>
    <row r="5366" spans="1:1" ht="11.75" customHeight="1">
      <c r="A5366" s="1990">
        <f>I103+K51+D117</f>
        <v>39024.570446809812</v>
      </c>
    </row>
    <row r="5367" spans="1:1" ht="11.75" customHeight="1">
      <c r="A5367" s="1990">
        <f>I103+K51</f>
        <v>36006.531012790423</v>
      </c>
    </row>
    <row r="5368" spans="1:1" ht="11.75" customHeight="1">
      <c r="A5368" s="1989">
        <f>1.21*G108*D20*24/1000*D101</f>
        <v>387079.06311359996</v>
      </c>
    </row>
    <row r="5369" spans="1:1" ht="11.75" customHeight="1">
      <c r="A5369" s="1989">
        <f>1.21*G108*D20*24/1000</f>
        <v>156.29328000000001</v>
      </c>
    </row>
    <row r="5370" spans="1:1" ht="11.75" customHeight="1">
      <c r="A5370" s="1989">
        <f>1.21*G108*D20*24</f>
        <v>156293.28</v>
      </c>
    </row>
    <row r="5371" spans="1:1" ht="11.75" customHeight="1">
      <c r="A5371" s="1989">
        <f>1.21*G108*D20</f>
        <v>6512.22</v>
      </c>
    </row>
    <row r="5372" spans="1:1" ht="11.75" customHeight="1">
      <c r="A5372" s="1989">
        <f>1.21*G108</f>
        <v>1.4157</v>
      </c>
    </row>
    <row r="5373" spans="1:1" ht="11.75" customHeight="1">
      <c r="A5373" s="1989" t="b">
        <f>D108="Measured"</f>
        <v>0</v>
      </c>
    </row>
    <row r="5374" spans="1:1" ht="11.75" customHeight="1">
      <c r="A5374" s="1989">
        <f>G109*D105/D101*3.6</f>
        <v>17.44312813431209</v>
      </c>
    </row>
    <row r="5375" spans="1:1" ht="11.75" customHeight="1">
      <c r="A5375" s="1989">
        <f>G109*D105</f>
        <v>12000</v>
      </c>
    </row>
    <row r="5376" spans="1:1" ht="11.75" customHeight="1">
      <c r="A5376" s="1989">
        <f>D101*3.6</f>
        <v>8915.8319999999985</v>
      </c>
    </row>
    <row r="5377" spans="1:1" ht="11.75" customHeight="1">
      <c r="A5377" s="1989">
        <f>IF(D108="AL-1A",0.89,IF(D108="AL-2A",0.71,IF(D108="AL-3A",0.53,IF(D108="AL-4A",0.35,IF(D108="AL-5A",0.21,IF(D108="AL-1B",1.17,IF(D108="AL-2B",0.98,IF(D108="AL-3B",0.78,IF(D108="AL-4B",0.59,IF(D108="AL-5B",0.39,IF(D108="AL-6B",0.23,IF(D108="PH Classic",0.6*D105/D101*3.6,IF(D108="PH Low",1*D105/D101*3.6,IF(D108="PH+",0.1))))))))))))))</f>
        <v>1.17</v>
      </c>
    </row>
    <row r="5378" spans="1:1" ht="11.75" customHeight="1">
      <c r="A5378" s="1989" t="b">
        <f>D108="AL-1A"</f>
        <v>0</v>
      </c>
    </row>
    <row r="5379" spans="1:1" ht="11.75" customHeight="1">
      <c r="A5379" s="1989">
        <f>IF(D108="AL-2A",0.71,IF(D108="AL-3A",0.53,IF(D108="AL-4A",0.35,IF(D108="AL-5A",0.21,IF(D108="AL-1B",1.17,IF(D108="AL-2B",0.98,IF(D108="AL-3B",0.78,IF(D108="AL-4B",0.59,IF(D108="AL-5B",0.39,IF(D108="AL-6B",0.23,IF(D108="PH Classic",0.6*D105/D101*3.6,IF(D108="PH Low",1*D105/D101*3.6,IF(D108="PH+",0.1)))))))))))))</f>
        <v>1.17</v>
      </c>
    </row>
    <row r="5380" spans="1:1" ht="11.75" customHeight="1">
      <c r="A5380" s="1989" t="b">
        <f>D108="AL-2A"</f>
        <v>0</v>
      </c>
    </row>
    <row r="5381" spans="1:1" ht="11.75" customHeight="1">
      <c r="A5381" s="1989">
        <f>IF(D108="AL-3A",0.53,IF(D108="AL-4A",0.35,IF(D108="AL-5A",0.21,IF(D108="AL-1B",1.17,IF(D108="AL-2B",0.98,IF(D108="AL-3B",0.78,IF(D108="AL-4B",0.59,IF(D108="AL-5B",0.39,IF(D108="AL-6B",0.23,IF(D108="PH Classic",0.6*D105/D101*3.6,IF(D108="PH Low",1*D105/D101*3.6,IF(D108="PH+",0.1))))))))))))</f>
        <v>1.17</v>
      </c>
    </row>
    <row r="5382" spans="1:1" ht="11.75" customHeight="1">
      <c r="A5382" s="1989" t="b">
        <f>D108="AL-3A"</f>
        <v>0</v>
      </c>
    </row>
    <row r="5383" spans="1:1" ht="11.75" customHeight="1">
      <c r="A5383" s="1989">
        <f>IF(D108="AL-4A",0.35,IF(D108="AL-5A",0.21,IF(D108="AL-1B",1.17,IF(D108="AL-2B",0.98,IF(D108="AL-3B",0.78,IF(D108="AL-4B",0.59,IF(D108="AL-5B",0.39,IF(D108="AL-6B",0.23,IF(D108="PH Classic",0.6*D105/D101*3.6,IF(D108="PH Low",1*D105/D101*3.6,IF(D108="PH+",0.1)))))))))))</f>
        <v>1.17</v>
      </c>
    </row>
    <row r="5384" spans="1:1" ht="11.75" customHeight="1">
      <c r="A5384" s="1989" t="b">
        <f>D108="AL-4A"</f>
        <v>0</v>
      </c>
    </row>
    <row r="5385" spans="1:1" ht="11.75" customHeight="1">
      <c r="A5385" s="1989">
        <f>IF(D108="AL-5A",0.21,IF(D108="AL-1B",1.17,IF(D108="AL-2B",0.98,IF(D108="AL-3B",0.78,IF(D108="AL-4B",0.59,IF(D108="AL-5B",0.39,IF(D108="AL-6B",0.23,IF(D108="PH Classic",0.6*D105/D101*3.6,IF(D108="PH Low",1*D105/D101*3.6,IF(D108="PH+",0.1))))))))))</f>
        <v>1.17</v>
      </c>
    </row>
    <row r="5386" spans="1:1" ht="11.75" customHeight="1">
      <c r="A5386" s="1989" t="b">
        <f>D108="AL-5A"</f>
        <v>0</v>
      </c>
    </row>
    <row r="5387" spans="1:1" ht="11.75" customHeight="1">
      <c r="A5387" s="1989">
        <f>IF(D108="AL-1B",1.17,IF(D108="AL-2B",0.98,IF(D108="AL-3B",0.78,IF(D108="AL-4B",0.59,IF(D108="AL-5B",0.39,IF(D108="AL-6B",0.23,IF(D108="PH Classic",0.6*D105/D101*3.6,IF(D108="PH Low",1*D105/D101*3.6,IF(D108="PH+",0.1)))))))))</f>
        <v>1.17</v>
      </c>
    </row>
    <row r="5388" spans="1:1" ht="11.75" customHeight="1">
      <c r="A5388" s="1989" t="b">
        <f>D108="AL-1B"</f>
        <v>1</v>
      </c>
    </row>
    <row r="5389" spans="1:1" ht="11.75" customHeight="1">
      <c r="A5389" s="1989" t="b">
        <f>IF(D108="AL-2B",0.98,IF(D108="AL-3B",0.78,IF(D108="AL-4B",0.59,IF(D108="AL-5B",0.39,IF(D108="AL-6B",0.23,IF(D108="PH Classic",0.6*D105/D101*3.6,IF(D108="PH Low",1*D105/D101*3.6,IF(D108="PH+",0.1))))))))</f>
        <v>0</v>
      </c>
    </row>
    <row r="5390" spans="1:1" ht="11.75" customHeight="1">
      <c r="A5390" s="1989" t="b">
        <f>D108="AL-2B"</f>
        <v>0</v>
      </c>
    </row>
    <row r="5391" spans="1:1" ht="11.75" customHeight="1">
      <c r="A5391" s="1989" t="b">
        <f>IF(D108="AL-3B",0.78,IF(D108="AL-4B",0.59,IF(D108="AL-5B",0.39,IF(D108="AL-6B",0.23,IF(D108="PH Classic",0.6*D105/D101*3.6,IF(D108="PH Low",1*D105/D101*3.6,IF(D108="PH+",0.1)))))))</f>
        <v>0</v>
      </c>
    </row>
    <row r="5392" spans="1:1" ht="11.75" customHeight="1">
      <c r="A5392" s="1989" t="b">
        <f>D108="AL-3B"</f>
        <v>0</v>
      </c>
    </row>
    <row r="5393" spans="1:1" ht="11.75" customHeight="1">
      <c r="A5393" s="1989" t="b">
        <f>IF(D108="AL-4B",0.59,IF(D108="AL-5B",0.39,IF(D108="AL-6B",0.23,IF(D108="PH Classic",0.6*D105/D101*3.6,IF(D108="PH Low",1*D105/D101*3.6,IF(D108="PH+",0.1))))))</f>
        <v>0</v>
      </c>
    </row>
    <row r="5394" spans="1:1" ht="11.75" customHeight="1">
      <c r="A5394" s="1989" t="b">
        <f>D108="AL-4B"</f>
        <v>0</v>
      </c>
    </row>
    <row r="5395" spans="1:1" ht="11.75" customHeight="1">
      <c r="A5395" s="1989" t="b">
        <f>IF(D108="AL-5B",0.39,IF(D108="AL-6B",0.23,IF(D108="PH Classic",0.6*D105/D101*3.6,IF(D108="PH Low",1*D105/D101*3.6,IF(D108="PH+",0.1)))))</f>
        <v>0</v>
      </c>
    </row>
    <row r="5396" spans="1:1" ht="11.75" customHeight="1">
      <c r="A5396" s="1989" t="b">
        <f>D108="AL-5B"</f>
        <v>0</v>
      </c>
    </row>
    <row r="5397" spans="1:1" ht="11.75" customHeight="1">
      <c r="A5397" s="1989" t="b">
        <f>IF(D108="AL-6B",0.23,IF(D108="PH Classic",0.6*D105/D101*3.6,IF(D108="PH Low",1*D105/D101*3.6,IF(D108="PH+",0.1))))</f>
        <v>0</v>
      </c>
    </row>
    <row r="5398" spans="1:1" ht="11.75" customHeight="1">
      <c r="A5398" s="1989" t="b">
        <f>D108="AL-6B"</f>
        <v>0</v>
      </c>
    </row>
    <row r="5399" spans="1:1" ht="11.75" customHeight="1">
      <c r="A5399" s="1989" t="b">
        <f>IF(D108="PH Classic",0.6*D105/D101*3.6,IF(D108="PH Low",1*D105/D101*3.6,IF(D108="PH+",0.1)))</f>
        <v>0</v>
      </c>
    </row>
    <row r="5400" spans="1:1" ht="11.75" customHeight="1">
      <c r="A5400" s="1989" t="b">
        <f>D108="PH Classic"</f>
        <v>0</v>
      </c>
    </row>
    <row r="5401" spans="1:1" ht="11.75" customHeight="1">
      <c r="A5401" s="1989">
        <f>0.6*D105/D101*3.6</f>
        <v>6.9772512537248366</v>
      </c>
    </row>
    <row r="5402" spans="1:1" ht="11.75" customHeight="1">
      <c r="A5402" s="1989">
        <f>0.6*D105</f>
        <v>4800</v>
      </c>
    </row>
    <row r="5403" spans="1:1" ht="11.75" customHeight="1">
      <c r="A5403" s="1989">
        <f>D101*3.6</f>
        <v>8915.8319999999985</v>
      </c>
    </row>
    <row r="5404" spans="1:1" ht="11.75" customHeight="1">
      <c r="A5404" s="1989" t="b">
        <f>IF(D108="PH Low",1*D105/D101*3.6,IF(D108="PH+",0.1))</f>
        <v>0</v>
      </c>
    </row>
    <row r="5405" spans="1:1" ht="11.75" customHeight="1">
      <c r="A5405" s="1989" t="b">
        <f>D108="PH Low"</f>
        <v>0</v>
      </c>
    </row>
    <row r="5406" spans="1:1" ht="11.75" customHeight="1">
      <c r="A5406" s="1989">
        <f>1*D105/D101*3.6</f>
        <v>11.628752089541393</v>
      </c>
    </row>
    <row r="5407" spans="1:1" ht="11.75" customHeight="1">
      <c r="A5407" s="1989">
        <f>1*D105</f>
        <v>8000</v>
      </c>
    </row>
    <row r="5408" spans="1:1" ht="11.75" customHeight="1">
      <c r="A5408" s="1989">
        <f>D101*3.6</f>
        <v>8915.8319999999985</v>
      </c>
    </row>
    <row r="5409" spans="1:1" ht="11.75" customHeight="1">
      <c r="A5409" s="1989" t="b">
        <f>IF(D108="PH+",0.1)</f>
        <v>0</v>
      </c>
    </row>
    <row r="5410" spans="1:1" ht="11.75" customHeight="1">
      <c r="A5410" s="1990">
        <f>H27-D43</f>
        <v>132765.64793897627</v>
      </c>
    </row>
    <row r="5411" spans="1:1" ht="11.75" customHeight="1">
      <c r="A5411" s="1989" t="b">
        <f>D113="Electricity"</f>
        <v>0</v>
      </c>
    </row>
    <row r="5412" spans="1:1" ht="11.75" customHeight="1">
      <c r="A5412" s="1990">
        <f>I103+K51+D117+M121+I101+I102+M43+SUM(H65:H67)</f>
        <v>265287.6445956853</v>
      </c>
    </row>
    <row r="5413" spans="1:1" ht="11.75" customHeight="1">
      <c r="A5413" s="1990">
        <f>I103+K51+D117+M121+I101+I102+M43</f>
        <v>180897.30859568529</v>
      </c>
    </row>
    <row r="5414" spans="1:1" ht="11.75" customHeight="1">
      <c r="A5414" s="1990">
        <f>I103+K51+D117+M121+I101+I102</f>
        <v>180897.30859568529</v>
      </c>
    </row>
    <row r="5415" spans="1:1" ht="11.75" customHeight="1">
      <c r="A5415" s="1990">
        <f>I103+K51+D117+M121+I101</f>
        <v>164109.06314703665</v>
      </c>
    </row>
    <row r="5416" spans="1:1" ht="11.75" customHeight="1">
      <c r="A5416" s="1990">
        <f>I103+K51+D117+M121</f>
        <v>88005.3704468098</v>
      </c>
    </row>
    <row r="5417" spans="1:1" ht="11.75" customHeight="1">
      <c r="A5417" s="1990">
        <f>I103+K51+D117</f>
        <v>39024.570446809812</v>
      </c>
    </row>
    <row r="5418" spans="1:1" ht="11.75" customHeight="1">
      <c r="A5418" s="1990">
        <f>I103+K51</f>
        <v>36006.531012790423</v>
      </c>
    </row>
    <row r="5419" spans="1:1" ht="11.75" customHeight="1">
      <c r="A5419" s="1989">
        <f>1.21*G108*D20*24/1000*D101</f>
        <v>387079.06311359996</v>
      </c>
    </row>
    <row r="5420" spans="1:1" ht="11.75" customHeight="1">
      <c r="A5420" s="1989">
        <f>1.21*G108*D20*24/1000</f>
        <v>156.29328000000001</v>
      </c>
    </row>
    <row r="5421" spans="1:1" ht="11.75" customHeight="1">
      <c r="A5421" s="1989">
        <f>1.21*G108*D20*24</f>
        <v>156293.28</v>
      </c>
    </row>
    <row r="5422" spans="1:1" ht="11.75" customHeight="1">
      <c r="A5422" s="1989">
        <f>1.21*G108*D20</f>
        <v>6512.22</v>
      </c>
    </row>
    <row r="5423" spans="1:1" ht="11.75" customHeight="1">
      <c r="A5423" s="1989">
        <f>1.21*G108</f>
        <v>1.4157</v>
      </c>
    </row>
    <row r="5424" spans="1:1" ht="11.75" customHeight="1">
      <c r="A5424" s="1989" t="b">
        <f>D108="Measured"</f>
        <v>0</v>
      </c>
    </row>
    <row r="5425" spans="1:1" ht="11.75" customHeight="1">
      <c r="A5425" s="1989">
        <f>G109*D105/D101*3.6</f>
        <v>17.44312813431209</v>
      </c>
    </row>
    <row r="5426" spans="1:1" ht="11.75" customHeight="1">
      <c r="A5426" s="1989">
        <f>G109*D105</f>
        <v>12000</v>
      </c>
    </row>
    <row r="5427" spans="1:1" ht="11.75" customHeight="1">
      <c r="A5427" s="1989">
        <f>D101*3.6</f>
        <v>8915.8319999999985</v>
      </c>
    </row>
    <row r="5428" spans="1:1" ht="11.75" customHeight="1">
      <c r="A5428" s="1989">
        <f>IF(D108="AL-1A",0.89,IF(D108="AL-2A",0.71,IF(D108="AL-3A",0.53,IF(D108="AL-4A",0.35,IF(D108="AL-5A",0.21,IF(D108="AL-1B",1.17,IF(D108="AL-2B",0.98,IF(D108="AL-3B",0.78,IF(D108="AL-4B",0.59,IF(D108="AL-5B",0.39,IF(D108="AL-6B",0.23,IF(D108="PH Classic",0.6*D105/D101*3.6,IF(D108="PH Low",1*D105/D101*3.6,IF(D108="PH+",0.1))))))))))))))</f>
        <v>1.17</v>
      </c>
    </row>
    <row r="5429" spans="1:1" ht="11.75" customHeight="1">
      <c r="A5429" s="1989" t="b">
        <f>D108="AL-1A"</f>
        <v>0</v>
      </c>
    </row>
    <row r="5430" spans="1:1" ht="11.75" customHeight="1">
      <c r="A5430" s="1989">
        <f>IF(D108="AL-2A",0.71,IF(D108="AL-3A",0.53,IF(D108="AL-4A",0.35,IF(D108="AL-5A",0.21,IF(D108="AL-1B",1.17,IF(D108="AL-2B",0.98,IF(D108="AL-3B",0.78,IF(D108="AL-4B",0.59,IF(D108="AL-5B",0.39,IF(D108="AL-6B",0.23,IF(D108="PH Classic",0.6*D105/D101*3.6,IF(D108="PH Low",1*D105/D101*3.6,IF(D108="PH+",0.1)))))))))))))</f>
        <v>1.17</v>
      </c>
    </row>
    <row r="5431" spans="1:1" ht="11.75" customHeight="1">
      <c r="A5431" s="1989" t="b">
        <f>D108="AL-2A"</f>
        <v>0</v>
      </c>
    </row>
    <row r="5432" spans="1:1" ht="11.75" customHeight="1">
      <c r="A5432" s="1989">
        <f>IF(D108="AL-3A",0.53,IF(D108="AL-4A",0.35,IF(D108="AL-5A",0.21,IF(D108="AL-1B",1.17,IF(D108="AL-2B",0.98,IF(D108="AL-3B",0.78,IF(D108="AL-4B",0.59,IF(D108="AL-5B",0.39,IF(D108="AL-6B",0.23,IF(D108="PH Classic",0.6*D105/D101*3.6,IF(D108="PH Low",1*D105/D101*3.6,IF(D108="PH+",0.1))))))))))))</f>
        <v>1.17</v>
      </c>
    </row>
    <row r="5433" spans="1:1" ht="11.75" customHeight="1">
      <c r="A5433" s="1989" t="b">
        <f>D108="AL-3A"</f>
        <v>0</v>
      </c>
    </row>
    <row r="5434" spans="1:1" ht="11.75" customHeight="1">
      <c r="A5434" s="1989">
        <f>IF(D108="AL-4A",0.35,IF(D108="AL-5A",0.21,IF(D108="AL-1B",1.17,IF(D108="AL-2B",0.98,IF(D108="AL-3B",0.78,IF(D108="AL-4B",0.59,IF(D108="AL-5B",0.39,IF(D108="AL-6B",0.23,IF(D108="PH Classic",0.6*D105/D101*3.6,IF(D108="PH Low",1*D105/D101*3.6,IF(D108="PH+",0.1)))))))))))</f>
        <v>1.17</v>
      </c>
    </row>
    <row r="5435" spans="1:1" ht="11.75" customHeight="1">
      <c r="A5435" s="1989" t="b">
        <f>D108="AL-4A"</f>
        <v>0</v>
      </c>
    </row>
    <row r="5436" spans="1:1" ht="11.75" customHeight="1">
      <c r="A5436" s="1989">
        <f>IF(D108="AL-5A",0.21,IF(D108="AL-1B",1.17,IF(D108="AL-2B",0.98,IF(D108="AL-3B",0.78,IF(D108="AL-4B",0.59,IF(D108="AL-5B",0.39,IF(D108="AL-6B",0.23,IF(D108="PH Classic",0.6*D105/D101*3.6,IF(D108="PH Low",1*D105/D101*3.6,IF(D108="PH+",0.1))))))))))</f>
        <v>1.17</v>
      </c>
    </row>
    <row r="5437" spans="1:1" ht="11.75" customHeight="1">
      <c r="A5437" s="1989" t="b">
        <f>D108="AL-5A"</f>
        <v>0</v>
      </c>
    </row>
    <row r="5438" spans="1:1" ht="11.75" customHeight="1">
      <c r="A5438" s="1989">
        <f>IF(D108="AL-1B",1.17,IF(D108="AL-2B",0.98,IF(D108="AL-3B",0.78,IF(D108="AL-4B",0.59,IF(D108="AL-5B",0.39,IF(D108="AL-6B",0.23,IF(D108="PH Classic",0.6*D105/D101*3.6,IF(D108="PH Low",1*D105/D101*3.6,IF(D108="PH+",0.1)))))))))</f>
        <v>1.17</v>
      </c>
    </row>
    <row r="5439" spans="1:1" ht="11.75" customHeight="1">
      <c r="A5439" s="1989" t="b">
        <f>D108="AL-1B"</f>
        <v>1</v>
      </c>
    </row>
    <row r="5440" spans="1:1" ht="11.75" customHeight="1">
      <c r="A5440" s="1989" t="b">
        <f>IF(D108="AL-2B",0.98,IF(D108="AL-3B",0.78,IF(D108="AL-4B",0.59,IF(D108="AL-5B",0.39,IF(D108="AL-6B",0.23,IF(D108="PH Classic",0.6*D105/D101*3.6,IF(D108="PH Low",1*D105/D101*3.6,IF(D108="PH+",0.1))))))))</f>
        <v>0</v>
      </c>
    </row>
    <row r="5441" spans="1:1" ht="11.75" customHeight="1">
      <c r="A5441" s="1989" t="b">
        <f>D108="AL-2B"</f>
        <v>0</v>
      </c>
    </row>
    <row r="5442" spans="1:1" ht="11.75" customHeight="1">
      <c r="A5442" s="1989" t="b">
        <f>IF(D108="AL-3B",0.78,IF(D108="AL-4B",0.59,IF(D108="AL-5B",0.39,IF(D108="AL-6B",0.23,IF(D108="PH Classic",0.6*D105/D101*3.6,IF(D108="PH Low",1*D105/D101*3.6,IF(D108="PH+",0.1)))))))</f>
        <v>0</v>
      </c>
    </row>
    <row r="5443" spans="1:1" ht="11.75" customHeight="1">
      <c r="A5443" s="1989" t="b">
        <f>D108="AL-3B"</f>
        <v>0</v>
      </c>
    </row>
    <row r="5444" spans="1:1" ht="11.75" customHeight="1">
      <c r="A5444" s="1989" t="b">
        <f>IF(D108="AL-4B",0.59,IF(D108="AL-5B",0.39,IF(D108="AL-6B",0.23,IF(D108="PH Classic",0.6*D105/D101*3.6,IF(D108="PH Low",1*D105/D101*3.6,IF(D108="PH+",0.1))))))</f>
        <v>0</v>
      </c>
    </row>
    <row r="5445" spans="1:1" ht="11.75" customHeight="1">
      <c r="A5445" s="1989" t="b">
        <f>D108="AL-4B"</f>
        <v>0</v>
      </c>
    </row>
    <row r="5446" spans="1:1" ht="11.75" customHeight="1">
      <c r="A5446" s="1989" t="b">
        <f>IF(D108="AL-5B",0.39,IF(D108="AL-6B",0.23,IF(D108="PH Classic",0.6*D105/D101*3.6,IF(D108="PH Low",1*D105/D101*3.6,IF(D108="PH+",0.1)))))</f>
        <v>0</v>
      </c>
    </row>
    <row r="5447" spans="1:1" ht="11.75" customHeight="1">
      <c r="A5447" s="1989" t="b">
        <f>D108="AL-5B"</f>
        <v>0</v>
      </c>
    </row>
    <row r="5448" spans="1:1" ht="11.75" customHeight="1">
      <c r="A5448" s="1989" t="b">
        <f>IF(D108="AL-6B",0.23,IF(D108="PH Classic",0.6*D105/D101*3.6,IF(D108="PH Low",1*D105/D101*3.6,IF(D108="PH+",0.1))))</f>
        <v>0</v>
      </c>
    </row>
    <row r="5449" spans="1:1" ht="11.75" customHeight="1">
      <c r="A5449" s="1989" t="b">
        <f>D108="AL-6B"</f>
        <v>0</v>
      </c>
    </row>
    <row r="5450" spans="1:1" ht="11.75" customHeight="1">
      <c r="A5450" s="1989" t="b">
        <f>IF(D108="PH Classic",0.6*D105/D101*3.6,IF(D108="PH Low",1*D105/D101*3.6,IF(D108="PH+",0.1)))</f>
        <v>0</v>
      </c>
    </row>
    <row r="5451" spans="1:1" ht="11.75" customHeight="1">
      <c r="A5451" s="1989" t="b">
        <f>D108="PH Classic"</f>
        <v>0</v>
      </c>
    </row>
    <row r="5452" spans="1:1" ht="11.75" customHeight="1">
      <c r="A5452" s="1989">
        <f>0.6*D105/D101*3.6</f>
        <v>6.9772512537248366</v>
      </c>
    </row>
    <row r="5453" spans="1:1" ht="11.75" customHeight="1">
      <c r="A5453" s="1989">
        <f>0.6*D105</f>
        <v>4800</v>
      </c>
    </row>
    <row r="5454" spans="1:1" ht="11.75" customHeight="1">
      <c r="A5454" s="1989">
        <f>D101*3.6</f>
        <v>8915.8319999999985</v>
      </c>
    </row>
    <row r="5455" spans="1:1" ht="11.75" customHeight="1">
      <c r="A5455" s="1989" t="b">
        <f>IF(D108="PH Low",1*D105/D101*3.6,IF(D108="PH+",0.1))</f>
        <v>0</v>
      </c>
    </row>
    <row r="5456" spans="1:1" ht="11.75" customHeight="1">
      <c r="A5456" s="1989" t="b">
        <f>D108="PH Low"</f>
        <v>0</v>
      </c>
    </row>
    <row r="5457" spans="1:1" ht="11.75" customHeight="1">
      <c r="A5457" s="1989">
        <f>1*D105/D101*3.6</f>
        <v>11.628752089541393</v>
      </c>
    </row>
    <row r="5458" spans="1:1" ht="11.75" customHeight="1">
      <c r="A5458" s="1989">
        <f>1*D105</f>
        <v>8000</v>
      </c>
    </row>
    <row r="5459" spans="1:1" ht="11.75" customHeight="1">
      <c r="A5459" s="1989">
        <f>D101*3.6</f>
        <v>8915.8319999999985</v>
      </c>
    </row>
    <row r="5460" spans="1:1" ht="11.75" customHeight="1">
      <c r="A5460" s="1990">
        <f>H27-D43</f>
        <v>132765.64793897627</v>
      </c>
    </row>
    <row r="5461" spans="1:1" ht="11.75" customHeight="1">
      <c r="A5461" s="1989" t="b">
        <f>D113="Electricity"</f>
        <v>0</v>
      </c>
    </row>
    <row r="5462" spans="1:1" ht="11.75" customHeight="1">
      <c r="A5462" s="1990">
        <f>I103+K51+D117+M121+I101+I102+M43+SUM(H65:H67)</f>
        <v>265287.6445956853</v>
      </c>
    </row>
    <row r="5463" spans="1:1" ht="11.75" customHeight="1">
      <c r="A5463" s="1990">
        <f>I103+K51+D117+M121+I101+I102+M43</f>
        <v>180897.30859568529</v>
      </c>
    </row>
    <row r="5464" spans="1:1" ht="11.75" customHeight="1">
      <c r="A5464" s="1990">
        <f>I103+K51+D117+M121+I101+I102</f>
        <v>180897.30859568529</v>
      </c>
    </row>
    <row r="5465" spans="1:1" ht="11.75" customHeight="1">
      <c r="A5465" s="1990">
        <f>I103+K51+D117+M121+I101</f>
        <v>164109.06314703665</v>
      </c>
    </row>
    <row r="5466" spans="1:1" ht="11.75" customHeight="1">
      <c r="A5466" s="1990">
        <f>I103+K51+D117+M121</f>
        <v>88005.3704468098</v>
      </c>
    </row>
    <row r="5467" spans="1:1" ht="11.75" customHeight="1">
      <c r="A5467" s="1990">
        <f>I103+K51+D117</f>
        <v>39024.570446809812</v>
      </c>
    </row>
    <row r="5468" spans="1:1" ht="11.75" customHeight="1">
      <c r="A5468" s="1990">
        <f>I103+K51</f>
        <v>36006.531012790423</v>
      </c>
    </row>
    <row r="5469" spans="1:1" ht="11.75" customHeight="1">
      <c r="A5469" s="1989">
        <f>1.21*G108*D20*24/1000*D101</f>
        <v>387079.06311359996</v>
      </c>
    </row>
    <row r="5470" spans="1:1" ht="11.75" customHeight="1">
      <c r="A5470" s="1989">
        <f>1.21*G108*D20*24/1000</f>
        <v>156.29328000000001</v>
      </c>
    </row>
    <row r="5471" spans="1:1" ht="11.75" customHeight="1">
      <c r="A5471" s="1989">
        <f>1.21*G108*D20*24</f>
        <v>156293.28</v>
      </c>
    </row>
    <row r="5472" spans="1:1" ht="11.75" customHeight="1">
      <c r="A5472" s="1989">
        <f>1.21*G108*D20</f>
        <v>6512.22</v>
      </c>
    </row>
    <row r="5473" spans="1:1" ht="11.75" customHeight="1">
      <c r="A5473" s="1989">
        <f>1.21*G108</f>
        <v>1.4157</v>
      </c>
    </row>
    <row r="5474" spans="1:1" ht="11.75" customHeight="1">
      <c r="A5474" s="1989" t="b">
        <f>D108="Measured"</f>
        <v>0</v>
      </c>
    </row>
    <row r="5475" spans="1:1" ht="11.75" customHeight="1">
      <c r="A5475" s="1989">
        <f>G109*D105/D101*3.6</f>
        <v>17.44312813431209</v>
      </c>
    </row>
    <row r="5476" spans="1:1" ht="11.75" customHeight="1">
      <c r="A5476" s="1989">
        <f>G109*D105</f>
        <v>12000</v>
      </c>
    </row>
    <row r="5477" spans="1:1" ht="11.75" customHeight="1">
      <c r="A5477" s="1989">
        <f>D101*3.6</f>
        <v>8915.8319999999985</v>
      </c>
    </row>
    <row r="5478" spans="1:1" ht="11.75" customHeight="1">
      <c r="A5478" s="1989">
        <f>IF(D108="AL-1A",0.89,IF(D108="AL-2A",0.71,IF(D108="AL-3A",0.53,IF(D108="AL-4A",0.35,IF(D108="AL-5A",0.21,IF(D108="AL-1B",1.17,IF(D108="AL-2B",0.98,IF(D108="AL-3B",0.78,IF(D108="AL-4B",0.59,IF(D108="AL-5B",0.39,IF(D108="AL-6B",0.23,IF(D108="PH Classic",0.6*D105/D101*3.6,IF(D108="PH Low",1*D105/D101*3.6,IF(D108="PH+",0.1))))))))))))))</f>
        <v>1.17</v>
      </c>
    </row>
    <row r="5479" spans="1:1" ht="11.75" customHeight="1">
      <c r="A5479" s="1989" t="b">
        <f>D108="AL-1A"</f>
        <v>0</v>
      </c>
    </row>
    <row r="5480" spans="1:1" ht="11.75" customHeight="1">
      <c r="A5480" s="1989">
        <f>IF(D108="AL-2A",0.71,IF(D108="AL-3A",0.53,IF(D108="AL-4A",0.35,IF(D108="AL-5A",0.21,IF(D108="AL-1B",1.17,IF(D108="AL-2B",0.98,IF(D108="AL-3B",0.78,IF(D108="AL-4B",0.59,IF(D108="AL-5B",0.39,IF(D108="AL-6B",0.23,IF(D108="PH Classic",0.6*D105/D101*3.6,IF(D108="PH Low",1*D105/D101*3.6,IF(D108="PH+",0.1)))))))))))))</f>
        <v>1.17</v>
      </c>
    </row>
    <row r="5481" spans="1:1" ht="11.75" customHeight="1">
      <c r="A5481" s="1989" t="b">
        <f>D108="AL-2A"</f>
        <v>0</v>
      </c>
    </row>
    <row r="5482" spans="1:1" ht="11.75" customHeight="1">
      <c r="A5482" s="1989">
        <f>IF(D108="AL-3A",0.53,IF(D108="AL-4A",0.35,IF(D108="AL-5A",0.21,IF(D108="AL-1B",1.17,IF(D108="AL-2B",0.98,IF(D108="AL-3B",0.78,IF(D108="AL-4B",0.59,IF(D108="AL-5B",0.39,IF(D108="AL-6B",0.23,IF(D108="PH Classic",0.6*D105/D101*3.6,IF(D108="PH Low",1*D105/D101*3.6,IF(D108="PH+",0.1))))))))))))</f>
        <v>1.17</v>
      </c>
    </row>
    <row r="5483" spans="1:1" ht="11.75" customHeight="1">
      <c r="A5483" s="1989" t="b">
        <f>D108="AL-3A"</f>
        <v>0</v>
      </c>
    </row>
    <row r="5484" spans="1:1" ht="11.75" customHeight="1">
      <c r="A5484" s="1989">
        <f>IF(D108="AL-4A",0.35,IF(D108="AL-5A",0.21,IF(D108="AL-1B",1.17,IF(D108="AL-2B",0.98,IF(D108="AL-3B",0.78,IF(D108="AL-4B",0.59,IF(D108="AL-5B",0.39,IF(D108="AL-6B",0.23,IF(D108="PH Classic",0.6*D105/D101*3.6,IF(D108="PH Low",1*D105/D101*3.6,IF(D108="PH+",0.1)))))))))))</f>
        <v>1.17</v>
      </c>
    </row>
    <row r="5485" spans="1:1" ht="11.75" customHeight="1">
      <c r="A5485" s="1989" t="b">
        <f>D108="AL-4A"</f>
        <v>0</v>
      </c>
    </row>
    <row r="5486" spans="1:1" ht="11.75" customHeight="1">
      <c r="A5486" s="1989">
        <f>IF(D108="AL-5A",0.21,IF(D108="AL-1B",1.17,IF(D108="AL-2B",0.98,IF(D108="AL-3B",0.78,IF(D108="AL-4B",0.59,IF(D108="AL-5B",0.39,IF(D108="AL-6B",0.23,IF(D108="PH Classic",0.6*D105/D101*3.6,IF(D108="PH Low",1*D105/D101*3.6,IF(D108="PH+",0.1))))))))))</f>
        <v>1.17</v>
      </c>
    </row>
    <row r="5487" spans="1:1" ht="11.75" customHeight="1">
      <c r="A5487" s="1989" t="b">
        <f>D108="AL-5A"</f>
        <v>0</v>
      </c>
    </row>
    <row r="5488" spans="1:1" ht="11.75" customHeight="1">
      <c r="A5488" s="1989">
        <f>IF(D108="AL-1B",1.17,IF(D108="AL-2B",0.98,IF(D108="AL-3B",0.78,IF(D108="AL-4B",0.59,IF(D108="AL-5B",0.39,IF(D108="AL-6B",0.23,IF(D108="PH Classic",0.6*D105/D101*3.6,IF(D108="PH Low",1*D105/D101*3.6,IF(D108="PH+",0.1)))))))))</f>
        <v>1.17</v>
      </c>
    </row>
    <row r="5489" spans="1:1" ht="11.75" customHeight="1">
      <c r="A5489" s="1989" t="b">
        <f>D108="AL-1B"</f>
        <v>1</v>
      </c>
    </row>
    <row r="5490" spans="1:1" ht="11.75" customHeight="1">
      <c r="A5490" s="1989" t="b">
        <f>IF(D108="AL-2B",0.98,IF(D108="AL-3B",0.78,IF(D108="AL-4B",0.59,IF(D108="AL-5B",0.39,IF(D108="AL-6B",0.23,IF(D108="PH Classic",0.6*D105/D101*3.6,IF(D108="PH Low",1*D105/D101*3.6,IF(D108="PH+",0.1))))))))</f>
        <v>0</v>
      </c>
    </row>
    <row r="5491" spans="1:1" ht="11.75" customHeight="1">
      <c r="A5491" s="1989" t="b">
        <f>D108="AL-2B"</f>
        <v>0</v>
      </c>
    </row>
    <row r="5492" spans="1:1" ht="11.75" customHeight="1">
      <c r="A5492" s="1989" t="b">
        <f>IF(D108="AL-3B",0.78,IF(D108="AL-4B",0.59,IF(D108="AL-5B",0.39,IF(D108="AL-6B",0.23,IF(D108="PH Classic",0.6*D105/D101*3.6,IF(D108="PH Low",1*D105/D101*3.6,IF(D108="PH+",0.1)))))))</f>
        <v>0</v>
      </c>
    </row>
    <row r="5493" spans="1:1" ht="11.75" customHeight="1">
      <c r="A5493" s="1989" t="b">
        <f>D108="AL-3B"</f>
        <v>0</v>
      </c>
    </row>
    <row r="5494" spans="1:1" ht="11.75" customHeight="1">
      <c r="A5494" s="1989" t="b">
        <f>IF(D108="AL-4B",0.59,IF(D108="AL-5B",0.39,IF(D108="AL-6B",0.23,IF(D108="PH Classic",0.6*D105/D101*3.6,IF(D108="PH Low",1*D105/D101*3.6,IF(D108="PH+",0.1))))))</f>
        <v>0</v>
      </c>
    </row>
    <row r="5495" spans="1:1" ht="11.75" customHeight="1">
      <c r="A5495" s="1989" t="b">
        <f>D108="AL-4B"</f>
        <v>0</v>
      </c>
    </row>
    <row r="5496" spans="1:1" ht="11.75" customHeight="1">
      <c r="A5496" s="1989" t="b">
        <f>IF(D108="AL-5B",0.39,IF(D108="AL-6B",0.23,IF(D108="PH Classic",0.6*D105/D101*3.6,IF(D108="PH Low",1*D105/D101*3.6,IF(D108="PH+",0.1)))))</f>
        <v>0</v>
      </c>
    </row>
    <row r="5497" spans="1:1" ht="11.75" customHeight="1">
      <c r="A5497" s="1989" t="b">
        <f>D108="AL-5B"</f>
        <v>0</v>
      </c>
    </row>
    <row r="5498" spans="1:1" ht="11.75" customHeight="1">
      <c r="A5498" s="1989" t="b">
        <f>IF(D108="AL-6B",0.23,IF(D108="PH Classic",0.6*D105/D101*3.6,IF(D108="PH Low",1*D105/D101*3.6,IF(D108="PH+",0.1))))</f>
        <v>0</v>
      </c>
    </row>
    <row r="5499" spans="1:1" ht="11.75" customHeight="1">
      <c r="A5499" s="1989" t="b">
        <f>D108="AL-6B"</f>
        <v>0</v>
      </c>
    </row>
    <row r="5500" spans="1:1" ht="11.75" customHeight="1">
      <c r="A5500" s="1989" t="b">
        <f>IF(D108="PH Classic",0.6*D105/D101*3.6,IF(D108="PH Low",1*D105/D101*3.6,IF(D108="PH+",0.1)))</f>
        <v>0</v>
      </c>
    </row>
    <row r="5501" spans="1:1" ht="11.75" customHeight="1">
      <c r="A5501" s="1989" t="b">
        <f>D108="PH Classic"</f>
        <v>0</v>
      </c>
    </row>
    <row r="5502" spans="1:1" ht="11.75" customHeight="1">
      <c r="A5502" s="1989">
        <f>0.6*D105/D101*3.6</f>
        <v>6.9772512537248366</v>
      </c>
    </row>
    <row r="5503" spans="1:1" ht="11.75" customHeight="1">
      <c r="A5503" s="1989">
        <f>0.6*D105</f>
        <v>4800</v>
      </c>
    </row>
    <row r="5504" spans="1:1" ht="11.75" customHeight="1">
      <c r="A5504" s="1989">
        <f>D101*3.6</f>
        <v>8915.8319999999985</v>
      </c>
    </row>
    <row r="5505" spans="1:1" ht="11.75" customHeight="1">
      <c r="A5505" s="1989" t="b">
        <f>IF(D108="PH Low",1*D105/D101*3.6,IF(D108="PH+",0.1))</f>
        <v>0</v>
      </c>
    </row>
    <row r="5506" spans="1:1" ht="11.75" customHeight="1">
      <c r="A5506" s="1989" t="b">
        <f>D108="PH Low"</f>
        <v>0</v>
      </c>
    </row>
    <row r="5507" spans="1:1" ht="11.75" customHeight="1">
      <c r="A5507" s="1989">
        <f>1*D105/D101*3.6</f>
        <v>11.628752089541393</v>
      </c>
    </row>
    <row r="5508" spans="1:1" ht="11.75" customHeight="1">
      <c r="A5508" s="1989">
        <f>1*D105</f>
        <v>8000</v>
      </c>
    </row>
    <row r="5509" spans="1:1" ht="11.75" customHeight="1">
      <c r="A5509" s="1989">
        <f>D101*3.6</f>
        <v>8915.8319999999985</v>
      </c>
    </row>
    <row r="5510" spans="1:1" ht="11.75" customHeight="1">
      <c r="A5510" s="1989" t="b">
        <f>IF(D108="PH+",0.1)</f>
        <v>0</v>
      </c>
    </row>
    <row r="5511" spans="1:1" ht="11.75" customHeight="1">
      <c r="A5511" s="1989" t="b">
        <f>D108="PH+"</f>
        <v>0</v>
      </c>
    </row>
    <row r="5512" spans="1:1" ht="11.75" customHeight="1">
      <c r="A5512" s="1989">
        <f>IF(H20="Present",VLOOKUP(H19,CANADA!A6:K699,9,FALSE),VLOOKUP(H19,CANADA!A6:K699,11,FALSE))</f>
        <v>4600</v>
      </c>
    </row>
    <row r="5513" spans="1:1" ht="11.75" customHeight="1">
      <c r="A5513" s="1989">
        <f>MATCH('NRL50-n-Factors'!D34,'NRL50-n-Factors'!C38:C49,0)</f>
        <v>5</v>
      </c>
    </row>
    <row r="5514" spans="1:1" ht="11.75" customHeight="1">
      <c r="A5514" s="1989">
        <f>MATCH(REPORT!D103,'NRL50-n-Factors'!D37:J37,0)</f>
        <v>2</v>
      </c>
    </row>
    <row r="5515" spans="1:1" ht="11.75" customHeight="1">
      <c r="A5515" s="1989" t="b">
        <f>D51="Gas"</f>
        <v>0</v>
      </c>
    </row>
    <row r="5516" spans="1:1" ht="11.75" customHeight="1">
      <c r="A5516" s="1989">
        <f>D$20*G101*24</f>
        <v>30728.853316304834</v>
      </c>
    </row>
    <row r="5517" spans="1:1" ht="11.75" customHeight="1">
      <c r="A5517" s="1989">
        <f>SUM(H65:H67)</f>
        <v>84390.33600000001</v>
      </c>
    </row>
    <row r="5518" spans="1:1" ht="11.75" customHeight="1">
      <c r="A5518" s="1989">
        <f>IF(D113="Heatpump",K51+D117+D114+M43+H70,IF(D113="Gas",K51+D117+M43+H70))</f>
        <v>132765.64793897627</v>
      </c>
    </row>
    <row r="5519" spans="1:1" ht="11.75" customHeight="1">
      <c r="A5519" s="1990">
        <f>H27-D43</f>
        <v>132765.64793897627</v>
      </c>
    </row>
    <row r="5520" spans="1:1" ht="11.75" customHeight="1">
      <c r="A5520" s="1989" t="b">
        <f>D113="Electricity"</f>
        <v>0</v>
      </c>
    </row>
    <row r="5521" spans="1:1" ht="11.75" customHeight="1">
      <c r="A5521" s="1990">
        <f>I103+K51+D117+M121+I101+I102+M43+SUM(H65:H67)</f>
        <v>265287.6445956853</v>
      </c>
    </row>
    <row r="5522" spans="1:1" ht="11.75" customHeight="1">
      <c r="A5522" s="1990">
        <f>I103+K51+D117+M121+I101+I102+M43</f>
        <v>180897.30859568529</v>
      </c>
    </row>
    <row r="5523" spans="1:1" ht="11.75" customHeight="1">
      <c r="A5523" s="1990">
        <f>I103+K51+D117+M121+I101+I102</f>
        <v>180897.30859568529</v>
      </c>
    </row>
    <row r="5524" spans="1:1" ht="11.75" customHeight="1">
      <c r="A5524" s="1990">
        <f>I103+K51+D117+M121+I101</f>
        <v>164109.06314703665</v>
      </c>
    </row>
    <row r="5525" spans="1:1" ht="11.75" customHeight="1">
      <c r="A5525" s="1990">
        <f>I103+K51+D117+M121</f>
        <v>88005.3704468098</v>
      </c>
    </row>
    <row r="5526" spans="1:1" ht="11.75" customHeight="1">
      <c r="A5526" s="1990">
        <f>I103+K51+D117</f>
        <v>39024.570446809812</v>
      </c>
    </row>
    <row r="5527" spans="1:1" ht="11.75" customHeight="1">
      <c r="A5527" s="1990">
        <f>I103+K51</f>
        <v>36006.531012790423</v>
      </c>
    </row>
    <row r="5528" spans="1:1" ht="11.75" customHeight="1">
      <c r="A5528" s="1989">
        <f>1.21*G108*D20*24/1000*D101</f>
        <v>387079.06311359996</v>
      </c>
    </row>
    <row r="5529" spans="1:1" ht="11.75" customHeight="1">
      <c r="A5529" s="1989">
        <f>1.21*G108*D20*24/1000</f>
        <v>156.29328000000001</v>
      </c>
    </row>
    <row r="5530" spans="1:1" ht="11.75" customHeight="1">
      <c r="A5530" s="1989">
        <f>1.21*G108*D20*24</f>
        <v>156293.28</v>
      </c>
    </row>
    <row r="5531" spans="1:1" ht="11.75" customHeight="1">
      <c r="A5531" s="1989">
        <f>1.21*G108*D20</f>
        <v>6512.22</v>
      </c>
    </row>
    <row r="5532" spans="1:1" ht="11.75" customHeight="1">
      <c r="A5532" s="1989">
        <f>1.21*G108</f>
        <v>1.4157</v>
      </c>
    </row>
    <row r="5533" spans="1:1" ht="11.75" customHeight="1">
      <c r="A5533" s="1989" t="b">
        <f>D108="Measured"</f>
        <v>0</v>
      </c>
    </row>
    <row r="5534" spans="1:1" ht="11.75" customHeight="1">
      <c r="A5534" s="1989">
        <f>G109*D105/D101*3.6</f>
        <v>17.44312813431209</v>
      </c>
    </row>
    <row r="5535" spans="1:1" ht="11.75" customHeight="1">
      <c r="A5535" s="1989">
        <f>G109*D105</f>
        <v>12000</v>
      </c>
    </row>
    <row r="5536" spans="1:1" ht="11.75" customHeight="1">
      <c r="A5536" s="1989">
        <f>D101*3.6</f>
        <v>8915.8319999999985</v>
      </c>
    </row>
    <row r="5537" spans="1:1" ht="11.75" customHeight="1">
      <c r="A5537" s="1989">
        <f>IF(D108="AL-1A",0.89,IF(D108="AL-2A",0.71,IF(D108="AL-3A",0.53,IF(D108="AL-4A",0.35,IF(D108="AL-5A",0.21,IF(D108="AL-1B",1.17,IF(D108="AL-2B",0.98,IF(D108="AL-3B",0.78,IF(D108="AL-4B",0.59,IF(D108="AL-5B",0.39,IF(D108="AL-6B",0.23,IF(D108="PH Classic",0.6*D105/D101*3.6,IF(D108="PH Low",1*D105/D101*3.6,IF(D108="PH+",0.1))))))))))))))</f>
        <v>1.17</v>
      </c>
    </row>
    <row r="5538" spans="1:1" ht="11.75" customHeight="1">
      <c r="A5538" s="1989" t="b">
        <f>D108="AL-1A"</f>
        <v>0</v>
      </c>
    </row>
    <row r="5539" spans="1:1" ht="11.75" customHeight="1">
      <c r="A5539" s="1989">
        <f>IF(D108="AL-2A",0.71,IF(D108="AL-3A",0.53,IF(D108="AL-4A",0.35,IF(D108="AL-5A",0.21,IF(D108="AL-1B",1.17,IF(D108="AL-2B",0.98,IF(D108="AL-3B",0.78,IF(D108="AL-4B",0.59,IF(D108="AL-5B",0.39,IF(D108="AL-6B",0.23,IF(D108="PH Classic",0.6*D105/D101*3.6,IF(D108="PH Low",1*D105/D101*3.6,IF(D108="PH+",0.1)))))))))))))</f>
        <v>1.17</v>
      </c>
    </row>
    <row r="5540" spans="1:1" ht="11.75" customHeight="1">
      <c r="A5540" s="1989" t="b">
        <f>D108="AL-2A"</f>
        <v>0</v>
      </c>
    </row>
    <row r="5541" spans="1:1" ht="11.75" customHeight="1">
      <c r="A5541" s="1989">
        <f>IF(D108="AL-3A",0.53,IF(D108="AL-4A",0.35,IF(D108="AL-5A",0.21,IF(D108="AL-1B",1.17,IF(D108="AL-2B",0.98,IF(D108="AL-3B",0.78,IF(D108="AL-4B",0.59,IF(D108="AL-5B",0.39,IF(D108="AL-6B",0.23,IF(D108="PH Classic",0.6*D105/D101*3.6,IF(D108="PH Low",1*D105/D101*3.6,IF(D108="PH+",0.1))))))))))))</f>
        <v>1.17</v>
      </c>
    </row>
    <row r="5542" spans="1:1" ht="11.75" customHeight="1">
      <c r="A5542" s="1989" t="b">
        <f>D108="AL-3A"</f>
        <v>0</v>
      </c>
    </row>
    <row r="5543" spans="1:1" ht="11.75" customHeight="1">
      <c r="A5543" s="1989">
        <f>IF(D108="AL-4A",0.35,IF(D108="AL-5A",0.21,IF(D108="AL-1B",1.17,IF(D108="AL-2B",0.98,IF(D108="AL-3B",0.78,IF(D108="AL-4B",0.59,IF(D108="AL-5B",0.39,IF(D108="AL-6B",0.23,IF(D108="PH Classic",0.6*D105/D101*3.6,IF(D108="PH Low",1*D105/D101*3.6,IF(D108="PH+",0.1)))))))))))</f>
        <v>1.17</v>
      </c>
    </row>
    <row r="5544" spans="1:1" ht="11.75" customHeight="1">
      <c r="A5544" s="1989" t="b">
        <f>D108="AL-4A"</f>
        <v>0</v>
      </c>
    </row>
    <row r="5545" spans="1:1" ht="11.75" customHeight="1">
      <c r="A5545" s="1989">
        <f>IF(D108="AL-5A",0.21,IF(D108="AL-1B",1.17,IF(D108="AL-2B",0.98,IF(D108="AL-3B",0.78,IF(D108="AL-4B",0.59,IF(D108="AL-5B",0.39,IF(D108="AL-6B",0.23,IF(D108="PH Classic",0.6*D105/D101*3.6,IF(D108="PH Low",1*D105/D101*3.6,IF(D108="PH+",0.1))))))))))</f>
        <v>1.17</v>
      </c>
    </row>
    <row r="5546" spans="1:1" ht="11.75" customHeight="1">
      <c r="A5546" s="1989" t="b">
        <f>D108="AL-5A"</f>
        <v>0</v>
      </c>
    </row>
    <row r="5547" spans="1:1" ht="11.75" customHeight="1">
      <c r="A5547" s="1989">
        <f>IF(D108="AL-1B",1.17,IF(D108="AL-2B",0.98,IF(D108="AL-3B",0.78,IF(D108="AL-4B",0.59,IF(D108="AL-5B",0.39,IF(D108="AL-6B",0.23,IF(D108="PH Classic",0.6*D105/D101*3.6,IF(D108="PH Low",1*D105/D101*3.6,IF(D108="PH+",0.1)))))))))</f>
        <v>1.17</v>
      </c>
    </row>
    <row r="5548" spans="1:1" ht="11.75" customHeight="1">
      <c r="A5548" s="1989" t="b">
        <f>D108="AL-1B"</f>
        <v>1</v>
      </c>
    </row>
    <row r="5549" spans="1:1" ht="11.75" customHeight="1">
      <c r="A5549" s="1989" t="b">
        <f>IF(D108="AL-2B",0.98,IF(D108="AL-3B",0.78,IF(D108="AL-4B",0.59,IF(D108="AL-5B",0.39,IF(D108="AL-6B",0.23,IF(D108="PH Classic",0.6*D105/D101*3.6,IF(D108="PH Low",1*D105/D101*3.6,IF(D108="PH+",0.1))))))))</f>
        <v>0</v>
      </c>
    </row>
    <row r="5550" spans="1:1" ht="11.75" customHeight="1">
      <c r="A5550" s="1989" t="b">
        <f>D108="AL-2B"</f>
        <v>0</v>
      </c>
    </row>
    <row r="5551" spans="1:1" ht="11.75" customHeight="1">
      <c r="A5551" s="1989" t="b">
        <f>IF(D108="AL-3B",0.78,IF(D108="AL-4B",0.59,IF(D108="AL-5B",0.39,IF(D108="AL-6B",0.23,IF(D108="PH Classic",0.6*D105/D101*3.6,IF(D108="PH Low",1*D105/D101*3.6,IF(D108="PH+",0.1)))))))</f>
        <v>0</v>
      </c>
    </row>
    <row r="5552" spans="1:1" ht="11.75" customHeight="1">
      <c r="A5552" s="1989" t="b">
        <f>D108="AL-3B"</f>
        <v>0</v>
      </c>
    </row>
    <row r="5553" spans="1:1" ht="11.75" customHeight="1">
      <c r="A5553" s="1989" t="b">
        <f>IF(D108="AL-4B",0.59,IF(D108="AL-5B",0.39,IF(D108="AL-6B",0.23,IF(D108="PH Classic",0.6*D105/D101*3.6,IF(D108="PH Low",1*D105/D101*3.6,IF(D108="PH+",0.1))))))</f>
        <v>0</v>
      </c>
    </row>
    <row r="5554" spans="1:1" ht="11.75" customHeight="1">
      <c r="A5554" s="1989" t="b">
        <f>D108="AL-4B"</f>
        <v>0</v>
      </c>
    </row>
    <row r="5555" spans="1:1" ht="11.75" customHeight="1">
      <c r="A5555" s="1989" t="b">
        <f>IF(D108="AL-5B",0.39,IF(D108="AL-6B",0.23,IF(D108="PH Classic",0.6*D105/D101*3.6,IF(D108="PH Low",1*D105/D101*3.6,IF(D108="PH+",0.1)))))</f>
        <v>0</v>
      </c>
    </row>
    <row r="5556" spans="1:1" ht="11.75" customHeight="1">
      <c r="A5556" s="1989" t="b">
        <f>D108="AL-5B"</f>
        <v>0</v>
      </c>
    </row>
    <row r="5557" spans="1:1" ht="11.75" customHeight="1">
      <c r="A5557" s="1989" t="b">
        <f>IF(D108="AL-6B",0.23,IF(D108="PH Classic",0.6*D105/D101*3.6,IF(D108="PH Low",1*D105/D101*3.6,IF(D108="PH+",0.1))))</f>
        <v>0</v>
      </c>
    </row>
    <row r="5558" spans="1:1" ht="11.75" customHeight="1">
      <c r="A5558" s="1989" t="b">
        <f>D108="AL-6B"</f>
        <v>0</v>
      </c>
    </row>
    <row r="5559" spans="1:1" ht="11.75" customHeight="1">
      <c r="A5559" s="1989" t="b">
        <f>IF(D108="PH Classic",0.6*D105/D101*3.6,IF(D108="PH Low",1*D105/D101*3.6,IF(D108="PH+",0.1)))</f>
        <v>0</v>
      </c>
    </row>
    <row r="5560" spans="1:1" ht="11.75" customHeight="1">
      <c r="A5560" s="1989" t="b">
        <f>D108="PH Classic"</f>
        <v>0</v>
      </c>
    </row>
    <row r="5561" spans="1:1" ht="11.75" customHeight="1">
      <c r="A5561" s="1989">
        <f>0.6*D105/D101*3.6</f>
        <v>6.9772512537248366</v>
      </c>
    </row>
    <row r="5562" spans="1:1" ht="11.75" customHeight="1">
      <c r="A5562" s="1989">
        <f>0.6*D105</f>
        <v>4800</v>
      </c>
    </row>
    <row r="5563" spans="1:1" ht="11.75" customHeight="1">
      <c r="A5563" s="1989">
        <f>D101*3.6</f>
        <v>8915.8319999999985</v>
      </c>
    </row>
    <row r="5564" spans="1:1" ht="11.75" customHeight="1">
      <c r="A5564" s="1989" t="b">
        <f>IF(D108="PH Low",1*D105/D101*3.6,IF(D108="PH+",0.1))</f>
        <v>0</v>
      </c>
    </row>
    <row r="5565" spans="1:1" ht="11.75" customHeight="1">
      <c r="A5565" s="1989" t="b">
        <f>D108="PH Low"</f>
        <v>0</v>
      </c>
    </row>
    <row r="5566" spans="1:1" ht="11.75" customHeight="1">
      <c r="A5566" s="1989">
        <f>1*D105/D101*3.6</f>
        <v>11.628752089541393</v>
      </c>
    </row>
    <row r="5567" spans="1:1" ht="11.75" customHeight="1">
      <c r="A5567" s="1989">
        <f>1*D105</f>
        <v>8000</v>
      </c>
    </row>
    <row r="5568" spans="1:1" ht="11.75" customHeight="1">
      <c r="A5568" s="1989">
        <f>D101*3.6</f>
        <v>8915.8319999999985</v>
      </c>
    </row>
    <row r="5569" spans="1:1" ht="11.75" customHeight="1">
      <c r="A5569" s="1989" t="b">
        <f>IF(D108="PH+",0.1)</f>
        <v>0</v>
      </c>
    </row>
    <row r="5570" spans="1:1" ht="11.75" customHeight="1">
      <c r="A5570" s="1989" t="b">
        <f>D108="PH+"</f>
        <v>0</v>
      </c>
    </row>
    <row r="5571" spans="1:1" ht="11.75" customHeight="1">
      <c r="A5571" s="1989">
        <f>IF(H20="Present",VLOOKUP(H19,CANADA!A6:K699,9,FALSE),VLOOKUP(H19,CANADA!A6:K699,11,FALSE))</f>
        <v>4600</v>
      </c>
    </row>
    <row r="5572" spans="1:1" ht="11.75" customHeight="1">
      <c r="A5572" s="1989">
        <f>MATCH('NRL50-n-Factors'!D34,'NRL50-n-Factors'!C38:C49,0)</f>
        <v>5</v>
      </c>
    </row>
    <row r="5573" spans="1:1" ht="11.75" customHeight="1">
      <c r="A5573" s="1989">
        <f>MATCH(REPORT!D103,'NRL50-n-Factors'!D37:J37,0)</f>
        <v>2</v>
      </c>
    </row>
    <row r="5574" spans="1:1" ht="11.75" customHeight="1">
      <c r="A5574" s="1989" t="b">
        <f>D51="Gas"</f>
        <v>0</v>
      </c>
    </row>
    <row r="5575" spans="1:1" ht="11.75" customHeight="1">
      <c r="A5575" s="1989">
        <f>D$20*G101*24</f>
        <v>30728.853316304834</v>
      </c>
    </row>
    <row r="5576" spans="1:1" ht="11.75" customHeight="1">
      <c r="A5576" s="1989">
        <f>SUM(H65:H67)</f>
        <v>84390.33600000001</v>
      </c>
    </row>
    <row r="5577" spans="1:1" ht="11.75" customHeight="1">
      <c r="A5577" s="1989">
        <f>IF(D113="Heatpump",K51+D117+D114+M43+H70,IF(D113="Gas",K51+D117+M43+H70))</f>
        <v>132765.64793897627</v>
      </c>
    </row>
    <row r="5578" spans="1:1" ht="11.75" customHeight="1">
      <c r="A5578" s="1989" t="b">
        <f>D113="Heatpump"</f>
        <v>1</v>
      </c>
    </row>
    <row r="5579" spans="1:1" ht="11.75" customHeight="1">
      <c r="A5579" s="1990">
        <f>K51+D117+D114+M43+H70</f>
        <v>132765.64793897627</v>
      </c>
    </row>
    <row r="5580" spans="1:1" ht="11.75" customHeight="1">
      <c r="A5580" s="1989" t="b">
        <f>IF(D113="Gas",K51+D117+M43+H70)</f>
        <v>0</v>
      </c>
    </row>
    <row r="5581" spans="1:1" ht="11.75" customHeight="1">
      <c r="A5581" s="1989">
        <f>SUM(D44:D46)</f>
        <v>0</v>
      </c>
    </row>
    <row r="5582" spans="1:1" ht="11.75" customHeight="1">
      <c r="A5582" s="1990">
        <f>I44+I45</f>
        <v>0</v>
      </c>
    </row>
    <row r="5583" spans="1:1" ht="11.75" customHeight="1">
      <c r="A5583" s="1989">
        <f>H28*0.0373</f>
        <v>0</v>
      </c>
    </row>
    <row r="5584" spans="1:1" ht="11.75" customHeight="1">
      <c r="A5584" s="1989">
        <f>H30*36.72</f>
        <v>0</v>
      </c>
    </row>
    <row r="5585" spans="1:1" ht="11.75" customHeight="1">
      <c r="A5585" s="1990">
        <f>H27-D43</f>
        <v>132765.64793897627</v>
      </c>
    </row>
    <row r="5586" spans="1:1" ht="11.75" customHeight="1">
      <c r="A5586" s="1989" t="b">
        <f>D113="Electricity"</f>
        <v>0</v>
      </c>
    </row>
    <row r="5587" spans="1:1" ht="11.75" customHeight="1">
      <c r="A5587" s="1990">
        <f>I103+K51+D117+M121+I101+I102+M43+SUM(H65:H67)</f>
        <v>265287.6445956853</v>
      </c>
    </row>
    <row r="5588" spans="1:1" ht="11.75" customHeight="1">
      <c r="A5588" s="1990">
        <f>I103+K51+D117+M121+I101+I102+M43</f>
        <v>180897.30859568529</v>
      </c>
    </row>
    <row r="5589" spans="1:1" ht="11.75" customHeight="1">
      <c r="A5589" s="1990">
        <f>I103+K51+D117+M121+I101+I102</f>
        <v>180897.30859568529</v>
      </c>
    </row>
    <row r="5590" spans="1:1" ht="11.75" customHeight="1">
      <c r="A5590" s="1990">
        <f>I103+K51+D117+M121+I101</f>
        <v>164109.06314703665</v>
      </c>
    </row>
    <row r="5591" spans="1:1" ht="11.75" customHeight="1">
      <c r="A5591" s="1990">
        <f>I103+K51+D117+M121</f>
        <v>88005.3704468098</v>
      </c>
    </row>
    <row r="5592" spans="1:1" ht="11.75" customHeight="1">
      <c r="A5592" s="1990">
        <f>I103+K51+D117</f>
        <v>39024.570446809812</v>
      </c>
    </row>
    <row r="5593" spans="1:1" ht="11.75" customHeight="1">
      <c r="A5593" s="1990">
        <f>I103+K51</f>
        <v>36006.531012790423</v>
      </c>
    </row>
    <row r="5594" spans="1:1" ht="11.75" customHeight="1">
      <c r="A5594" s="1989">
        <f>1.21*G108*D20*24/1000*D101</f>
        <v>387079.06311359996</v>
      </c>
    </row>
    <row r="5595" spans="1:1" ht="11.75" customHeight="1">
      <c r="A5595" s="1989">
        <f>1.21*G108*D20*24/1000</f>
        <v>156.29328000000001</v>
      </c>
    </row>
    <row r="5596" spans="1:1" ht="11.75" customHeight="1">
      <c r="A5596" s="1989">
        <f>1.21*G108*D20*24</f>
        <v>156293.28</v>
      </c>
    </row>
    <row r="5597" spans="1:1" ht="11.75" customHeight="1">
      <c r="A5597" s="1989">
        <f>1.21*G108*D20</f>
        <v>6512.22</v>
      </c>
    </row>
    <row r="5598" spans="1:1" ht="11.75" customHeight="1">
      <c r="A5598" s="1989">
        <f>1.21*G108</f>
        <v>1.4157</v>
      </c>
    </row>
    <row r="5599" spans="1:1" ht="11.75" customHeight="1">
      <c r="A5599" s="1989" t="b">
        <f>D108="Measured"</f>
        <v>0</v>
      </c>
    </row>
    <row r="5600" spans="1:1" ht="11.75" customHeight="1">
      <c r="A5600" s="1989">
        <f>G109*D105/D101*3.6</f>
        <v>17.44312813431209</v>
      </c>
    </row>
    <row r="5601" spans="1:1" ht="11.75" customHeight="1">
      <c r="A5601" s="1989">
        <f>G109*D105</f>
        <v>12000</v>
      </c>
    </row>
    <row r="5602" spans="1:1" ht="11.75" customHeight="1">
      <c r="A5602" s="1989">
        <f>D101*3.6</f>
        <v>8915.8319999999985</v>
      </c>
    </row>
    <row r="5603" spans="1:1" ht="11.75" customHeight="1">
      <c r="A5603" s="1989">
        <f>IF(D108="AL-1A",0.89,IF(D108="AL-2A",0.71,IF(D108="AL-3A",0.53,IF(D108="AL-4A",0.35,IF(D108="AL-5A",0.21,IF(D108="AL-1B",1.17,IF(D108="AL-2B",0.98,IF(D108="AL-3B",0.78,IF(D108="AL-4B",0.59,IF(D108="AL-5B",0.39,IF(D108="AL-6B",0.23,IF(D108="PH Classic",0.6*D105/D101*3.6,IF(D108="PH Low",1*D105/D101*3.6,IF(D108="PH+",0.1))))))))))))))</f>
        <v>1.17</v>
      </c>
    </row>
    <row r="5604" spans="1:1" ht="11.75" customHeight="1">
      <c r="A5604" s="1989" t="b">
        <f>D108="AL-1A"</f>
        <v>0</v>
      </c>
    </row>
    <row r="5605" spans="1:1" ht="11.75" customHeight="1">
      <c r="A5605" s="1989">
        <f>IF(D108="AL-2A",0.71,IF(D108="AL-3A",0.53,IF(D108="AL-4A",0.35,IF(D108="AL-5A",0.21,IF(D108="AL-1B",1.17,IF(D108="AL-2B",0.98,IF(D108="AL-3B",0.78,IF(D108="AL-4B",0.59,IF(D108="AL-5B",0.39,IF(D108="AL-6B",0.23,IF(D108="PH Classic",0.6*D105/D101*3.6,IF(D108="PH Low",1*D105/D101*3.6,IF(D108="PH+",0.1)))))))))))))</f>
        <v>1.17</v>
      </c>
    </row>
    <row r="5606" spans="1:1" ht="11.75" customHeight="1">
      <c r="A5606" s="1989" t="b">
        <f>D108="AL-2A"</f>
        <v>0</v>
      </c>
    </row>
    <row r="5607" spans="1:1" ht="11.75" customHeight="1">
      <c r="A5607" s="1989">
        <f>IF(D108="AL-3A",0.53,IF(D108="AL-4A",0.35,IF(D108="AL-5A",0.21,IF(D108="AL-1B",1.17,IF(D108="AL-2B",0.98,IF(D108="AL-3B",0.78,IF(D108="AL-4B",0.59,IF(D108="AL-5B",0.39,IF(D108="AL-6B",0.23,IF(D108="PH Classic",0.6*D105/D101*3.6,IF(D108="PH Low",1*D105/D101*3.6,IF(D108="PH+",0.1))))))))))))</f>
        <v>1.17</v>
      </c>
    </row>
    <row r="5608" spans="1:1" ht="11.75" customHeight="1">
      <c r="A5608" s="1989" t="b">
        <f>D108="AL-3A"</f>
        <v>0</v>
      </c>
    </row>
    <row r="5609" spans="1:1" ht="11.75" customHeight="1">
      <c r="A5609" s="1989">
        <f>IF(D108="AL-4A",0.35,IF(D108="AL-5A",0.21,IF(D108="AL-1B",1.17,IF(D108="AL-2B",0.98,IF(D108="AL-3B",0.78,IF(D108="AL-4B",0.59,IF(D108="AL-5B",0.39,IF(D108="AL-6B",0.23,IF(D108="PH Classic",0.6*D105/D101*3.6,IF(D108="PH Low",1*D105/D101*3.6,IF(D108="PH+",0.1)))))))))))</f>
        <v>1.17</v>
      </c>
    </row>
    <row r="5610" spans="1:1" ht="11.75" customHeight="1">
      <c r="A5610" s="1989" t="b">
        <f>D108="AL-4A"</f>
        <v>0</v>
      </c>
    </row>
    <row r="5611" spans="1:1" ht="11.75" customHeight="1">
      <c r="A5611" s="1989">
        <f>IF(D108="AL-5A",0.21,IF(D108="AL-1B",1.17,IF(D108="AL-2B",0.98,IF(D108="AL-3B",0.78,IF(D108="AL-4B",0.59,IF(D108="AL-5B",0.39,IF(D108="AL-6B",0.23,IF(D108="PH Classic",0.6*D105/D101*3.6,IF(D108="PH Low",1*D105/D101*3.6,IF(D108="PH+",0.1))))))))))</f>
        <v>1.17</v>
      </c>
    </row>
    <row r="5612" spans="1:1" ht="11.75" customHeight="1">
      <c r="A5612" s="1989" t="b">
        <f>D108="AL-5A"</f>
        <v>0</v>
      </c>
    </row>
    <row r="5613" spans="1:1" ht="11.75" customHeight="1">
      <c r="A5613" s="1989">
        <f>IF(D108="AL-1B",1.17,IF(D108="AL-2B",0.98,IF(D108="AL-3B",0.78,IF(D108="AL-4B",0.59,IF(D108="AL-5B",0.39,IF(D108="AL-6B",0.23,IF(D108="PH Classic",0.6*D105/D101*3.6,IF(D108="PH Low",1*D105/D101*3.6,IF(D108="PH+",0.1)))))))))</f>
        <v>1.17</v>
      </c>
    </row>
    <row r="5614" spans="1:1" ht="11.75" customHeight="1">
      <c r="A5614" s="1989" t="b">
        <f>D108="AL-1B"</f>
        <v>1</v>
      </c>
    </row>
    <row r="5615" spans="1:1" ht="11.75" customHeight="1">
      <c r="A5615" s="1989" t="b">
        <f>IF(D108="AL-2B",0.98,IF(D108="AL-3B",0.78,IF(D108="AL-4B",0.59,IF(D108="AL-5B",0.39,IF(D108="AL-6B",0.23,IF(D108="PH Classic",0.6*D105/D101*3.6,IF(D108="PH Low",1*D105/D101*3.6,IF(D108="PH+",0.1))))))))</f>
        <v>0</v>
      </c>
    </row>
    <row r="5616" spans="1:1" ht="11.75" customHeight="1">
      <c r="A5616" s="1989" t="b">
        <f>D108="AL-2B"</f>
        <v>0</v>
      </c>
    </row>
    <row r="5617" spans="1:1" ht="11.75" customHeight="1">
      <c r="A5617" s="1989" t="b">
        <f>IF(D108="AL-3B",0.78,IF(D108="AL-4B",0.59,IF(D108="AL-5B",0.39,IF(D108="AL-6B",0.23,IF(D108="PH Classic",0.6*D105/D101*3.6,IF(D108="PH Low",1*D105/D101*3.6,IF(D108="PH+",0.1)))))))</f>
        <v>0</v>
      </c>
    </row>
    <row r="5618" spans="1:1" ht="11.75" customHeight="1">
      <c r="A5618" s="1989" t="b">
        <f>D108="AL-3B"</f>
        <v>0</v>
      </c>
    </row>
    <row r="5619" spans="1:1" ht="11.75" customHeight="1">
      <c r="A5619" s="1989" t="b">
        <f>IF(D108="AL-4B",0.59,IF(D108="AL-5B",0.39,IF(D108="AL-6B",0.23,IF(D108="PH Classic",0.6*D105/D101*3.6,IF(D108="PH Low",1*D105/D101*3.6,IF(D108="PH+",0.1))))))</f>
        <v>0</v>
      </c>
    </row>
    <row r="5620" spans="1:1" ht="11.75" customHeight="1">
      <c r="A5620" s="1989" t="b">
        <f>D108="AL-4B"</f>
        <v>0</v>
      </c>
    </row>
    <row r="5621" spans="1:1" ht="11.75" customHeight="1">
      <c r="A5621" s="1989" t="b">
        <f>IF(D108="AL-5B",0.39,IF(D108="AL-6B",0.23,IF(D108="PH Classic",0.6*D105/D101*3.6,IF(D108="PH Low",1*D105/D101*3.6,IF(D108="PH+",0.1)))))</f>
        <v>0</v>
      </c>
    </row>
    <row r="5622" spans="1:1" ht="11.75" customHeight="1">
      <c r="A5622" s="1989" t="b">
        <f>D108="AL-5B"</f>
        <v>0</v>
      </c>
    </row>
    <row r="5623" spans="1:1" ht="11.75" customHeight="1">
      <c r="A5623" s="1989" t="b">
        <f>IF(D108="AL-6B",0.23,IF(D108="PH Classic",0.6*D105/D101*3.6,IF(D108="PH Low",1*D105/D101*3.6,IF(D108="PH+",0.1))))</f>
        <v>0</v>
      </c>
    </row>
    <row r="5624" spans="1:1" ht="11.75" customHeight="1">
      <c r="A5624" s="1989" t="b">
        <f>D108="AL-6B"</f>
        <v>0</v>
      </c>
    </row>
    <row r="5625" spans="1:1" ht="11.75" customHeight="1">
      <c r="A5625" s="1989" t="b">
        <f>IF(D108="PH Classic",0.6*D105/D101*3.6,IF(D108="PH Low",1*D105/D101*3.6,IF(D108="PH+",0.1)))</f>
        <v>0</v>
      </c>
    </row>
    <row r="5626" spans="1:1" ht="11.75" customHeight="1">
      <c r="A5626" s="1989" t="b">
        <f>D108="PH Classic"</f>
        <v>0</v>
      </c>
    </row>
    <row r="5627" spans="1:1" ht="11.75" customHeight="1">
      <c r="A5627" s="1989">
        <f>0.6*D105/D101*3.6</f>
        <v>6.9772512537248366</v>
      </c>
    </row>
    <row r="5628" spans="1:1" ht="11.75" customHeight="1">
      <c r="A5628" s="1989">
        <f>0.6*D105</f>
        <v>4800</v>
      </c>
    </row>
    <row r="5629" spans="1:1" ht="11.75" customHeight="1">
      <c r="A5629" s="1989">
        <f>D101*3.6</f>
        <v>8915.8319999999985</v>
      </c>
    </row>
    <row r="5630" spans="1:1" ht="11.75" customHeight="1">
      <c r="A5630" s="1989" t="b">
        <f>IF(D108="PH Low",1*D105/D101*3.6,IF(D108="PH+",0.1))</f>
        <v>0</v>
      </c>
    </row>
    <row r="5631" spans="1:1" ht="11.75" customHeight="1">
      <c r="A5631" s="1989" t="b">
        <f>D108="PH Low"</f>
        <v>0</v>
      </c>
    </row>
    <row r="5632" spans="1:1" ht="11.75" customHeight="1">
      <c r="A5632" s="1989">
        <f>1*D105/D101*3.6</f>
        <v>11.628752089541393</v>
      </c>
    </row>
    <row r="5633" spans="1:1" ht="11.75" customHeight="1">
      <c r="A5633" s="1989">
        <f>1*D105</f>
        <v>8000</v>
      </c>
    </row>
    <row r="5634" spans="1:1" ht="11.75" customHeight="1">
      <c r="A5634" s="1989">
        <f>D101*3.6</f>
        <v>8915.8319999999985</v>
      </c>
    </row>
    <row r="5635" spans="1:1" ht="11.75" customHeight="1">
      <c r="A5635" s="1989" t="b">
        <f>IF(D108="PH+",0.1)</f>
        <v>0</v>
      </c>
    </row>
    <row r="5636" spans="1:1" ht="11.75" customHeight="1">
      <c r="A5636" s="1989" t="b">
        <f>D108="PH+"</f>
        <v>0</v>
      </c>
    </row>
    <row r="5637" spans="1:1" ht="11.75" customHeight="1">
      <c r="A5637" s="1989">
        <f>IF(H20="Present",VLOOKUP(H19,CANADA!A6:K699,9,FALSE),VLOOKUP(H19,CANADA!A6:K699,11,FALSE))</f>
        <v>4600</v>
      </c>
    </row>
    <row r="5638" spans="1:1" ht="11.75" customHeight="1">
      <c r="A5638" s="1989">
        <f>MATCH('NRL50-n-Factors'!D34,'NRL50-n-Factors'!C38:C49,0)</f>
        <v>5</v>
      </c>
    </row>
    <row r="5639" spans="1:1" ht="11.75" customHeight="1">
      <c r="A5639" s="1989">
        <f>MATCH(REPORT!D103,'NRL50-n-Factors'!D37:J37,0)</f>
        <v>2</v>
      </c>
    </row>
    <row r="5640" spans="1:1" ht="11.75" customHeight="1">
      <c r="A5640" s="1989" t="b">
        <f>D51="Gas"</f>
        <v>0</v>
      </c>
    </row>
    <row r="5641" spans="1:1" ht="11.75" customHeight="1">
      <c r="A5641" s="1989">
        <f>D$20*G101*24</f>
        <v>30728.853316304834</v>
      </c>
    </row>
    <row r="5642" spans="1:1" ht="11.75" customHeight="1">
      <c r="A5642" s="1990">
        <f>H27-D43</f>
        <v>132765.64793897627</v>
      </c>
    </row>
    <row r="5643" spans="1:1" ht="11.75" customHeight="1">
      <c r="A5643" s="1989" t="b">
        <f>D113="Electricity"</f>
        <v>0</v>
      </c>
    </row>
    <row r="5644" spans="1:1" ht="11.75" customHeight="1">
      <c r="A5644" s="1990">
        <f>I103+K51+D117+M121+I101+I102+M43+SUM(H65:H67)</f>
        <v>265287.6445956853</v>
      </c>
    </row>
    <row r="5645" spans="1:1" ht="11.75" customHeight="1">
      <c r="A5645" s="1990">
        <f>I103+K51+D117+M121+I101+I102+M43</f>
        <v>180897.30859568529</v>
      </c>
    </row>
    <row r="5646" spans="1:1" ht="11.75" customHeight="1">
      <c r="A5646" s="1990">
        <f>I103+K51+D117+M121+I101+I102</f>
        <v>180897.30859568529</v>
      </c>
    </row>
    <row r="5647" spans="1:1" ht="11.75" customHeight="1">
      <c r="A5647" s="1990">
        <f>I103+K51+D117+M121+I101</f>
        <v>164109.06314703665</v>
      </c>
    </row>
    <row r="5648" spans="1:1" ht="11.75" customHeight="1">
      <c r="A5648" s="1990">
        <f>I103+K51+D117+M121</f>
        <v>88005.3704468098</v>
      </c>
    </row>
    <row r="5649" spans="1:1" ht="11.75" customHeight="1">
      <c r="A5649" s="1990">
        <f>I103+K51+D117</f>
        <v>39024.570446809812</v>
      </c>
    </row>
    <row r="5650" spans="1:1" ht="11.75" customHeight="1">
      <c r="A5650" s="1990">
        <f>I103+K51</f>
        <v>36006.531012790423</v>
      </c>
    </row>
    <row r="5651" spans="1:1" ht="11.75" customHeight="1">
      <c r="A5651" s="1989">
        <f>1.21*G108*D20*24/1000*D101</f>
        <v>387079.06311359996</v>
      </c>
    </row>
    <row r="5652" spans="1:1" ht="11.75" customHeight="1">
      <c r="A5652" s="1989">
        <f>1.21*G108*D20*24/1000</f>
        <v>156.29328000000001</v>
      </c>
    </row>
    <row r="5653" spans="1:1" ht="11.75" customHeight="1">
      <c r="A5653" s="1989">
        <f>1.21*G108*D20*24</f>
        <v>156293.28</v>
      </c>
    </row>
    <row r="5654" spans="1:1" ht="11.75" customHeight="1">
      <c r="A5654" s="1989">
        <f>1.21*G108*D20</f>
        <v>6512.22</v>
      </c>
    </row>
    <row r="5655" spans="1:1" ht="11.75" customHeight="1">
      <c r="A5655" s="1989">
        <f>1.21*G108</f>
        <v>1.4157</v>
      </c>
    </row>
    <row r="5656" spans="1:1" ht="11.75" customHeight="1">
      <c r="A5656" s="1989" t="b">
        <f>D108="Measured"</f>
        <v>0</v>
      </c>
    </row>
    <row r="5657" spans="1:1" ht="11.75" customHeight="1">
      <c r="A5657" s="1989">
        <f>G109*D105/D101*3.6</f>
        <v>17.44312813431209</v>
      </c>
    </row>
    <row r="5658" spans="1:1" ht="11.75" customHeight="1">
      <c r="A5658" s="1989">
        <f>G109*D105</f>
        <v>12000</v>
      </c>
    </row>
    <row r="5659" spans="1:1" ht="11.75" customHeight="1">
      <c r="A5659" s="1989">
        <f>D101*3.6</f>
        <v>8915.8319999999985</v>
      </c>
    </row>
    <row r="5660" spans="1:1" ht="11.75" customHeight="1">
      <c r="A5660" s="1989">
        <f>IF(D108="AL-1A",0.89,IF(D108="AL-2A",0.71,IF(D108="AL-3A",0.53,IF(D108="AL-4A",0.35,IF(D108="AL-5A",0.21,IF(D108="AL-1B",1.17,IF(D108="AL-2B",0.98,IF(D108="AL-3B",0.78,IF(D108="AL-4B",0.59,IF(D108="AL-5B",0.39,IF(D108="AL-6B",0.23,IF(D108="PH Classic",0.6*D105/D101*3.6,IF(D108="PH Low",1*D105/D101*3.6,IF(D108="PH+",0.1))))))))))))))</f>
        <v>1.17</v>
      </c>
    </row>
    <row r="5661" spans="1:1" ht="11.75" customHeight="1">
      <c r="A5661" s="1989" t="b">
        <f>D108="AL-1A"</f>
        <v>0</v>
      </c>
    </row>
    <row r="5662" spans="1:1" ht="11.75" customHeight="1">
      <c r="A5662" s="1989">
        <f>IF(D108="AL-2A",0.71,IF(D108="AL-3A",0.53,IF(D108="AL-4A",0.35,IF(D108="AL-5A",0.21,IF(D108="AL-1B",1.17,IF(D108="AL-2B",0.98,IF(D108="AL-3B",0.78,IF(D108="AL-4B",0.59,IF(D108="AL-5B",0.39,IF(D108="AL-6B",0.23,IF(D108="PH Classic",0.6*D105/D101*3.6,IF(D108="PH Low",1*D105/D101*3.6,IF(D108="PH+",0.1)))))))))))))</f>
        <v>1.17</v>
      </c>
    </row>
    <row r="5663" spans="1:1" ht="11.75" customHeight="1">
      <c r="A5663" s="1989" t="b">
        <f>D108="AL-2A"</f>
        <v>0</v>
      </c>
    </row>
    <row r="5664" spans="1:1" ht="11.75" customHeight="1">
      <c r="A5664" s="1989">
        <f>IF(D108="AL-3A",0.53,IF(D108="AL-4A",0.35,IF(D108="AL-5A",0.21,IF(D108="AL-1B",1.17,IF(D108="AL-2B",0.98,IF(D108="AL-3B",0.78,IF(D108="AL-4B",0.59,IF(D108="AL-5B",0.39,IF(D108="AL-6B",0.23,IF(D108="PH Classic",0.6*D105/D101*3.6,IF(D108="PH Low",1*D105/D101*3.6,IF(D108="PH+",0.1))))))))))))</f>
        <v>1.17</v>
      </c>
    </row>
    <row r="5665" spans="1:1" ht="11.75" customHeight="1">
      <c r="A5665" s="1989" t="b">
        <f>D108="AL-3A"</f>
        <v>0</v>
      </c>
    </row>
    <row r="5666" spans="1:1" ht="11.75" customHeight="1">
      <c r="A5666" s="1989">
        <f>IF(D108="AL-4A",0.35,IF(D108="AL-5A",0.21,IF(D108="AL-1B",1.17,IF(D108="AL-2B",0.98,IF(D108="AL-3B",0.78,IF(D108="AL-4B",0.59,IF(D108="AL-5B",0.39,IF(D108="AL-6B",0.23,IF(D108="PH Classic",0.6*D105/D101*3.6,IF(D108="PH Low",1*D105/D101*3.6,IF(D108="PH+",0.1)))))))))))</f>
        <v>1.17</v>
      </c>
    </row>
    <row r="5667" spans="1:1" ht="11.75" customHeight="1">
      <c r="A5667" s="1989" t="b">
        <f>D108="AL-4A"</f>
        <v>0</v>
      </c>
    </row>
    <row r="5668" spans="1:1" ht="11.75" customHeight="1">
      <c r="A5668" s="1989">
        <f>IF(D108="AL-5A",0.21,IF(D108="AL-1B",1.17,IF(D108="AL-2B",0.98,IF(D108="AL-3B",0.78,IF(D108="AL-4B",0.59,IF(D108="AL-5B",0.39,IF(D108="AL-6B",0.23,IF(D108="PH Classic",0.6*D105/D101*3.6,IF(D108="PH Low",1*D105/D101*3.6,IF(D108="PH+",0.1))))))))))</f>
        <v>1.17</v>
      </c>
    </row>
    <row r="5669" spans="1:1" ht="11.75" customHeight="1">
      <c r="A5669" s="1989" t="b">
        <f>D108="AL-5A"</f>
        <v>0</v>
      </c>
    </row>
    <row r="5670" spans="1:1" ht="11.75" customHeight="1">
      <c r="A5670" s="1989">
        <f>IF(D108="AL-1B",1.17,IF(D108="AL-2B",0.98,IF(D108="AL-3B",0.78,IF(D108="AL-4B",0.59,IF(D108="AL-5B",0.39,IF(D108="AL-6B",0.23,IF(D108="PH Classic",0.6*D105/D101*3.6,IF(D108="PH Low",1*D105/D101*3.6,IF(D108="PH+",0.1)))))))))</f>
        <v>1.17</v>
      </c>
    </row>
    <row r="5671" spans="1:1" ht="11.75" customHeight="1">
      <c r="A5671" s="1989" t="b">
        <f>D108="AL-1B"</f>
        <v>1</v>
      </c>
    </row>
    <row r="5672" spans="1:1" ht="11.75" customHeight="1">
      <c r="A5672" s="1989" t="b">
        <f>IF(D108="AL-2B",0.98,IF(D108="AL-3B",0.78,IF(D108="AL-4B",0.59,IF(D108="AL-5B",0.39,IF(D108="AL-6B",0.23,IF(D108="PH Classic",0.6*D105/D101*3.6,IF(D108="PH Low",1*D105/D101*3.6,IF(D108="PH+",0.1))))))))</f>
        <v>0</v>
      </c>
    </row>
    <row r="5673" spans="1:1" ht="11.75" customHeight="1">
      <c r="A5673" s="1989" t="b">
        <f>D108="AL-2B"</f>
        <v>0</v>
      </c>
    </row>
    <row r="5674" spans="1:1" ht="11.75" customHeight="1">
      <c r="A5674" s="1989" t="b">
        <f>IF(D108="AL-3B",0.78,IF(D108="AL-4B",0.59,IF(D108="AL-5B",0.39,IF(D108="AL-6B",0.23,IF(D108="PH Classic",0.6*D105/D101*3.6,IF(D108="PH Low",1*D105/D101*3.6,IF(D108="PH+",0.1)))))))</f>
        <v>0</v>
      </c>
    </row>
    <row r="5675" spans="1:1" ht="11.75" customHeight="1">
      <c r="A5675" s="1989" t="b">
        <f>D108="AL-3B"</f>
        <v>0</v>
      </c>
    </row>
    <row r="5676" spans="1:1" ht="11.75" customHeight="1">
      <c r="A5676" s="1989" t="b">
        <f>IF(D108="AL-4B",0.59,IF(D108="AL-5B",0.39,IF(D108="AL-6B",0.23,IF(D108="PH Classic",0.6*D105/D101*3.6,IF(D108="PH Low",1*D105/D101*3.6,IF(D108="PH+",0.1))))))</f>
        <v>0</v>
      </c>
    </row>
    <row r="5677" spans="1:1" ht="11.75" customHeight="1">
      <c r="A5677" s="1989" t="b">
        <f>D108="AL-4B"</f>
        <v>0</v>
      </c>
    </row>
    <row r="5678" spans="1:1" ht="11.75" customHeight="1">
      <c r="A5678" s="1989" t="b">
        <f>IF(D108="AL-5B",0.39,IF(D108="AL-6B",0.23,IF(D108="PH Classic",0.6*D105/D101*3.6,IF(D108="PH Low",1*D105/D101*3.6,IF(D108="PH+",0.1)))))</f>
        <v>0</v>
      </c>
    </row>
    <row r="5679" spans="1:1" ht="11.75" customHeight="1">
      <c r="A5679" s="1989" t="b">
        <f>D108="AL-5B"</f>
        <v>0</v>
      </c>
    </row>
    <row r="5680" spans="1:1" ht="11.75" customHeight="1">
      <c r="A5680" s="1989" t="b">
        <f>IF(D108="AL-6B",0.23,IF(D108="PH Classic",0.6*D105/D101*3.6,IF(D108="PH Low",1*D105/D101*3.6,IF(D108="PH+",0.1))))</f>
        <v>0</v>
      </c>
    </row>
    <row r="5681" spans="1:1" ht="11.75" customHeight="1">
      <c r="A5681" s="1989" t="b">
        <f>D108="AL-6B"</f>
        <v>0</v>
      </c>
    </row>
    <row r="5682" spans="1:1" ht="11.75" customHeight="1">
      <c r="A5682" s="1989" t="b">
        <f>IF(D108="PH Classic",0.6*D105/D101*3.6,IF(D108="PH Low",1*D105/D101*3.6,IF(D108="PH+",0.1)))</f>
        <v>0</v>
      </c>
    </row>
    <row r="5683" spans="1:1" ht="11.75" customHeight="1">
      <c r="A5683" s="1989" t="b">
        <f>D108="PH Classic"</f>
        <v>0</v>
      </c>
    </row>
    <row r="5684" spans="1:1" ht="11.75" customHeight="1">
      <c r="A5684" s="1989">
        <f>0.6*D105/D101*3.6</f>
        <v>6.9772512537248366</v>
      </c>
    </row>
    <row r="5685" spans="1:1" ht="11.75" customHeight="1">
      <c r="A5685" s="1989">
        <f>0.6*D105</f>
        <v>4800</v>
      </c>
    </row>
    <row r="5686" spans="1:1" ht="11.75" customHeight="1">
      <c r="A5686" s="1989">
        <f>D101*3.6</f>
        <v>8915.8319999999985</v>
      </c>
    </row>
    <row r="5687" spans="1:1" ht="11.75" customHeight="1">
      <c r="A5687" s="1989" t="b">
        <f>IF(D108="PH Low",1*D105/D101*3.6,IF(D108="PH+",0.1))</f>
        <v>0</v>
      </c>
    </row>
    <row r="5688" spans="1:1" ht="11.75" customHeight="1">
      <c r="A5688" s="1989" t="b">
        <f>D108="PH Low"</f>
        <v>0</v>
      </c>
    </row>
    <row r="5689" spans="1:1" ht="11.75" customHeight="1">
      <c r="A5689" s="1989">
        <f>1*D105/D101*3.6</f>
        <v>11.628752089541393</v>
      </c>
    </row>
    <row r="5690" spans="1:1" ht="11.75" customHeight="1">
      <c r="A5690" s="1989">
        <f>1*D105</f>
        <v>8000</v>
      </c>
    </row>
    <row r="5691" spans="1:1" ht="11.75" customHeight="1">
      <c r="A5691" s="1989">
        <f>D101*3.6</f>
        <v>8915.8319999999985</v>
      </c>
    </row>
    <row r="5692" spans="1:1" ht="11.75" customHeight="1">
      <c r="A5692" s="1989" t="b">
        <f>IF(D108="PH+",0.1)</f>
        <v>0</v>
      </c>
    </row>
    <row r="5693" spans="1:1" ht="11.75" customHeight="1">
      <c r="A5693" s="1990">
        <f>H27-D43</f>
        <v>132765.64793897627</v>
      </c>
    </row>
    <row r="5694" spans="1:1" ht="11.75" customHeight="1">
      <c r="A5694" s="1989" t="b">
        <f>D113="Electricity"</f>
        <v>0</v>
      </c>
    </row>
    <row r="5695" spans="1:1" ht="11.75" customHeight="1">
      <c r="A5695" s="1990">
        <f>I103+K51+D117+M121+I101+I102+M43+SUM(H65:H67)</f>
        <v>265287.6445956853</v>
      </c>
    </row>
    <row r="5696" spans="1:1" ht="11.75" customHeight="1">
      <c r="A5696" s="1990">
        <f>I103+K51+D117+M121+I101+I102+M43</f>
        <v>180897.30859568529</v>
      </c>
    </row>
    <row r="5697" spans="1:1" ht="11.75" customHeight="1">
      <c r="A5697" s="1990">
        <f>I103+K51+D117+M121+I101+I102</f>
        <v>180897.30859568529</v>
      </c>
    </row>
    <row r="5698" spans="1:1" ht="11.75" customHeight="1">
      <c r="A5698" s="1990">
        <f>I103+K51+D117+M121+I101</f>
        <v>164109.06314703665</v>
      </c>
    </row>
    <row r="5699" spans="1:1" ht="11.75" customHeight="1">
      <c r="A5699" s="1990">
        <f>I103+K51+D117+M121</f>
        <v>88005.3704468098</v>
      </c>
    </row>
    <row r="5700" spans="1:1" ht="11.75" customHeight="1">
      <c r="A5700" s="1990">
        <f>I103+K51+D117</f>
        <v>39024.570446809812</v>
      </c>
    </row>
    <row r="5701" spans="1:1" ht="11.75" customHeight="1">
      <c r="A5701" s="1990">
        <f>I103+K51</f>
        <v>36006.531012790423</v>
      </c>
    </row>
    <row r="5702" spans="1:1" ht="11.75" customHeight="1">
      <c r="A5702" s="1989">
        <f>1.21*G108*D20*24/1000*D101</f>
        <v>387079.06311359996</v>
      </c>
    </row>
    <row r="5703" spans="1:1" ht="11.75" customHeight="1">
      <c r="A5703" s="1989">
        <f>1.21*G108*D20*24/1000</f>
        <v>156.29328000000001</v>
      </c>
    </row>
    <row r="5704" spans="1:1" ht="11.75" customHeight="1">
      <c r="A5704" s="1989">
        <f>1.21*G108*D20*24</f>
        <v>156293.28</v>
      </c>
    </row>
    <row r="5705" spans="1:1" ht="11.75" customHeight="1">
      <c r="A5705" s="1989">
        <f>1.21*G108*D20</f>
        <v>6512.22</v>
      </c>
    </row>
    <row r="5706" spans="1:1" ht="11.75" customHeight="1">
      <c r="A5706" s="1989">
        <f>1.21*G108</f>
        <v>1.4157</v>
      </c>
    </row>
    <row r="5707" spans="1:1" ht="11.75" customHeight="1">
      <c r="A5707" s="1989" t="b">
        <f>D108="Measured"</f>
        <v>0</v>
      </c>
    </row>
    <row r="5708" spans="1:1" ht="11.75" customHeight="1">
      <c r="A5708" s="1989">
        <f>G109*D105/D101*3.6</f>
        <v>17.44312813431209</v>
      </c>
    </row>
    <row r="5709" spans="1:1" ht="11.75" customHeight="1">
      <c r="A5709" s="1989">
        <f>G109*D105</f>
        <v>12000</v>
      </c>
    </row>
    <row r="5710" spans="1:1" ht="11.75" customHeight="1">
      <c r="A5710" s="1989">
        <f>D101*3.6</f>
        <v>8915.8319999999985</v>
      </c>
    </row>
    <row r="5711" spans="1:1" ht="11.75" customHeight="1">
      <c r="A5711" s="1989">
        <f>IF(D108="AL-1A",0.89,IF(D108="AL-2A",0.71,IF(D108="AL-3A",0.53,IF(D108="AL-4A",0.35,IF(D108="AL-5A",0.21,IF(D108="AL-1B",1.17,IF(D108="AL-2B",0.98,IF(D108="AL-3B",0.78,IF(D108="AL-4B",0.59,IF(D108="AL-5B",0.39,IF(D108="AL-6B",0.23,IF(D108="PH Classic",0.6*D105/D101*3.6,IF(D108="PH Low",1*D105/D101*3.6,IF(D108="PH+",0.1))))))))))))))</f>
        <v>1.17</v>
      </c>
    </row>
    <row r="5712" spans="1:1" ht="11.75" customHeight="1">
      <c r="A5712" s="1989" t="b">
        <f>D108="AL-1A"</f>
        <v>0</v>
      </c>
    </row>
    <row r="5713" spans="1:1" ht="11.75" customHeight="1">
      <c r="A5713" s="1989">
        <f>IF(D108="AL-2A",0.71,IF(D108="AL-3A",0.53,IF(D108="AL-4A",0.35,IF(D108="AL-5A",0.21,IF(D108="AL-1B",1.17,IF(D108="AL-2B",0.98,IF(D108="AL-3B",0.78,IF(D108="AL-4B",0.59,IF(D108="AL-5B",0.39,IF(D108="AL-6B",0.23,IF(D108="PH Classic",0.6*D105/D101*3.6,IF(D108="PH Low",1*D105/D101*3.6,IF(D108="PH+",0.1)))))))))))))</f>
        <v>1.17</v>
      </c>
    </row>
    <row r="5714" spans="1:1" ht="11.75" customHeight="1">
      <c r="A5714" s="1989" t="b">
        <f>D108="AL-2A"</f>
        <v>0</v>
      </c>
    </row>
    <row r="5715" spans="1:1" ht="11.75" customHeight="1">
      <c r="A5715" s="1989">
        <f>IF(D108="AL-3A",0.53,IF(D108="AL-4A",0.35,IF(D108="AL-5A",0.21,IF(D108="AL-1B",1.17,IF(D108="AL-2B",0.98,IF(D108="AL-3B",0.78,IF(D108="AL-4B",0.59,IF(D108="AL-5B",0.39,IF(D108="AL-6B",0.23,IF(D108="PH Classic",0.6*D105/D101*3.6,IF(D108="PH Low",1*D105/D101*3.6,IF(D108="PH+",0.1))))))))))))</f>
        <v>1.17</v>
      </c>
    </row>
    <row r="5716" spans="1:1" ht="11.75" customHeight="1">
      <c r="A5716" s="1989" t="b">
        <f>D108="AL-3A"</f>
        <v>0</v>
      </c>
    </row>
    <row r="5717" spans="1:1" ht="11.75" customHeight="1">
      <c r="A5717" s="1989">
        <f>IF(D108="AL-4A",0.35,IF(D108="AL-5A",0.21,IF(D108="AL-1B",1.17,IF(D108="AL-2B",0.98,IF(D108="AL-3B",0.78,IF(D108="AL-4B",0.59,IF(D108="AL-5B",0.39,IF(D108="AL-6B",0.23,IF(D108="PH Classic",0.6*D105/D101*3.6,IF(D108="PH Low",1*D105/D101*3.6,IF(D108="PH+",0.1)))))))))))</f>
        <v>1.17</v>
      </c>
    </row>
    <row r="5718" spans="1:1" ht="11.75" customHeight="1">
      <c r="A5718" s="1989" t="b">
        <f>D108="AL-4A"</f>
        <v>0</v>
      </c>
    </row>
    <row r="5719" spans="1:1" ht="11.75" customHeight="1">
      <c r="A5719" s="1989">
        <f>IF(D108="AL-5A",0.21,IF(D108="AL-1B",1.17,IF(D108="AL-2B",0.98,IF(D108="AL-3B",0.78,IF(D108="AL-4B",0.59,IF(D108="AL-5B",0.39,IF(D108="AL-6B",0.23,IF(D108="PH Classic",0.6*D105/D101*3.6,IF(D108="PH Low",1*D105/D101*3.6,IF(D108="PH+",0.1))))))))))</f>
        <v>1.17</v>
      </c>
    </row>
    <row r="5720" spans="1:1" ht="11.75" customHeight="1">
      <c r="A5720" s="1989" t="b">
        <f>D108="AL-5A"</f>
        <v>0</v>
      </c>
    </row>
    <row r="5721" spans="1:1" ht="11.75" customHeight="1">
      <c r="A5721" s="1989">
        <f>IF(D108="AL-1B",1.17,IF(D108="AL-2B",0.98,IF(D108="AL-3B",0.78,IF(D108="AL-4B",0.59,IF(D108="AL-5B",0.39,IF(D108="AL-6B",0.23,IF(D108="PH Classic",0.6*D105/D101*3.6,IF(D108="PH Low",1*D105/D101*3.6,IF(D108="PH+",0.1)))))))))</f>
        <v>1.17</v>
      </c>
    </row>
    <row r="5722" spans="1:1" ht="11.75" customHeight="1">
      <c r="A5722" s="1989" t="b">
        <f>D108="AL-1B"</f>
        <v>1</v>
      </c>
    </row>
    <row r="5723" spans="1:1" ht="11.75" customHeight="1">
      <c r="A5723" s="1989" t="b">
        <f>IF(D108="AL-2B",0.98,IF(D108="AL-3B",0.78,IF(D108="AL-4B",0.59,IF(D108="AL-5B",0.39,IF(D108="AL-6B",0.23,IF(D108="PH Classic",0.6*D105/D101*3.6,IF(D108="PH Low",1*D105/D101*3.6,IF(D108="PH+",0.1))))))))</f>
        <v>0</v>
      </c>
    </row>
    <row r="5724" spans="1:1" ht="11.75" customHeight="1">
      <c r="A5724" s="1989" t="b">
        <f>D108="AL-2B"</f>
        <v>0</v>
      </c>
    </row>
    <row r="5725" spans="1:1" ht="11.75" customHeight="1">
      <c r="A5725" s="1989" t="b">
        <f>IF(D108="AL-3B",0.78,IF(D108="AL-4B",0.59,IF(D108="AL-5B",0.39,IF(D108="AL-6B",0.23,IF(D108="PH Classic",0.6*D105/D101*3.6,IF(D108="PH Low",1*D105/D101*3.6,IF(D108="PH+",0.1)))))))</f>
        <v>0</v>
      </c>
    </row>
    <row r="5726" spans="1:1" ht="11.75" customHeight="1">
      <c r="A5726" s="1989" t="b">
        <f>D108="AL-3B"</f>
        <v>0</v>
      </c>
    </row>
    <row r="5727" spans="1:1" ht="11.75" customHeight="1">
      <c r="A5727" s="1989" t="b">
        <f>IF(D108="AL-4B",0.59,IF(D108="AL-5B",0.39,IF(D108="AL-6B",0.23,IF(D108="PH Classic",0.6*D105/D101*3.6,IF(D108="PH Low",1*D105/D101*3.6,IF(D108="PH+",0.1))))))</f>
        <v>0</v>
      </c>
    </row>
    <row r="5728" spans="1:1" ht="11.75" customHeight="1">
      <c r="A5728" s="1989" t="b">
        <f>D108="AL-4B"</f>
        <v>0</v>
      </c>
    </row>
    <row r="5729" spans="1:1" ht="11.75" customHeight="1">
      <c r="A5729" s="1989" t="b">
        <f>IF(D108="AL-5B",0.39,IF(D108="AL-6B",0.23,IF(D108="PH Classic",0.6*D105/D101*3.6,IF(D108="PH Low",1*D105/D101*3.6,IF(D108="PH+",0.1)))))</f>
        <v>0</v>
      </c>
    </row>
    <row r="5730" spans="1:1" ht="11.75" customHeight="1">
      <c r="A5730" s="1989" t="b">
        <f>D108="AL-5B"</f>
        <v>0</v>
      </c>
    </row>
    <row r="5731" spans="1:1" ht="11.75" customHeight="1">
      <c r="A5731" s="1989" t="b">
        <f>IF(D108="AL-6B",0.23,IF(D108="PH Classic",0.6*D105/D101*3.6,IF(D108="PH Low",1*D105/D101*3.6,IF(D108="PH+",0.1))))</f>
        <v>0</v>
      </c>
    </row>
    <row r="5732" spans="1:1" ht="11.75" customHeight="1">
      <c r="A5732" s="1989" t="b">
        <f>D108="AL-6B"</f>
        <v>0</v>
      </c>
    </row>
    <row r="5733" spans="1:1" ht="11.75" customHeight="1">
      <c r="A5733" s="1989" t="b">
        <f>IF(D108="PH Classic",0.6*D105/D101*3.6,IF(D108="PH Low",1*D105/D101*3.6,IF(D108="PH+",0.1)))</f>
        <v>0</v>
      </c>
    </row>
    <row r="5734" spans="1:1" ht="11.75" customHeight="1">
      <c r="A5734" s="1989" t="b">
        <f>D108="PH Classic"</f>
        <v>0</v>
      </c>
    </row>
    <row r="5735" spans="1:1" ht="11.75" customHeight="1">
      <c r="A5735" s="1989">
        <f>0.6*D105/D101*3.6</f>
        <v>6.9772512537248366</v>
      </c>
    </row>
    <row r="5736" spans="1:1" ht="11.75" customHeight="1">
      <c r="A5736" s="1989">
        <f>0.6*D105</f>
        <v>4800</v>
      </c>
    </row>
    <row r="5737" spans="1:1" ht="11.75" customHeight="1">
      <c r="A5737" s="1989">
        <f>D101*3.6</f>
        <v>8915.8319999999985</v>
      </c>
    </row>
    <row r="5738" spans="1:1" ht="11.75" customHeight="1">
      <c r="A5738" s="1989" t="b">
        <f>IF(D108="PH Low",1*D105/D101*3.6,IF(D108="PH+",0.1))</f>
        <v>0</v>
      </c>
    </row>
    <row r="5739" spans="1:1" ht="11.75" customHeight="1">
      <c r="A5739" s="1989" t="b">
        <f>D108="PH Low"</f>
        <v>0</v>
      </c>
    </row>
    <row r="5740" spans="1:1" ht="11.75" customHeight="1">
      <c r="A5740" s="1989">
        <f>1*D105/D101*3.6</f>
        <v>11.628752089541393</v>
      </c>
    </row>
    <row r="5741" spans="1:1" ht="11.75" customHeight="1">
      <c r="A5741" s="1989">
        <f>1*D105</f>
        <v>8000</v>
      </c>
    </row>
    <row r="5742" spans="1:1" ht="11.75" customHeight="1">
      <c r="A5742" s="1989">
        <f>D101*3.6</f>
        <v>8915.8319999999985</v>
      </c>
    </row>
    <row r="5743" spans="1:1" ht="11.75" customHeight="1">
      <c r="A5743" s="1989" t="b">
        <f>IF(D108="PH+",0.1)</f>
        <v>0</v>
      </c>
    </row>
    <row r="5744" spans="1:1" ht="11.75" customHeight="1">
      <c r="A5744" s="1989" t="b">
        <f>D108="PH+"</f>
        <v>0</v>
      </c>
    </row>
    <row r="5745" spans="1:1" ht="11.75" customHeight="1">
      <c r="A5745" s="1990">
        <f>H27-D43</f>
        <v>132765.64793897627</v>
      </c>
    </row>
    <row r="5746" spans="1:1" ht="11.75" customHeight="1">
      <c r="A5746" s="1989" t="b">
        <f>D113="Electricity"</f>
        <v>0</v>
      </c>
    </row>
    <row r="5747" spans="1:1" ht="11.75" customHeight="1">
      <c r="A5747" s="1990">
        <f>I103+K51+D117+M121+I101+I102+M43+SUM(H65:H67)</f>
        <v>265287.6445956853</v>
      </c>
    </row>
    <row r="5748" spans="1:1" ht="11.75" customHeight="1">
      <c r="A5748" s="1990">
        <f>I103+K51+D117+M121+I101+I102+M43</f>
        <v>180897.30859568529</v>
      </c>
    </row>
    <row r="5749" spans="1:1" ht="11.75" customHeight="1">
      <c r="A5749" s="1990">
        <f>I103+K51+D117+M121+I101+I102</f>
        <v>180897.30859568529</v>
      </c>
    </row>
    <row r="5750" spans="1:1" ht="11.75" customHeight="1">
      <c r="A5750" s="1990">
        <f>I103+K51+D117+M121+I101</f>
        <v>164109.06314703665</v>
      </c>
    </row>
    <row r="5751" spans="1:1" ht="11.75" customHeight="1">
      <c r="A5751" s="1990">
        <f>I103+K51+D117+M121</f>
        <v>88005.3704468098</v>
      </c>
    </row>
    <row r="5752" spans="1:1" ht="11.75" customHeight="1">
      <c r="A5752" s="1990">
        <f>I103+K51+D117</f>
        <v>39024.570446809812</v>
      </c>
    </row>
    <row r="5753" spans="1:1" ht="11.75" customHeight="1">
      <c r="A5753" s="1990">
        <f>I103+K51</f>
        <v>36006.531012790423</v>
      </c>
    </row>
    <row r="5754" spans="1:1" ht="11.75" customHeight="1">
      <c r="A5754" s="1989">
        <f>1.21*G108*D20*24/1000*D101</f>
        <v>387079.06311359996</v>
      </c>
    </row>
    <row r="5755" spans="1:1" ht="11.75" customHeight="1">
      <c r="A5755" s="1989">
        <f>1.21*G108*D20*24/1000</f>
        <v>156.29328000000001</v>
      </c>
    </row>
    <row r="5756" spans="1:1" ht="11.75" customHeight="1">
      <c r="A5756" s="1989">
        <f>1.21*G108*D20*24</f>
        <v>156293.28</v>
      </c>
    </row>
    <row r="5757" spans="1:1" ht="11.75" customHeight="1">
      <c r="A5757" s="1989">
        <f>1.21*G108*D20</f>
        <v>6512.22</v>
      </c>
    </row>
    <row r="5758" spans="1:1" ht="11.75" customHeight="1">
      <c r="A5758" s="1989">
        <f>1.21*G108</f>
        <v>1.4157</v>
      </c>
    </row>
    <row r="5759" spans="1:1" ht="11.75" customHeight="1">
      <c r="A5759" s="1989" t="b">
        <f>D108="Measured"</f>
        <v>0</v>
      </c>
    </row>
    <row r="5760" spans="1:1" ht="11.75" customHeight="1">
      <c r="A5760" s="1989">
        <f>G109*D105/D101*3.6</f>
        <v>17.44312813431209</v>
      </c>
    </row>
    <row r="5761" spans="1:1" ht="11.75" customHeight="1">
      <c r="A5761" s="1989">
        <f>G109*D105</f>
        <v>12000</v>
      </c>
    </row>
    <row r="5762" spans="1:1" ht="11.75" customHeight="1">
      <c r="A5762" s="1989">
        <f>D101*3.6</f>
        <v>8915.8319999999985</v>
      </c>
    </row>
    <row r="5763" spans="1:1" ht="11.75" customHeight="1">
      <c r="A5763" s="1989">
        <f>IF(D108="AL-1A",0.89,IF(D108="AL-2A",0.71,IF(D108="AL-3A",0.53,IF(D108="AL-4A",0.35,IF(D108="AL-5A",0.21,IF(D108="AL-1B",1.17,IF(D108="AL-2B",0.98,IF(D108="AL-3B",0.78,IF(D108="AL-4B",0.59,IF(D108="AL-5B",0.39,IF(D108="AL-6B",0.23,IF(D108="PH Classic",0.6*D105/D101*3.6,IF(D108="PH Low",1*D105/D101*3.6,IF(D108="PH+",0.1))))))))))))))</f>
        <v>1.17</v>
      </c>
    </row>
    <row r="5764" spans="1:1" ht="11.75" customHeight="1">
      <c r="A5764" s="1989" t="b">
        <f>D108="AL-1A"</f>
        <v>0</v>
      </c>
    </row>
    <row r="5765" spans="1:1" ht="11.75" customHeight="1">
      <c r="A5765" s="1989">
        <f>IF(D108="AL-2A",0.71,IF(D108="AL-3A",0.53,IF(D108="AL-4A",0.35,IF(D108="AL-5A",0.21,IF(D108="AL-1B",1.17,IF(D108="AL-2B",0.98,IF(D108="AL-3B",0.78,IF(D108="AL-4B",0.59,IF(D108="AL-5B",0.39,IF(D108="AL-6B",0.23,IF(D108="PH Classic",0.6*D105/D101*3.6,IF(D108="PH Low",1*D105/D101*3.6,IF(D108="PH+",0.1)))))))))))))</f>
        <v>1.17</v>
      </c>
    </row>
    <row r="5766" spans="1:1" ht="11.75" customHeight="1">
      <c r="A5766" s="1989" t="b">
        <f>D108="AL-2A"</f>
        <v>0</v>
      </c>
    </row>
    <row r="5767" spans="1:1" ht="11.75" customHeight="1">
      <c r="A5767" s="1989">
        <f>IF(D108="AL-3A",0.53,IF(D108="AL-4A",0.35,IF(D108="AL-5A",0.21,IF(D108="AL-1B",1.17,IF(D108="AL-2B",0.98,IF(D108="AL-3B",0.78,IF(D108="AL-4B",0.59,IF(D108="AL-5B",0.39,IF(D108="AL-6B",0.23,IF(D108="PH Classic",0.6*D105/D101*3.6,IF(D108="PH Low",1*D105/D101*3.6,IF(D108="PH+",0.1))))))))))))</f>
        <v>1.17</v>
      </c>
    </row>
    <row r="5768" spans="1:1" ht="11.75" customHeight="1">
      <c r="A5768" s="1989" t="b">
        <f>D108="AL-3A"</f>
        <v>0</v>
      </c>
    </row>
    <row r="5769" spans="1:1" ht="11.75" customHeight="1">
      <c r="A5769" s="1989">
        <f>IF(D108="AL-4A",0.35,IF(D108="AL-5A",0.21,IF(D108="AL-1B",1.17,IF(D108="AL-2B",0.98,IF(D108="AL-3B",0.78,IF(D108="AL-4B",0.59,IF(D108="AL-5B",0.39,IF(D108="AL-6B",0.23,IF(D108="PH Classic",0.6*D105/D101*3.6,IF(D108="PH Low",1*D105/D101*3.6,IF(D108="PH+",0.1)))))))))))</f>
        <v>1.17</v>
      </c>
    </row>
    <row r="5770" spans="1:1" ht="11.75" customHeight="1">
      <c r="A5770" s="1989" t="b">
        <f>D108="AL-4A"</f>
        <v>0</v>
      </c>
    </row>
    <row r="5771" spans="1:1" ht="11.75" customHeight="1">
      <c r="A5771" s="1989">
        <f>IF(D108="AL-5A",0.21,IF(D108="AL-1B",1.17,IF(D108="AL-2B",0.98,IF(D108="AL-3B",0.78,IF(D108="AL-4B",0.59,IF(D108="AL-5B",0.39,IF(D108="AL-6B",0.23,IF(D108="PH Classic",0.6*D105/D101*3.6,IF(D108="PH Low",1*D105/D101*3.6,IF(D108="PH+",0.1))))))))))</f>
        <v>1.17</v>
      </c>
    </row>
    <row r="5772" spans="1:1" ht="11.75" customHeight="1">
      <c r="A5772" s="1989" t="b">
        <f>D108="AL-5A"</f>
        <v>0</v>
      </c>
    </row>
    <row r="5773" spans="1:1" ht="11.75" customHeight="1">
      <c r="A5773" s="1989">
        <f>IF(D108="AL-1B",1.17,IF(D108="AL-2B",0.98,IF(D108="AL-3B",0.78,IF(D108="AL-4B",0.59,IF(D108="AL-5B",0.39,IF(D108="AL-6B",0.23,IF(D108="PH Classic",0.6*D105/D101*3.6,IF(D108="PH Low",1*D105/D101*3.6,IF(D108="PH+",0.1)))))))))</f>
        <v>1.17</v>
      </c>
    </row>
    <row r="5774" spans="1:1" ht="11.75" customHeight="1">
      <c r="A5774" s="1989" t="b">
        <f>D108="AL-1B"</f>
        <v>1</v>
      </c>
    </row>
    <row r="5775" spans="1:1" ht="11.75" customHeight="1">
      <c r="A5775" s="1989" t="b">
        <f>IF(D108="AL-2B",0.98,IF(D108="AL-3B",0.78,IF(D108="AL-4B",0.59,IF(D108="AL-5B",0.39,IF(D108="AL-6B",0.23,IF(D108="PH Classic",0.6*D105/D101*3.6,IF(D108="PH Low",1*D105/D101*3.6,IF(D108="PH+",0.1))))))))</f>
        <v>0</v>
      </c>
    </row>
    <row r="5776" spans="1:1" ht="11.75" customHeight="1">
      <c r="A5776" s="1989" t="b">
        <f>D108="AL-2B"</f>
        <v>0</v>
      </c>
    </row>
    <row r="5777" spans="1:1" ht="11.75" customHeight="1">
      <c r="A5777" s="1989" t="b">
        <f>IF(D108="AL-3B",0.78,IF(D108="AL-4B",0.59,IF(D108="AL-5B",0.39,IF(D108="AL-6B",0.23,IF(D108="PH Classic",0.6*D105/D101*3.6,IF(D108="PH Low",1*D105/D101*3.6,IF(D108="PH+",0.1)))))))</f>
        <v>0</v>
      </c>
    </row>
    <row r="5778" spans="1:1" ht="11.75" customHeight="1">
      <c r="A5778" s="1989" t="b">
        <f>D108="AL-3B"</f>
        <v>0</v>
      </c>
    </row>
    <row r="5779" spans="1:1" ht="11.75" customHeight="1">
      <c r="A5779" s="1989" t="b">
        <f>IF(D108="AL-4B",0.59,IF(D108="AL-5B",0.39,IF(D108="AL-6B",0.23,IF(D108="PH Classic",0.6*D105/D101*3.6,IF(D108="PH Low",1*D105/D101*3.6,IF(D108="PH+",0.1))))))</f>
        <v>0</v>
      </c>
    </row>
    <row r="5780" spans="1:1" ht="11.75" customHeight="1">
      <c r="A5780" s="1989" t="b">
        <f>D108="AL-4B"</f>
        <v>0</v>
      </c>
    </row>
    <row r="5781" spans="1:1" ht="11.75" customHeight="1">
      <c r="A5781" s="1989" t="b">
        <f>IF(D108="AL-5B",0.39,IF(D108="AL-6B",0.23,IF(D108="PH Classic",0.6*D105/D101*3.6,IF(D108="PH Low",1*D105/D101*3.6,IF(D108="PH+",0.1)))))</f>
        <v>0</v>
      </c>
    </row>
    <row r="5782" spans="1:1" ht="11.75" customHeight="1">
      <c r="A5782" s="1989" t="b">
        <f>D108="AL-5B"</f>
        <v>0</v>
      </c>
    </row>
    <row r="5783" spans="1:1" ht="11.75" customHeight="1">
      <c r="A5783" s="1989" t="b">
        <f>IF(D108="AL-6B",0.23,IF(D108="PH Classic",0.6*D105/D101*3.6,IF(D108="PH Low",1*D105/D101*3.6,IF(D108="PH+",0.1))))</f>
        <v>0</v>
      </c>
    </row>
    <row r="5784" spans="1:1" ht="11.75" customHeight="1">
      <c r="A5784" s="1989" t="b">
        <f>D108="AL-6B"</f>
        <v>0</v>
      </c>
    </row>
    <row r="5785" spans="1:1" ht="11.75" customHeight="1">
      <c r="A5785" s="1989" t="b">
        <f>IF(D108="PH Classic",0.6*D105/D101*3.6,IF(D108="PH Low",1*D105/D101*3.6,IF(D108="PH+",0.1)))</f>
        <v>0</v>
      </c>
    </row>
    <row r="5786" spans="1:1" ht="11.75" customHeight="1">
      <c r="A5786" s="1989" t="b">
        <f>D108="PH Classic"</f>
        <v>0</v>
      </c>
    </row>
    <row r="5787" spans="1:1" ht="11.75" customHeight="1">
      <c r="A5787" s="1989">
        <f>0.6*D105/D101*3.6</f>
        <v>6.9772512537248366</v>
      </c>
    </row>
    <row r="5788" spans="1:1" ht="11.75" customHeight="1">
      <c r="A5788" s="1989">
        <f>0.6*D105</f>
        <v>4800</v>
      </c>
    </row>
    <row r="5789" spans="1:1" ht="11.75" customHeight="1">
      <c r="A5789" s="1989">
        <f>D101*3.6</f>
        <v>8915.8319999999985</v>
      </c>
    </row>
    <row r="5790" spans="1:1" ht="11.75" customHeight="1">
      <c r="A5790" s="1989" t="b">
        <f>IF(D108="PH Low",1*D105/D101*3.6,IF(D108="PH+",0.1))</f>
        <v>0</v>
      </c>
    </row>
    <row r="5791" spans="1:1" ht="11.75" customHeight="1">
      <c r="A5791" s="1989" t="b">
        <f>D108="PH Low"</f>
        <v>0</v>
      </c>
    </row>
    <row r="5792" spans="1:1" ht="11.75" customHeight="1">
      <c r="A5792" s="1989">
        <f>1*D105/D101*3.6</f>
        <v>11.628752089541393</v>
      </c>
    </row>
    <row r="5793" spans="1:1" ht="11.75" customHeight="1">
      <c r="A5793" s="1989">
        <f>1*D105</f>
        <v>8000</v>
      </c>
    </row>
    <row r="5794" spans="1:1" ht="11.75" customHeight="1">
      <c r="A5794" s="1989">
        <f>D101*3.6</f>
        <v>8915.8319999999985</v>
      </c>
    </row>
    <row r="5795" spans="1:1" ht="11.75" customHeight="1">
      <c r="A5795" s="1989" t="b">
        <f>IF(D108="PH+",0.1)</f>
        <v>0</v>
      </c>
    </row>
    <row r="5796" spans="1:1" ht="11.75" customHeight="1">
      <c r="A5796" s="1990">
        <f>H27-D43</f>
        <v>132765.64793897627</v>
      </c>
    </row>
    <row r="5797" spans="1:1" ht="11.75" customHeight="1">
      <c r="A5797" s="1989" t="b">
        <f>D113="Electricity"</f>
        <v>0</v>
      </c>
    </row>
    <row r="5798" spans="1:1" ht="11.75" customHeight="1">
      <c r="A5798" s="1990">
        <f>I103+K51+D117+M121+I101+I102+M43+SUM(H65:H67)</f>
        <v>265287.6445956853</v>
      </c>
    </row>
    <row r="5799" spans="1:1" ht="11.75" customHeight="1">
      <c r="A5799" s="1990">
        <f>I103+K51+D117+M121+I101+I102+M43</f>
        <v>180897.30859568529</v>
      </c>
    </row>
    <row r="5800" spans="1:1" ht="11.75" customHeight="1">
      <c r="A5800" s="1990">
        <f>I103+K51+D117+M121+I101+I102</f>
        <v>180897.30859568529</v>
      </c>
    </row>
    <row r="5801" spans="1:1" ht="11.75" customHeight="1">
      <c r="A5801" s="1990">
        <f>I103+K51+D117+M121+I101</f>
        <v>164109.06314703665</v>
      </c>
    </row>
    <row r="5802" spans="1:1" ht="11.75" customHeight="1">
      <c r="A5802" s="1990">
        <f>I103+K51+D117+M121</f>
        <v>88005.3704468098</v>
      </c>
    </row>
    <row r="5803" spans="1:1" ht="11.75" customHeight="1">
      <c r="A5803" s="1990">
        <f>I103+K51+D117</f>
        <v>39024.570446809812</v>
      </c>
    </row>
    <row r="5804" spans="1:1" ht="11.75" customHeight="1">
      <c r="A5804" s="1990">
        <f>I103+K51</f>
        <v>36006.531012790423</v>
      </c>
    </row>
    <row r="5805" spans="1:1" ht="11.75" customHeight="1">
      <c r="A5805" s="1989">
        <f>1.21*G108*D20*24/1000*D101</f>
        <v>387079.06311359996</v>
      </c>
    </row>
    <row r="5806" spans="1:1" ht="11.75" customHeight="1">
      <c r="A5806" s="1989">
        <f>1.21*G108*D20*24/1000</f>
        <v>156.29328000000001</v>
      </c>
    </row>
    <row r="5807" spans="1:1" ht="11.75" customHeight="1">
      <c r="A5807" s="1989">
        <f>1.21*G108*D20*24</f>
        <v>156293.28</v>
      </c>
    </row>
    <row r="5808" spans="1:1" ht="11.75" customHeight="1">
      <c r="A5808" s="1989">
        <f>1.21*G108*D20</f>
        <v>6512.22</v>
      </c>
    </row>
    <row r="5809" spans="1:1" ht="11.75" customHeight="1">
      <c r="A5809" s="1989">
        <f>1.21*G108</f>
        <v>1.4157</v>
      </c>
    </row>
    <row r="5810" spans="1:1" ht="11.75" customHeight="1">
      <c r="A5810" s="1989" t="b">
        <f>D108="Measured"</f>
        <v>0</v>
      </c>
    </row>
    <row r="5811" spans="1:1" ht="11.75" customHeight="1">
      <c r="A5811" s="1989">
        <f>G109*D105/D101*3.6</f>
        <v>17.44312813431209</v>
      </c>
    </row>
    <row r="5812" spans="1:1" ht="11.75" customHeight="1">
      <c r="A5812" s="1989">
        <f>G109*D105</f>
        <v>12000</v>
      </c>
    </row>
    <row r="5813" spans="1:1" ht="11.75" customHeight="1">
      <c r="A5813" s="1989">
        <f>D101*3.6</f>
        <v>8915.8319999999985</v>
      </c>
    </row>
    <row r="5814" spans="1:1" ht="11.75" customHeight="1">
      <c r="A5814" s="1989">
        <f>IF(D108="AL-1A",0.89,IF(D108="AL-2A",0.71,IF(D108="AL-3A",0.53,IF(D108="AL-4A",0.35,IF(D108="AL-5A",0.21,IF(D108="AL-1B",1.17,IF(D108="AL-2B",0.98,IF(D108="AL-3B",0.78,IF(D108="AL-4B",0.59,IF(D108="AL-5B",0.39,IF(D108="AL-6B",0.23,IF(D108="PH Classic",0.6*D105/D101*3.6,IF(D108="PH Low",1*D105/D101*3.6,IF(D108="PH+",0.1))))))))))))))</f>
        <v>1.17</v>
      </c>
    </row>
    <row r="5815" spans="1:1" ht="11.75" customHeight="1">
      <c r="A5815" s="1989" t="b">
        <f>D108="AL-1A"</f>
        <v>0</v>
      </c>
    </row>
    <row r="5816" spans="1:1" ht="11.75" customHeight="1">
      <c r="A5816" s="1989">
        <f>IF(D108="AL-2A",0.71,IF(D108="AL-3A",0.53,IF(D108="AL-4A",0.35,IF(D108="AL-5A",0.21,IF(D108="AL-1B",1.17,IF(D108="AL-2B",0.98,IF(D108="AL-3B",0.78,IF(D108="AL-4B",0.59,IF(D108="AL-5B",0.39,IF(D108="AL-6B",0.23,IF(D108="PH Classic",0.6*D105/D101*3.6,IF(D108="PH Low",1*D105/D101*3.6,IF(D108="PH+",0.1)))))))))))))</f>
        <v>1.17</v>
      </c>
    </row>
    <row r="5817" spans="1:1" ht="11.75" customHeight="1">
      <c r="A5817" s="1989" t="b">
        <f>D108="AL-2A"</f>
        <v>0</v>
      </c>
    </row>
    <row r="5818" spans="1:1" ht="11.75" customHeight="1">
      <c r="A5818" s="1989">
        <f>IF(D108="AL-3A",0.53,IF(D108="AL-4A",0.35,IF(D108="AL-5A",0.21,IF(D108="AL-1B",1.17,IF(D108="AL-2B",0.98,IF(D108="AL-3B",0.78,IF(D108="AL-4B",0.59,IF(D108="AL-5B",0.39,IF(D108="AL-6B",0.23,IF(D108="PH Classic",0.6*D105/D101*3.6,IF(D108="PH Low",1*D105/D101*3.6,IF(D108="PH+",0.1))))))))))))</f>
        <v>1.17</v>
      </c>
    </row>
    <row r="5819" spans="1:1" ht="11.75" customHeight="1">
      <c r="A5819" s="1989" t="b">
        <f>D108="AL-3A"</f>
        <v>0</v>
      </c>
    </row>
    <row r="5820" spans="1:1" ht="11.75" customHeight="1">
      <c r="A5820" s="1989">
        <f>IF(D108="AL-4A",0.35,IF(D108="AL-5A",0.21,IF(D108="AL-1B",1.17,IF(D108="AL-2B",0.98,IF(D108="AL-3B",0.78,IF(D108="AL-4B",0.59,IF(D108="AL-5B",0.39,IF(D108="AL-6B",0.23,IF(D108="PH Classic",0.6*D105/D101*3.6,IF(D108="PH Low",1*D105/D101*3.6,IF(D108="PH+",0.1)))))))))))</f>
        <v>1.17</v>
      </c>
    </row>
    <row r="5821" spans="1:1" ht="11.75" customHeight="1">
      <c r="A5821" s="1989" t="b">
        <f>D108="AL-4A"</f>
        <v>0</v>
      </c>
    </row>
    <row r="5822" spans="1:1" ht="11.75" customHeight="1">
      <c r="A5822" s="1989">
        <f>IF(D108="AL-5A",0.21,IF(D108="AL-1B",1.17,IF(D108="AL-2B",0.98,IF(D108="AL-3B",0.78,IF(D108="AL-4B",0.59,IF(D108="AL-5B",0.39,IF(D108="AL-6B",0.23,IF(D108="PH Classic",0.6*D105/D101*3.6,IF(D108="PH Low",1*D105/D101*3.6,IF(D108="PH+",0.1))))))))))</f>
        <v>1.17</v>
      </c>
    </row>
    <row r="5823" spans="1:1" ht="11.75" customHeight="1">
      <c r="A5823" s="1989" t="b">
        <f>D108="AL-5A"</f>
        <v>0</v>
      </c>
    </row>
    <row r="5824" spans="1:1" ht="11.75" customHeight="1">
      <c r="A5824" s="1989">
        <f>IF(D108="AL-1B",1.17,IF(D108="AL-2B",0.98,IF(D108="AL-3B",0.78,IF(D108="AL-4B",0.59,IF(D108="AL-5B",0.39,IF(D108="AL-6B",0.23,IF(D108="PH Classic",0.6*D105/D101*3.6,IF(D108="PH Low",1*D105/D101*3.6,IF(D108="PH+",0.1)))))))))</f>
        <v>1.17</v>
      </c>
    </row>
    <row r="5825" spans="1:1" ht="11.75" customHeight="1">
      <c r="A5825" s="1989" t="b">
        <f>D108="AL-1B"</f>
        <v>1</v>
      </c>
    </row>
    <row r="5826" spans="1:1" ht="11.75" customHeight="1">
      <c r="A5826" s="1989" t="b">
        <f>IF(D108="AL-2B",0.98,IF(D108="AL-3B",0.78,IF(D108="AL-4B",0.59,IF(D108="AL-5B",0.39,IF(D108="AL-6B",0.23,IF(D108="PH Classic",0.6*D105/D101*3.6,IF(D108="PH Low",1*D105/D101*3.6,IF(D108="PH+",0.1))))))))</f>
        <v>0</v>
      </c>
    </row>
    <row r="5827" spans="1:1" ht="11.75" customHeight="1">
      <c r="A5827" s="1989" t="b">
        <f>D108="AL-2B"</f>
        <v>0</v>
      </c>
    </row>
    <row r="5828" spans="1:1" ht="11.75" customHeight="1">
      <c r="A5828" s="1989" t="b">
        <f>IF(D108="AL-3B",0.78,IF(D108="AL-4B",0.59,IF(D108="AL-5B",0.39,IF(D108="AL-6B",0.23,IF(D108="PH Classic",0.6*D105/D101*3.6,IF(D108="PH Low",1*D105/D101*3.6,IF(D108="PH+",0.1)))))))</f>
        <v>0</v>
      </c>
    </row>
    <row r="5829" spans="1:1" ht="11.75" customHeight="1">
      <c r="A5829" s="1989" t="b">
        <f>D108="AL-3B"</f>
        <v>0</v>
      </c>
    </row>
    <row r="5830" spans="1:1" ht="11.75" customHeight="1">
      <c r="A5830" s="1989" t="b">
        <f>IF(D108="AL-4B",0.59,IF(D108="AL-5B",0.39,IF(D108="AL-6B",0.23,IF(D108="PH Classic",0.6*D105/D101*3.6,IF(D108="PH Low",1*D105/D101*3.6,IF(D108="PH+",0.1))))))</f>
        <v>0</v>
      </c>
    </row>
    <row r="5831" spans="1:1" ht="11.75" customHeight="1">
      <c r="A5831" s="1989" t="b">
        <f>D108="AL-4B"</f>
        <v>0</v>
      </c>
    </row>
    <row r="5832" spans="1:1" ht="11.75" customHeight="1">
      <c r="A5832" s="1989" t="b">
        <f>IF(D108="AL-5B",0.39,IF(D108="AL-6B",0.23,IF(D108="PH Classic",0.6*D105/D101*3.6,IF(D108="PH Low",1*D105/D101*3.6,IF(D108="PH+",0.1)))))</f>
        <v>0</v>
      </c>
    </row>
    <row r="5833" spans="1:1" ht="11.75" customHeight="1">
      <c r="A5833" s="1989" t="b">
        <f>D108="AL-5B"</f>
        <v>0</v>
      </c>
    </row>
    <row r="5834" spans="1:1" ht="11.75" customHeight="1">
      <c r="A5834" s="1989" t="b">
        <f>IF(D108="AL-6B",0.23,IF(D108="PH Classic",0.6*D105/D101*3.6,IF(D108="PH Low",1*D105/D101*3.6,IF(D108="PH+",0.1))))</f>
        <v>0</v>
      </c>
    </row>
    <row r="5835" spans="1:1" ht="11.75" customHeight="1">
      <c r="A5835" s="1989" t="b">
        <f>D108="AL-6B"</f>
        <v>0</v>
      </c>
    </row>
    <row r="5836" spans="1:1" ht="11.75" customHeight="1">
      <c r="A5836" s="1989" t="b">
        <f>IF(D108="PH Classic",0.6*D105/D101*3.6,IF(D108="PH Low",1*D105/D101*3.6,IF(D108="PH+",0.1)))</f>
        <v>0</v>
      </c>
    </row>
    <row r="5837" spans="1:1" ht="11.75" customHeight="1">
      <c r="A5837" s="1989" t="b">
        <f>D108="PH Classic"</f>
        <v>0</v>
      </c>
    </row>
    <row r="5838" spans="1:1" ht="11.75" customHeight="1">
      <c r="A5838" s="1989">
        <f>0.6*D105/D101*3.6</f>
        <v>6.9772512537248366</v>
      </c>
    </row>
    <row r="5839" spans="1:1" ht="11.75" customHeight="1">
      <c r="A5839" s="1989">
        <f>0.6*D105</f>
        <v>4800</v>
      </c>
    </row>
    <row r="5840" spans="1:1" ht="11.75" customHeight="1">
      <c r="A5840" s="1989">
        <f>D101*3.6</f>
        <v>8915.8319999999985</v>
      </c>
    </row>
    <row r="5841" spans="1:1" ht="11.75" customHeight="1">
      <c r="A5841" s="1989" t="b">
        <f>IF(D108="PH Low",1*D105/D101*3.6,IF(D108="PH+",0.1))</f>
        <v>0</v>
      </c>
    </row>
    <row r="5842" spans="1:1" ht="11.75" customHeight="1">
      <c r="A5842" s="1989" t="b">
        <f>D108="PH Low"</f>
        <v>0</v>
      </c>
    </row>
    <row r="5843" spans="1:1" ht="11.75" customHeight="1">
      <c r="A5843" s="1989">
        <f>1*D105/D101*3.6</f>
        <v>11.628752089541393</v>
      </c>
    </row>
    <row r="5844" spans="1:1" ht="11.75" customHeight="1">
      <c r="A5844" s="1989">
        <f>1*D105</f>
        <v>8000</v>
      </c>
    </row>
    <row r="5845" spans="1:1" ht="11.75" customHeight="1">
      <c r="A5845" s="1989">
        <f>D101*3.6</f>
        <v>8915.8319999999985</v>
      </c>
    </row>
    <row r="5846" spans="1:1" ht="11.75" customHeight="1">
      <c r="A5846" s="1989" t="b">
        <f>IF(D108="PH+",0.1)</f>
        <v>0</v>
      </c>
    </row>
    <row r="5847" spans="1:1" ht="11.75" customHeight="1">
      <c r="A5847" s="1989" t="b">
        <f>D108="PH+"</f>
        <v>0</v>
      </c>
    </row>
    <row r="5848" spans="1:1" ht="11.75" customHeight="1">
      <c r="A5848" s="1989">
        <f>IF(H20="Present",VLOOKUP(H19,CANADA!A6:K699,9,FALSE),VLOOKUP(H19,CANADA!A6:K699,11,FALSE))</f>
        <v>4600</v>
      </c>
    </row>
    <row r="5849" spans="1:1" ht="11.75" customHeight="1">
      <c r="A5849" s="1990">
        <f>H27-D43</f>
        <v>132765.64793897627</v>
      </c>
    </row>
    <row r="5850" spans="1:1" ht="11.75" customHeight="1">
      <c r="A5850" s="1989" t="b">
        <f>D113="Electricity"</f>
        <v>0</v>
      </c>
    </row>
    <row r="5851" spans="1:1" ht="11.75" customHeight="1">
      <c r="A5851" s="1990">
        <f>I103+K51+D117+M121+I101+I102+M43+SUM(H65:H67)</f>
        <v>265287.6445956853</v>
      </c>
    </row>
    <row r="5852" spans="1:1" ht="11.75" customHeight="1">
      <c r="A5852" s="1990">
        <f>I103+K51+D117+M121+I101+I102+M43</f>
        <v>180897.30859568529</v>
      </c>
    </row>
    <row r="5853" spans="1:1" ht="11.75" customHeight="1">
      <c r="A5853" s="1990">
        <f>I103+K51+D117+M121+I101+I102</f>
        <v>180897.30859568529</v>
      </c>
    </row>
    <row r="5854" spans="1:1" ht="11.75" customHeight="1">
      <c r="A5854" s="1990">
        <f>I103+K51+D117+M121+I101</f>
        <v>164109.06314703665</v>
      </c>
    </row>
    <row r="5855" spans="1:1" ht="11.75" customHeight="1">
      <c r="A5855" s="1990">
        <f>I103+K51+D117+M121</f>
        <v>88005.3704468098</v>
      </c>
    </row>
    <row r="5856" spans="1:1" ht="11.75" customHeight="1">
      <c r="A5856" s="1990">
        <f>I103+K51+D117</f>
        <v>39024.570446809812</v>
      </c>
    </row>
    <row r="5857" spans="1:1" ht="11.75" customHeight="1">
      <c r="A5857" s="1990">
        <f>I103+K51</f>
        <v>36006.531012790423</v>
      </c>
    </row>
    <row r="5858" spans="1:1" ht="11.75" customHeight="1">
      <c r="A5858" s="1989">
        <f>1.21*G108*D20*24/1000*D101</f>
        <v>387079.06311359996</v>
      </c>
    </row>
    <row r="5859" spans="1:1" ht="11.75" customHeight="1">
      <c r="A5859" s="1989">
        <f>1.21*G108*D20*24/1000</f>
        <v>156.29328000000001</v>
      </c>
    </row>
    <row r="5860" spans="1:1" ht="11.75" customHeight="1">
      <c r="A5860" s="1989">
        <f>1.21*G108*D20*24</f>
        <v>156293.28</v>
      </c>
    </row>
    <row r="5861" spans="1:1" ht="11.75" customHeight="1">
      <c r="A5861" s="1989">
        <f>1.21*G108*D20</f>
        <v>6512.22</v>
      </c>
    </row>
    <row r="5862" spans="1:1" ht="11.75" customHeight="1">
      <c r="A5862" s="1989">
        <f>1.21*G108</f>
        <v>1.4157</v>
      </c>
    </row>
    <row r="5863" spans="1:1" ht="11.75" customHeight="1">
      <c r="A5863" s="1989" t="b">
        <f>D108="Measured"</f>
        <v>0</v>
      </c>
    </row>
    <row r="5864" spans="1:1" ht="11.75" customHeight="1">
      <c r="A5864" s="1989">
        <f>G109*D105/D101*3.6</f>
        <v>17.44312813431209</v>
      </c>
    </row>
    <row r="5865" spans="1:1" ht="11.75" customHeight="1">
      <c r="A5865" s="1989">
        <f>G109*D105</f>
        <v>12000</v>
      </c>
    </row>
    <row r="5866" spans="1:1" ht="11.75" customHeight="1">
      <c r="A5866" s="1989">
        <f>D101*3.6</f>
        <v>8915.8319999999985</v>
      </c>
    </row>
    <row r="5867" spans="1:1" ht="11.75" customHeight="1">
      <c r="A5867" s="1989">
        <f>IF(D108="AL-1A",0.89,IF(D108="AL-2A",0.71,IF(D108="AL-3A",0.53,IF(D108="AL-4A",0.35,IF(D108="AL-5A",0.21,IF(D108="AL-1B",1.17,IF(D108="AL-2B",0.98,IF(D108="AL-3B",0.78,IF(D108="AL-4B",0.59,IF(D108="AL-5B",0.39,IF(D108="AL-6B",0.23,IF(D108="PH Classic",0.6*D105/D101*3.6,IF(D108="PH Low",1*D105/D101*3.6,IF(D108="PH+",0.1))))))))))))))</f>
        <v>1.17</v>
      </c>
    </row>
    <row r="5868" spans="1:1" ht="11.75" customHeight="1">
      <c r="A5868" s="1989" t="b">
        <f>D108="AL-1A"</f>
        <v>0</v>
      </c>
    </row>
    <row r="5869" spans="1:1" ht="11.75" customHeight="1">
      <c r="A5869" s="1989">
        <f>IF(D108="AL-2A",0.71,IF(D108="AL-3A",0.53,IF(D108="AL-4A",0.35,IF(D108="AL-5A",0.21,IF(D108="AL-1B",1.17,IF(D108="AL-2B",0.98,IF(D108="AL-3B",0.78,IF(D108="AL-4B",0.59,IF(D108="AL-5B",0.39,IF(D108="AL-6B",0.23,IF(D108="PH Classic",0.6*D105/D101*3.6,IF(D108="PH Low",1*D105/D101*3.6,IF(D108="PH+",0.1)))))))))))))</f>
        <v>1.17</v>
      </c>
    </row>
    <row r="5870" spans="1:1" ht="11.75" customHeight="1">
      <c r="A5870" s="1989" t="b">
        <f>D108="AL-2A"</f>
        <v>0</v>
      </c>
    </row>
    <row r="5871" spans="1:1" ht="11.75" customHeight="1">
      <c r="A5871" s="1989">
        <f>IF(D108="AL-3A",0.53,IF(D108="AL-4A",0.35,IF(D108="AL-5A",0.21,IF(D108="AL-1B",1.17,IF(D108="AL-2B",0.98,IF(D108="AL-3B",0.78,IF(D108="AL-4B",0.59,IF(D108="AL-5B",0.39,IF(D108="AL-6B",0.23,IF(D108="PH Classic",0.6*D105/D101*3.6,IF(D108="PH Low",1*D105/D101*3.6,IF(D108="PH+",0.1))))))))))))</f>
        <v>1.17</v>
      </c>
    </row>
    <row r="5872" spans="1:1" ht="11.75" customHeight="1">
      <c r="A5872" s="1989" t="b">
        <f>D108="AL-3A"</f>
        <v>0</v>
      </c>
    </row>
    <row r="5873" spans="1:1" ht="11.75" customHeight="1">
      <c r="A5873" s="1989">
        <f>IF(D108="AL-4A",0.35,IF(D108="AL-5A",0.21,IF(D108="AL-1B",1.17,IF(D108="AL-2B",0.98,IF(D108="AL-3B",0.78,IF(D108="AL-4B",0.59,IF(D108="AL-5B",0.39,IF(D108="AL-6B",0.23,IF(D108="PH Classic",0.6*D105/D101*3.6,IF(D108="PH Low",1*D105/D101*3.6,IF(D108="PH+",0.1)))))))))))</f>
        <v>1.17</v>
      </c>
    </row>
    <row r="5874" spans="1:1" ht="11.75" customHeight="1">
      <c r="A5874" s="1989" t="b">
        <f>D108="AL-4A"</f>
        <v>0</v>
      </c>
    </row>
    <row r="5875" spans="1:1" ht="11.75" customHeight="1">
      <c r="A5875" s="1989">
        <f>IF(D108="AL-5A",0.21,IF(D108="AL-1B",1.17,IF(D108="AL-2B",0.98,IF(D108="AL-3B",0.78,IF(D108="AL-4B",0.59,IF(D108="AL-5B",0.39,IF(D108="AL-6B",0.23,IF(D108="PH Classic",0.6*D105/D101*3.6,IF(D108="PH Low",1*D105/D101*3.6,IF(D108="PH+",0.1))))))))))</f>
        <v>1.17</v>
      </c>
    </row>
    <row r="5876" spans="1:1" ht="11.75" customHeight="1">
      <c r="A5876" s="1989" t="b">
        <f>D108="AL-5A"</f>
        <v>0</v>
      </c>
    </row>
    <row r="5877" spans="1:1" ht="11.75" customHeight="1">
      <c r="A5877" s="1989">
        <f>IF(D108="AL-1B",1.17,IF(D108="AL-2B",0.98,IF(D108="AL-3B",0.78,IF(D108="AL-4B",0.59,IF(D108="AL-5B",0.39,IF(D108="AL-6B",0.23,IF(D108="PH Classic",0.6*D105/D101*3.6,IF(D108="PH Low",1*D105/D101*3.6,IF(D108="PH+",0.1)))))))))</f>
        <v>1.17</v>
      </c>
    </row>
    <row r="5878" spans="1:1" ht="11.75" customHeight="1">
      <c r="A5878" s="1989" t="b">
        <f>D108="AL-1B"</f>
        <v>1</v>
      </c>
    </row>
    <row r="5879" spans="1:1" ht="11.75" customHeight="1">
      <c r="A5879" s="1989" t="b">
        <f>IF(D108="AL-2B",0.98,IF(D108="AL-3B",0.78,IF(D108="AL-4B",0.59,IF(D108="AL-5B",0.39,IF(D108="AL-6B",0.23,IF(D108="PH Classic",0.6*D105/D101*3.6,IF(D108="PH Low",1*D105/D101*3.6,IF(D108="PH+",0.1))))))))</f>
        <v>0</v>
      </c>
    </row>
    <row r="5880" spans="1:1" ht="11.75" customHeight="1">
      <c r="A5880" s="1989" t="b">
        <f>D108="AL-2B"</f>
        <v>0</v>
      </c>
    </row>
    <row r="5881" spans="1:1" ht="11.75" customHeight="1">
      <c r="A5881" s="1989" t="b">
        <f>IF(D108="AL-3B",0.78,IF(D108="AL-4B",0.59,IF(D108="AL-5B",0.39,IF(D108="AL-6B",0.23,IF(D108="PH Classic",0.6*D105/D101*3.6,IF(D108="PH Low",1*D105/D101*3.6,IF(D108="PH+",0.1)))))))</f>
        <v>0</v>
      </c>
    </row>
    <row r="5882" spans="1:1" ht="11.75" customHeight="1">
      <c r="A5882" s="1989" t="b">
        <f>D108="AL-3B"</f>
        <v>0</v>
      </c>
    </row>
    <row r="5883" spans="1:1" ht="11.75" customHeight="1">
      <c r="A5883" s="1989" t="b">
        <f>IF(D108="AL-4B",0.59,IF(D108="AL-5B",0.39,IF(D108="AL-6B",0.23,IF(D108="PH Classic",0.6*D105/D101*3.6,IF(D108="PH Low",1*D105/D101*3.6,IF(D108="PH+",0.1))))))</f>
        <v>0</v>
      </c>
    </row>
    <row r="5884" spans="1:1" ht="11.75" customHeight="1">
      <c r="A5884" s="1989" t="b">
        <f>D108="AL-4B"</f>
        <v>0</v>
      </c>
    </row>
    <row r="5885" spans="1:1" ht="11.75" customHeight="1">
      <c r="A5885" s="1989" t="b">
        <f>IF(D108="AL-5B",0.39,IF(D108="AL-6B",0.23,IF(D108="PH Classic",0.6*D105/D101*3.6,IF(D108="PH Low",1*D105/D101*3.6,IF(D108="PH+",0.1)))))</f>
        <v>0</v>
      </c>
    </row>
    <row r="5886" spans="1:1" ht="11.75" customHeight="1">
      <c r="A5886" s="1989" t="b">
        <f>D108="AL-5B"</f>
        <v>0</v>
      </c>
    </row>
    <row r="5887" spans="1:1" ht="11.75" customHeight="1">
      <c r="A5887" s="1989" t="b">
        <f>IF(D108="AL-6B",0.23,IF(D108="PH Classic",0.6*D105/D101*3.6,IF(D108="PH Low",1*D105/D101*3.6,IF(D108="PH+",0.1))))</f>
        <v>0</v>
      </c>
    </row>
    <row r="5888" spans="1:1" ht="11.75" customHeight="1">
      <c r="A5888" s="1989" t="b">
        <f>D108="AL-6B"</f>
        <v>0</v>
      </c>
    </row>
    <row r="5889" spans="1:1" ht="11.75" customHeight="1">
      <c r="A5889" s="1989" t="b">
        <f>IF(D108="PH Classic",0.6*D105/D101*3.6,IF(D108="PH Low",1*D105/D101*3.6,IF(D108="PH+",0.1)))</f>
        <v>0</v>
      </c>
    </row>
    <row r="5890" spans="1:1" ht="11.75" customHeight="1">
      <c r="A5890" s="1989" t="b">
        <f>D108="PH Classic"</f>
        <v>0</v>
      </c>
    </row>
    <row r="5891" spans="1:1" ht="11.75" customHeight="1">
      <c r="A5891" s="1989">
        <f>0.6*D105/D101*3.6</f>
        <v>6.9772512537248366</v>
      </c>
    </row>
    <row r="5892" spans="1:1" ht="11.75" customHeight="1">
      <c r="A5892" s="1989">
        <f>0.6*D105</f>
        <v>4800</v>
      </c>
    </row>
    <row r="5893" spans="1:1" ht="11.75" customHeight="1">
      <c r="A5893" s="1989">
        <f>D101*3.6</f>
        <v>8915.8319999999985</v>
      </c>
    </row>
    <row r="5894" spans="1:1" ht="11.75" customHeight="1">
      <c r="A5894" s="1989" t="b">
        <f>IF(D108="PH Low",1*D105/D101*3.6,IF(D108="PH+",0.1))</f>
        <v>0</v>
      </c>
    </row>
    <row r="5895" spans="1:1" ht="11.75" customHeight="1">
      <c r="A5895" s="1989" t="b">
        <f>D108="PH Low"</f>
        <v>0</v>
      </c>
    </row>
    <row r="5896" spans="1:1" ht="11.75" customHeight="1">
      <c r="A5896" s="1989">
        <f>1*D105/D101*3.6</f>
        <v>11.628752089541393</v>
      </c>
    </row>
    <row r="5897" spans="1:1" ht="11.75" customHeight="1">
      <c r="A5897" s="1989">
        <f>1*D105</f>
        <v>8000</v>
      </c>
    </row>
    <row r="5898" spans="1:1" ht="11.75" customHeight="1">
      <c r="A5898" s="1989">
        <f>D101*3.6</f>
        <v>8915.8319999999985</v>
      </c>
    </row>
    <row r="5899" spans="1:1" ht="11.75" customHeight="1">
      <c r="A5899" s="1989" t="b">
        <f>IF(D108="PH+",0.1)</f>
        <v>0</v>
      </c>
    </row>
    <row r="5900" spans="1:1" ht="11.75" customHeight="1">
      <c r="A5900" s="1989" t="b">
        <f>D108="PH+"</f>
        <v>0</v>
      </c>
    </row>
    <row r="5901" spans="1:1" ht="11.75" customHeight="1">
      <c r="A5901" s="1989">
        <f>IF(H20="Present",VLOOKUP(H19,CANADA!A6:K699,9,FALSE),VLOOKUP(H19,CANADA!A6:K699,11,FALSE))</f>
        <v>4600</v>
      </c>
    </row>
    <row r="5902" spans="1:1" ht="11.75" customHeight="1">
      <c r="A5902" s="1989">
        <f>MATCH('NRL50-n-Factors'!D34,'NRL50-n-Factors'!C38:C49,0)</f>
        <v>5</v>
      </c>
    </row>
    <row r="5903" spans="1:1" ht="11.75" customHeight="1">
      <c r="A5903" s="1989">
        <f>MATCH(REPORT!D103,'NRL50-n-Factors'!D37:J37,0)</f>
        <v>2</v>
      </c>
    </row>
    <row r="5904" spans="1:1" ht="11.75" customHeight="1">
      <c r="A5904" s="1989" t="b">
        <f>D51="Gas"</f>
        <v>0</v>
      </c>
    </row>
    <row r="5905" spans="1:1" ht="11.75" customHeight="1">
      <c r="A5905" s="1990">
        <f>H27-D43</f>
        <v>132765.64793897627</v>
      </c>
    </row>
    <row r="5906" spans="1:1" ht="11.75" customHeight="1">
      <c r="A5906" s="1989" t="b">
        <f>IF(D108="AL-5B",0.39,IF(D108="AL-6B",0.23,IF(D108="PH Classic",0.6*D105/D101*3.6,IF(D108="PH Low",1*D105/D101*3.6,IF(D108="PH+",0.1)))))</f>
        <v>0</v>
      </c>
    </row>
    <row r="5907" spans="1:1" ht="11.75" customHeight="1">
      <c r="A5907" s="1989" t="b">
        <f>D108="AL-5B"</f>
        <v>0</v>
      </c>
    </row>
    <row r="5908" spans="1:1" ht="11.75" customHeight="1">
      <c r="A5908" s="1989" t="b">
        <f>IF(D108="AL-6B",0.23,IF(D108="PH Classic",0.6*D105/D101*3.6,IF(D108="PH Low",1*D105/D101*3.6,IF(D108="PH+",0.1))))</f>
        <v>0</v>
      </c>
    </row>
    <row r="5909" spans="1:1" ht="11.75" customHeight="1">
      <c r="A5909" s="1989" t="b">
        <f>D108="AL-6B"</f>
        <v>0</v>
      </c>
    </row>
    <row r="5910" spans="1:1" ht="11.75" customHeight="1">
      <c r="A5910" s="1989" t="b">
        <f>IF(D108="PH Classic",0.6*D105/D101*3.6,IF(D108="PH Low",1*D105/D101*3.6,IF(D108="PH+",0.1)))</f>
        <v>0</v>
      </c>
    </row>
    <row r="5911" spans="1:1" ht="11.75" customHeight="1">
      <c r="A5911" s="1989" t="b">
        <f>D108="PH Classic"</f>
        <v>0</v>
      </c>
    </row>
    <row r="5912" spans="1:1" ht="11.75" customHeight="1">
      <c r="A5912" s="1989">
        <f>0.6*D105/D101*3.6</f>
        <v>6.9772512537248366</v>
      </c>
    </row>
    <row r="5913" spans="1:1" ht="11.75" customHeight="1">
      <c r="A5913" s="1989">
        <f>0.6*D105</f>
        <v>4800</v>
      </c>
    </row>
    <row r="5914" spans="1:1" ht="11.75" customHeight="1">
      <c r="A5914" s="1989">
        <f>D101*3.6</f>
        <v>8915.8319999999985</v>
      </c>
    </row>
    <row r="5915" spans="1:1" ht="11.75" customHeight="1">
      <c r="A5915" s="1989" t="b">
        <f>IF(D108="PH Low",1*D105/D101*3.6,IF(D108="PH+",0.1))</f>
        <v>0</v>
      </c>
    </row>
    <row r="5916" spans="1:1" ht="11.75" customHeight="1">
      <c r="A5916" s="1989" t="b">
        <f>D108="PH Low"</f>
        <v>0</v>
      </c>
    </row>
    <row r="5917" spans="1:1" ht="11.75" customHeight="1">
      <c r="A5917" s="1989">
        <f>1*D105/D101*3.6</f>
        <v>11.628752089541393</v>
      </c>
    </row>
    <row r="5918" spans="1:1" ht="11.75" customHeight="1">
      <c r="A5918" s="1989">
        <f>1*D105</f>
        <v>8000</v>
      </c>
    </row>
    <row r="5919" spans="1:1" ht="11.75" customHeight="1">
      <c r="A5919" s="1989">
        <f>D101*3.6</f>
        <v>8915.8319999999985</v>
      </c>
    </row>
    <row r="5920" spans="1:1" ht="11.75" customHeight="1">
      <c r="A5920" s="1990">
        <f>H27-D43</f>
        <v>132765.64793897627</v>
      </c>
    </row>
    <row r="5921" spans="1:1" ht="11.75" customHeight="1">
      <c r="A5921" s="1989" t="b">
        <f>D113="Electricity"</f>
        <v>0</v>
      </c>
    </row>
    <row r="5922" spans="1:1" ht="11.75" customHeight="1">
      <c r="A5922" s="1990">
        <f>I103+K51+D117+M121+I101+I102+M43+SUM(H65:H67)</f>
        <v>265287.6445956853</v>
      </c>
    </row>
    <row r="5923" spans="1:1" ht="11.75" customHeight="1">
      <c r="A5923" s="1990">
        <f>I103+K51+D117+M121+I101+I102+M43</f>
        <v>180897.30859568529</v>
      </c>
    </row>
    <row r="5924" spans="1:1" ht="11.75" customHeight="1">
      <c r="A5924" s="1990">
        <f>I103+K51+D117+M121+I101+I102</f>
        <v>180897.30859568529</v>
      </c>
    </row>
    <row r="5925" spans="1:1" ht="11.75" customHeight="1">
      <c r="A5925" s="1990">
        <f>I103+K51+D117+M121+I101</f>
        <v>164109.06314703665</v>
      </c>
    </row>
    <row r="5926" spans="1:1" ht="11.75" customHeight="1">
      <c r="A5926" s="1990">
        <f>I103+K51+D117+M121</f>
        <v>88005.3704468098</v>
      </c>
    </row>
    <row r="5927" spans="1:1" ht="11.75" customHeight="1">
      <c r="A5927" s="1990">
        <f>I103+K51+D117</f>
        <v>39024.570446809812</v>
      </c>
    </row>
    <row r="5928" spans="1:1" ht="11.75" customHeight="1">
      <c r="A5928" s="1990">
        <f>I103+K51</f>
        <v>36006.531012790423</v>
      </c>
    </row>
    <row r="5929" spans="1:1" ht="11.75" customHeight="1">
      <c r="A5929" s="1989">
        <f>1.21*G108*D20*24/1000*D101</f>
        <v>387079.06311359996</v>
      </c>
    </row>
    <row r="5930" spans="1:1" ht="11.75" customHeight="1">
      <c r="A5930" s="1989">
        <f>1.21*G108*D20*24/1000</f>
        <v>156.29328000000001</v>
      </c>
    </row>
    <row r="5931" spans="1:1" ht="11.75" customHeight="1">
      <c r="A5931" s="1989">
        <f>1.21*G108*D20*24</f>
        <v>156293.28</v>
      </c>
    </row>
    <row r="5932" spans="1:1" ht="11.75" customHeight="1">
      <c r="A5932" s="1989">
        <f>1.21*G108*D20</f>
        <v>6512.22</v>
      </c>
    </row>
    <row r="5933" spans="1:1" ht="11.75" customHeight="1">
      <c r="A5933" s="1989">
        <f>1.21*G108</f>
        <v>1.4157</v>
      </c>
    </row>
    <row r="5934" spans="1:1" ht="11.75" customHeight="1">
      <c r="A5934" s="1989" t="b">
        <f>D108="Measured"</f>
        <v>0</v>
      </c>
    </row>
    <row r="5935" spans="1:1" ht="11.75" customHeight="1">
      <c r="A5935" s="1989">
        <f>G109*D105/D101*3.6</f>
        <v>17.44312813431209</v>
      </c>
    </row>
    <row r="5936" spans="1:1" ht="11.75" customHeight="1">
      <c r="A5936" s="1989">
        <f>G109*D105</f>
        <v>12000</v>
      </c>
    </row>
    <row r="5937" spans="1:1" ht="11.75" customHeight="1">
      <c r="A5937" s="1989">
        <f>D101*3.6</f>
        <v>8915.8319999999985</v>
      </c>
    </row>
    <row r="5938" spans="1:1" ht="11.75" customHeight="1">
      <c r="A5938" s="1989">
        <f>IF(D108="AL-1A",0.89,IF(D108="AL-2A",0.71,IF(D108="AL-3A",0.53,IF(D108="AL-4A",0.35,IF(D108="AL-5A",0.21,IF(D108="AL-1B",1.17,IF(D108="AL-2B",0.98,IF(D108="AL-3B",0.78,IF(D108="AL-4B",0.59,IF(D108="AL-5B",0.39,IF(D108="AL-6B",0.23,IF(D108="PH Classic",0.6*D105/D101*3.6,IF(D108="PH Low",1*D105/D101*3.6,IF(D108="PH+",0.1))))))))))))))</f>
        <v>1.17</v>
      </c>
    </row>
    <row r="5939" spans="1:1" ht="11.75" customHeight="1">
      <c r="A5939" s="1989" t="b">
        <f>D108="AL-1A"</f>
        <v>0</v>
      </c>
    </row>
    <row r="5940" spans="1:1" ht="11.75" customHeight="1">
      <c r="A5940" s="1989">
        <f>IF(D108="AL-2A",0.71,IF(D108="AL-3A",0.53,IF(D108="AL-4A",0.35,IF(D108="AL-5A",0.21,IF(D108="AL-1B",1.17,IF(D108="AL-2B",0.98,IF(D108="AL-3B",0.78,IF(D108="AL-4B",0.59,IF(D108="AL-5B",0.39,IF(D108="AL-6B",0.23,IF(D108="PH Classic",0.6*D105/D101*3.6,IF(D108="PH Low",1*D105/D101*3.6,IF(D108="PH+",0.1)))))))))))))</f>
        <v>1.17</v>
      </c>
    </row>
    <row r="5941" spans="1:1" ht="11.75" customHeight="1">
      <c r="A5941" s="1989" t="b">
        <f>D108="AL-2A"</f>
        <v>0</v>
      </c>
    </row>
    <row r="5942" spans="1:1" ht="11.75" customHeight="1">
      <c r="A5942" s="1989">
        <f>IF(D108="AL-3A",0.53,IF(D108="AL-4A",0.35,IF(D108="AL-5A",0.21,IF(D108="AL-1B",1.17,IF(D108="AL-2B",0.98,IF(D108="AL-3B",0.78,IF(D108="AL-4B",0.59,IF(D108="AL-5B",0.39,IF(D108="AL-6B",0.23,IF(D108="PH Classic",0.6*D105/D101*3.6,IF(D108="PH Low",1*D105/D101*3.6,IF(D108="PH+",0.1))))))))))))</f>
        <v>1.17</v>
      </c>
    </row>
    <row r="5943" spans="1:1" ht="11.75" customHeight="1">
      <c r="A5943" s="1989" t="b">
        <f>D108="AL-3A"</f>
        <v>0</v>
      </c>
    </row>
    <row r="5944" spans="1:1" ht="11.75" customHeight="1">
      <c r="A5944" s="1989">
        <f>IF(D108="AL-4A",0.35,IF(D108="AL-5A",0.21,IF(D108="AL-1B",1.17,IF(D108="AL-2B",0.98,IF(D108="AL-3B",0.78,IF(D108="AL-4B",0.59,IF(D108="AL-5B",0.39,IF(D108="AL-6B",0.23,IF(D108="PH Classic",0.6*D105/D101*3.6,IF(D108="PH Low",1*D105/D101*3.6,IF(D108="PH+",0.1)))))))))))</f>
        <v>1.17</v>
      </c>
    </row>
    <row r="5945" spans="1:1" ht="11.75" customHeight="1">
      <c r="A5945" s="1989" t="b">
        <f>D108="AL-4A"</f>
        <v>0</v>
      </c>
    </row>
    <row r="5946" spans="1:1" ht="11.75" customHeight="1">
      <c r="A5946" s="1989">
        <f>IF(D108="AL-5A",0.21,IF(D108="AL-1B",1.17,IF(D108="AL-2B",0.98,IF(D108="AL-3B",0.78,IF(D108="AL-4B",0.59,IF(D108="AL-5B",0.39,IF(D108="AL-6B",0.23,IF(D108="PH Classic",0.6*D105/D101*3.6,IF(D108="PH Low",1*D105/D101*3.6,IF(D108="PH+",0.1))))))))))</f>
        <v>1.17</v>
      </c>
    </row>
    <row r="5947" spans="1:1" ht="11.75" customHeight="1">
      <c r="A5947" s="1989" t="b">
        <f>D108="AL-5A"</f>
        <v>0</v>
      </c>
    </row>
    <row r="5948" spans="1:1" ht="11.75" customHeight="1">
      <c r="A5948" s="1989">
        <f>IF(D108="AL-1B",1.17,IF(D108="AL-2B",0.98,IF(D108="AL-3B",0.78,IF(D108="AL-4B",0.59,IF(D108="AL-5B",0.39,IF(D108="AL-6B",0.23,IF(D108="PH Classic",0.6*D105/D101*3.6,IF(D108="PH Low",1*D105/D101*3.6,IF(D108="PH+",0.1)))))))))</f>
        <v>1.17</v>
      </c>
    </row>
    <row r="5949" spans="1:1" ht="11.75" customHeight="1">
      <c r="A5949" s="1989" t="b">
        <f>D108="AL-1B"</f>
        <v>1</v>
      </c>
    </row>
    <row r="5950" spans="1:1" ht="11.75" customHeight="1">
      <c r="A5950" s="1989" t="b">
        <f>IF(D108="AL-2B",0.98,IF(D108="AL-3B",0.78,IF(D108="AL-4B",0.59,IF(D108="AL-5B",0.39,IF(D108="AL-6B",0.23,IF(D108="PH Classic",0.6*D105/D101*3.6,IF(D108="PH Low",1*D105/D101*3.6,IF(D108="PH+",0.1))))))))</f>
        <v>0</v>
      </c>
    </row>
    <row r="5951" spans="1:1" ht="11.75" customHeight="1">
      <c r="A5951" s="1989" t="b">
        <f>D108="AL-2B"</f>
        <v>0</v>
      </c>
    </row>
    <row r="5952" spans="1:1" ht="11.75" customHeight="1">
      <c r="A5952" s="1989" t="b">
        <f>IF(D108="AL-3B",0.78,IF(D108="AL-4B",0.59,IF(D108="AL-5B",0.39,IF(D108="AL-6B",0.23,IF(D108="PH Classic",0.6*D105/D101*3.6,IF(D108="PH Low",1*D105/D101*3.6,IF(D108="PH+",0.1)))))))</f>
        <v>0</v>
      </c>
    </row>
    <row r="5953" spans="1:1" ht="11.75" customHeight="1">
      <c r="A5953" s="1989" t="b">
        <f>D108="AL-3B"</f>
        <v>0</v>
      </c>
    </row>
    <row r="5954" spans="1:1" ht="11.75" customHeight="1">
      <c r="A5954" s="1989" t="b">
        <f>IF(D108="AL-4B",0.59,IF(D108="AL-5B",0.39,IF(D108="AL-6B",0.23,IF(D108="PH Classic",0.6*D105/D101*3.6,IF(D108="PH Low",1*D105/D101*3.6,IF(D108="PH+",0.1))))))</f>
        <v>0</v>
      </c>
    </row>
    <row r="5955" spans="1:1" ht="11.75" customHeight="1">
      <c r="A5955" s="1989" t="b">
        <f>D108="AL-4B"</f>
        <v>0</v>
      </c>
    </row>
    <row r="5956" spans="1:1" ht="11.75" customHeight="1">
      <c r="A5956" s="1990">
        <f>H27-D43</f>
        <v>132765.64793897627</v>
      </c>
    </row>
    <row r="5957" spans="1:1" ht="11.75" customHeight="1">
      <c r="A5957" s="1989" t="b">
        <f>D113="Electricity"</f>
        <v>0</v>
      </c>
    </row>
    <row r="5958" spans="1:1" ht="11.75" customHeight="1">
      <c r="A5958" s="1990">
        <f>I103+K51+D117+M121+I101+I102+M43+SUM(H65:H67)</f>
        <v>265287.6445956853</v>
      </c>
    </row>
    <row r="5959" spans="1:1" ht="11.75" customHeight="1">
      <c r="A5959" s="1990">
        <f>I103+K51+D117+M121+I101+I102+M43</f>
        <v>180897.30859568529</v>
      </c>
    </row>
    <row r="5960" spans="1:1" ht="11.75" customHeight="1">
      <c r="A5960" s="1990">
        <f>I103+K51+D117+M121+I101+I102</f>
        <v>180897.30859568529</v>
      </c>
    </row>
    <row r="5961" spans="1:1" ht="11.75" customHeight="1">
      <c r="A5961" s="1990">
        <f>I103+K51+D117+M121+I101</f>
        <v>164109.06314703665</v>
      </c>
    </row>
    <row r="5962" spans="1:1" ht="11.75" customHeight="1">
      <c r="A5962" s="1990">
        <f>I103+K51+D117+M121</f>
        <v>88005.3704468098</v>
      </c>
    </row>
    <row r="5963" spans="1:1" ht="11.75" customHeight="1">
      <c r="A5963" s="1990">
        <f>I103+K51+D117</f>
        <v>39024.570446809812</v>
      </c>
    </row>
    <row r="5964" spans="1:1" ht="11.75" customHeight="1">
      <c r="A5964" s="1990">
        <f>I103+K51</f>
        <v>36006.531012790423</v>
      </c>
    </row>
    <row r="5965" spans="1:1" ht="11.75" customHeight="1">
      <c r="A5965" s="1989">
        <f>1.21*G108*D20*24/1000*D101</f>
        <v>387079.06311359996</v>
      </c>
    </row>
    <row r="5966" spans="1:1" ht="11.75" customHeight="1">
      <c r="A5966" s="1989">
        <f>1.21*G108*D20*24/1000</f>
        <v>156.29328000000001</v>
      </c>
    </row>
    <row r="5967" spans="1:1" ht="11.75" customHeight="1">
      <c r="A5967" s="1989">
        <f>1.21*G108*D20*24</f>
        <v>156293.28</v>
      </c>
    </row>
    <row r="5968" spans="1:1" ht="11.75" customHeight="1">
      <c r="A5968" s="1989">
        <f>1.21*G108*D20</f>
        <v>6512.22</v>
      </c>
    </row>
    <row r="5969" spans="1:1" ht="11.75" customHeight="1">
      <c r="A5969" s="1989">
        <f>1.21*G108</f>
        <v>1.4157</v>
      </c>
    </row>
    <row r="5970" spans="1:1" ht="11.75" customHeight="1">
      <c r="A5970" s="1989" t="b">
        <f>D108="Measured"</f>
        <v>0</v>
      </c>
    </row>
    <row r="5971" spans="1:1" ht="11.75" customHeight="1">
      <c r="A5971" s="1989">
        <f>G109*D105/D101*3.6</f>
        <v>17.44312813431209</v>
      </c>
    </row>
    <row r="5972" spans="1:1" ht="11.75" customHeight="1">
      <c r="A5972" s="1989">
        <f>G109*D105</f>
        <v>12000</v>
      </c>
    </row>
    <row r="5973" spans="1:1" ht="11.75" customHeight="1">
      <c r="A5973" s="1989">
        <f>D101*3.6</f>
        <v>8915.8319999999985</v>
      </c>
    </row>
    <row r="5974" spans="1:1" ht="11.75" customHeight="1">
      <c r="A5974" s="1989">
        <f>IF(D108="AL-1A",0.89,IF(D108="AL-2A",0.71,IF(D108="AL-3A",0.53,IF(D108="AL-4A",0.35,IF(D108="AL-5A",0.21,IF(D108="AL-1B",1.17,IF(D108="AL-2B",0.98,IF(D108="AL-3B",0.78,IF(D108="AL-4B",0.59,IF(D108="AL-5B",0.39,IF(D108="AL-6B",0.23,IF(D108="PH Classic",0.6*D105/D101*3.6,IF(D108="PH Low",1*D105/D101*3.6,IF(D108="PH+",0.1))))))))))))))</f>
        <v>1.17</v>
      </c>
    </row>
    <row r="5975" spans="1:1" ht="11.75" customHeight="1">
      <c r="A5975" s="1989" t="b">
        <f>D108="AL-1A"</f>
        <v>0</v>
      </c>
    </row>
    <row r="5976" spans="1:1" ht="11.75" customHeight="1">
      <c r="A5976" s="1989">
        <f>IF(D108="AL-2A",0.71,IF(D108="AL-3A",0.53,IF(D108="AL-4A",0.35,IF(D108="AL-5A",0.21,IF(D108="AL-1B",1.17,IF(D108="AL-2B",0.98,IF(D108="AL-3B",0.78,IF(D108="AL-4B",0.59,IF(D108="AL-5B",0.39,IF(D108="AL-6B",0.23,IF(D108="PH Classic",0.6*D105/D101*3.6,IF(D108="PH Low",1*D105/D101*3.6,IF(D108="PH+",0.1)))))))))))))</f>
        <v>1.17</v>
      </c>
    </row>
    <row r="5977" spans="1:1" ht="11.75" customHeight="1">
      <c r="A5977" s="1989" t="b">
        <f>D108="AL-2A"</f>
        <v>0</v>
      </c>
    </row>
    <row r="5978" spans="1:1" ht="11.75" customHeight="1">
      <c r="A5978" s="1989">
        <f>IF(D108="AL-3A",0.53,IF(D108="AL-4A",0.35,IF(D108="AL-5A",0.21,IF(D108="AL-1B",1.17,IF(D108="AL-2B",0.98,IF(D108="AL-3B",0.78,IF(D108="AL-4B",0.59,IF(D108="AL-5B",0.39,IF(D108="AL-6B",0.23,IF(D108="PH Classic",0.6*D105/D101*3.6,IF(D108="PH Low",1*D105/D101*3.6,IF(D108="PH+",0.1))))))))))))</f>
        <v>1.17</v>
      </c>
    </row>
    <row r="5979" spans="1:1" ht="11.75" customHeight="1">
      <c r="A5979" s="1989" t="b">
        <f>D108="AL-3A"</f>
        <v>0</v>
      </c>
    </row>
    <row r="5980" spans="1:1" ht="11.75" customHeight="1">
      <c r="A5980" s="1989">
        <f>IF(D108="AL-4A",0.35,IF(D108="AL-5A",0.21,IF(D108="AL-1B",1.17,IF(D108="AL-2B",0.98,IF(D108="AL-3B",0.78,IF(D108="AL-4B",0.59,IF(D108="AL-5B",0.39,IF(D108="AL-6B",0.23,IF(D108="PH Classic",0.6*D105/D101*3.6,IF(D108="PH Low",1*D105/D101*3.6,IF(D108="PH+",0.1)))))))))))</f>
        <v>1.17</v>
      </c>
    </row>
    <row r="5981" spans="1:1" ht="11.75" customHeight="1">
      <c r="A5981" s="1989" t="b">
        <f>D108="AL-4A"</f>
        <v>0</v>
      </c>
    </row>
    <row r="5982" spans="1:1" ht="11.75" customHeight="1">
      <c r="A5982" s="1989">
        <f>IF(D108="AL-5A",0.21,IF(D108="AL-1B",1.17,IF(D108="AL-2B",0.98,IF(D108="AL-3B",0.78,IF(D108="AL-4B",0.59,IF(D108="AL-5B",0.39,IF(D108="AL-6B",0.23,IF(D108="PH Classic",0.6*D105/D101*3.6,IF(D108="PH Low",1*D105/D101*3.6,IF(D108="PH+",0.1))))))))))</f>
        <v>1.17</v>
      </c>
    </row>
    <row r="5983" spans="1:1" ht="11.75" customHeight="1">
      <c r="A5983" s="1989" t="b">
        <f>D108="AL-5A"</f>
        <v>0</v>
      </c>
    </row>
    <row r="5984" spans="1:1" ht="11.75" customHeight="1">
      <c r="A5984" s="1989">
        <f>IF(D108="AL-1B",1.17,IF(D108="AL-2B",0.98,IF(D108="AL-3B",0.78,IF(D108="AL-4B",0.59,IF(D108="AL-5B",0.39,IF(D108="AL-6B",0.23,IF(D108="PH Classic",0.6*D105/D101*3.6,IF(D108="PH Low",1*D105/D101*3.6,IF(D108="PH+",0.1)))))))))</f>
        <v>1.17</v>
      </c>
    </row>
    <row r="5985" spans="1:1" ht="11.75" customHeight="1">
      <c r="A5985" s="1989" t="b">
        <f>D108="AL-1B"</f>
        <v>1</v>
      </c>
    </row>
    <row r="5986" spans="1:1" ht="11.75" customHeight="1">
      <c r="A5986" s="1989" t="b">
        <f>IF(D108="AL-2B",0.98,IF(D108="AL-3B",0.78,IF(D108="AL-4B",0.59,IF(D108="AL-5B",0.39,IF(D108="AL-6B",0.23,IF(D108="PH Classic",0.6*D105/D101*3.6,IF(D108="PH Low",1*D105/D101*3.6,IF(D108="PH+",0.1))))))))</f>
        <v>0</v>
      </c>
    </row>
    <row r="5987" spans="1:1" ht="11.75" customHeight="1">
      <c r="A5987" s="1989" t="b">
        <f>D108="AL-2B"</f>
        <v>0</v>
      </c>
    </row>
    <row r="5988" spans="1:1" ht="11.75" customHeight="1">
      <c r="A5988" s="1989" t="b">
        <f>IF(D108="AL-3B",0.78,IF(D108="AL-4B",0.59,IF(D108="AL-5B",0.39,IF(D108="AL-6B",0.23,IF(D108="PH Classic",0.6*D105/D101*3.6,IF(D108="PH Low",1*D105/D101*3.6,IF(D108="PH+",0.1)))))))</f>
        <v>0</v>
      </c>
    </row>
    <row r="5989" spans="1:1" ht="11.75" customHeight="1">
      <c r="A5989" s="1989" t="b">
        <f>D108="AL-3B"</f>
        <v>0</v>
      </c>
    </row>
    <row r="5990" spans="1:1" ht="11.75" customHeight="1">
      <c r="A5990" s="1989" t="b">
        <f>IF(D108="AL-4B",0.59,IF(D108="AL-5B",0.39,IF(D108="AL-6B",0.23,IF(D108="PH Classic",0.6*D105/D101*3.6,IF(D108="PH Low",1*D105/D101*3.6,IF(D108="PH+",0.1))))))</f>
        <v>0</v>
      </c>
    </row>
    <row r="5991" spans="1:1" ht="11.75" customHeight="1">
      <c r="A5991" s="1989" t="b">
        <f>D108="AL-4B"</f>
        <v>0</v>
      </c>
    </row>
    <row r="5992" spans="1:1" ht="11.75" customHeight="1">
      <c r="A5992" s="1989" t="b">
        <f>IF(D108="AL-5B",0.39,IF(D108="AL-6B",0.23,IF(D108="PH Classic",0.6*D105/D101*3.6,IF(D108="PH Low",1*D105/D101*3.6,IF(D108="PH+",0.1)))))</f>
        <v>0</v>
      </c>
    </row>
    <row r="5993" spans="1:1" ht="11.75" customHeight="1">
      <c r="A5993" s="1989" t="b">
        <f>D108="AL-5B"</f>
        <v>0</v>
      </c>
    </row>
    <row r="5994" spans="1:1" ht="11.75" customHeight="1">
      <c r="A5994" s="1989" t="b">
        <f>IF(D108="AL-6B",0.23,IF(D108="PH Classic",0.6*D105/D101*3.6,IF(D108="PH Low",1*D105/D101*3.6,IF(D108="PH+",0.1))))</f>
        <v>0</v>
      </c>
    </row>
    <row r="5995" spans="1:1" ht="11.75" customHeight="1">
      <c r="A5995" s="1989" t="b">
        <f>D108="AL-6B"</f>
        <v>0</v>
      </c>
    </row>
    <row r="5996" spans="1:1" ht="11.75" customHeight="1">
      <c r="A5996" s="1989" t="b">
        <f>IF(D108="PH Classic",0.6*D105/D101*3.6,IF(D108="PH Low",1*D105/D101*3.6,IF(D108="PH+",0.1)))</f>
        <v>0</v>
      </c>
    </row>
    <row r="5997" spans="1:1" ht="11.75" customHeight="1">
      <c r="A5997" s="1989" t="b">
        <f>D108="PH Classic"</f>
        <v>0</v>
      </c>
    </row>
    <row r="5998" spans="1:1" ht="11.75" customHeight="1">
      <c r="A5998" s="1989">
        <f>0.6*D105/D101*3.6</f>
        <v>6.9772512537248366</v>
      </c>
    </row>
    <row r="5999" spans="1:1" ht="11.75" customHeight="1">
      <c r="A5999" s="1989">
        <f>0.6*D105</f>
        <v>4800</v>
      </c>
    </row>
    <row r="6000" spans="1:1" ht="11.75" customHeight="1">
      <c r="A6000" s="1989">
        <f>D101*3.6</f>
        <v>8915.8319999999985</v>
      </c>
    </row>
    <row r="6001" spans="1:1" ht="11.75" customHeight="1">
      <c r="A6001" s="1989" t="b">
        <f>IF(D108="PH Low",1*D105/D101*3.6,IF(D108="PH+",0.1))</f>
        <v>0</v>
      </c>
    </row>
    <row r="6002" spans="1:1" ht="11.75" customHeight="1">
      <c r="A6002" s="1989" t="b">
        <f>D108="PH Low"</f>
        <v>0</v>
      </c>
    </row>
    <row r="6003" spans="1:1" ht="11.75" customHeight="1">
      <c r="A6003" s="1989">
        <f>1*D105/D101*3.6</f>
        <v>11.628752089541393</v>
      </c>
    </row>
    <row r="6004" spans="1:1" ht="11.75" customHeight="1">
      <c r="A6004" s="1989">
        <f>1*D105</f>
        <v>8000</v>
      </c>
    </row>
    <row r="6005" spans="1:1" ht="11.75" customHeight="1">
      <c r="A6005" s="1989">
        <f>D101*3.6</f>
        <v>8915.8319999999985</v>
      </c>
    </row>
    <row r="6006" spans="1:1" ht="11.75" customHeight="1">
      <c r="A6006" s="1989" t="b">
        <f>IF(D108="PH+",0.1)</f>
        <v>0</v>
      </c>
    </row>
    <row r="6007" spans="1:1" ht="11.75" customHeight="1">
      <c r="A6007" s="1989" t="b">
        <f>D108="PH+"</f>
        <v>0</v>
      </c>
    </row>
    <row r="6008" spans="1:1" ht="11.75" customHeight="1">
      <c r="A6008" s="1989">
        <f>IF(H20="Present",VLOOKUP(H19,CANADA!A6:K699,9,FALSE),VLOOKUP(H19,CANADA!A6:K699,11,FALSE))</f>
        <v>4600</v>
      </c>
    </row>
    <row r="6009" spans="1:1" ht="11.75" customHeight="1">
      <c r="A6009" s="1989">
        <f>MATCH('NRL50-n-Factors'!D34,'NRL50-n-Factors'!C38:C49,0)</f>
        <v>5</v>
      </c>
    </row>
    <row r="6010" spans="1:1" ht="11.75" customHeight="1">
      <c r="A6010" s="1989">
        <f>MATCH(REPORT!D103,'NRL50-n-Factors'!D37:J37,0)</f>
        <v>2</v>
      </c>
    </row>
    <row r="6011" spans="1:1" ht="11.75" customHeight="1">
      <c r="A6011" s="1989" t="b">
        <f>D51="Gas"</f>
        <v>0</v>
      </c>
    </row>
    <row r="6012" spans="1:1" ht="11.75" customHeight="1">
      <c r="A6012" s="1989">
        <f>D$20*G101*24</f>
        <v>30728.853316304834</v>
      </c>
    </row>
    <row r="6013" spans="1:1" ht="11.75" customHeight="1">
      <c r="A6013" s="1989">
        <f>SUM(H65:H67)</f>
        <v>84390.33600000001</v>
      </c>
    </row>
    <row r="6014" spans="1:1" ht="11.75" customHeight="1">
      <c r="A6014" s="1989">
        <f>IF(D113="Heatpump",K51+D117+D114+M43+H70,IF(D113="Gas",K51+D117+M43+H70))</f>
        <v>132765.64793897627</v>
      </c>
    </row>
    <row r="6015" spans="1:1" ht="11.75" customHeight="1">
      <c r="A6015" s="1989" t="b">
        <f>D113="Heatpump"</f>
        <v>1</v>
      </c>
    </row>
    <row r="6016" spans="1:1" ht="11.75" customHeight="1">
      <c r="A6016" s="1990">
        <f>K51+D117+D114+M43+H70</f>
        <v>132765.64793897627</v>
      </c>
    </row>
    <row r="6017" spans="1:1" ht="11.75" customHeight="1">
      <c r="A6017" s="1989" t="b">
        <f>IF(D113="Gas",K51+D117+M43+H70)</f>
        <v>0</v>
      </c>
    </row>
    <row r="6018" spans="1:1" ht="11.75" customHeight="1">
      <c r="A6018" s="1989">
        <f>SUM(D44:D46)</f>
        <v>0</v>
      </c>
    </row>
    <row r="6019" spans="1:1" ht="11.75" customHeight="1">
      <c r="A6019" s="1990">
        <f>I44+I45</f>
        <v>0</v>
      </c>
    </row>
    <row r="6020" spans="1:1" ht="11.75" customHeight="1">
      <c r="A6020" s="1989">
        <f>H28*0.0373</f>
        <v>0</v>
      </c>
    </row>
    <row r="6021" spans="1:1" ht="11.75" customHeight="1">
      <c r="A6021" s="1989">
        <f>H30*36.72</f>
        <v>0</v>
      </c>
    </row>
    <row r="6022" spans="1:1" ht="11.75" customHeight="1">
      <c r="A6022" s="1990">
        <f>H27-D43</f>
        <v>132765.64793897627</v>
      </c>
    </row>
    <row r="6023" spans="1:1" ht="11.75" customHeight="1">
      <c r="A6023" s="1989" t="b">
        <f>D113="Electricity"</f>
        <v>0</v>
      </c>
    </row>
    <row r="6024" spans="1:1" ht="11.75" customHeight="1">
      <c r="A6024" s="1990">
        <f>I103+K51+D117+M121+I101+I102+M43+SUM(H65:H67)</f>
        <v>265287.6445956853</v>
      </c>
    </row>
    <row r="6025" spans="1:1" ht="11.75" customHeight="1">
      <c r="A6025" s="1990">
        <f>I103+K51+D117+M121+I101+I102+M43</f>
        <v>180897.30859568529</v>
      </c>
    </row>
    <row r="6026" spans="1:1" ht="11.75" customHeight="1">
      <c r="A6026" s="1990">
        <f>I103+K51+D117+M121+I101+I102</f>
        <v>180897.30859568529</v>
      </c>
    </row>
    <row r="6027" spans="1:1" ht="11.75" customHeight="1">
      <c r="A6027" s="1989">
        <f>IF(H20="Present",VLOOKUP(H19,CANADA!A6:K699,9,FALSE),VLOOKUP(H19,CANADA!A6:K699,11,FALSE))</f>
        <v>4600</v>
      </c>
    </row>
    <row r="6028" spans="1:1" ht="11.75" customHeight="1">
      <c r="A6028" s="1989">
        <f>MATCH('NRL50-n-Factors'!D34,'NRL50-n-Factors'!C38:C49,0)</f>
        <v>5</v>
      </c>
    </row>
    <row r="6029" spans="1:1" ht="11.75" customHeight="1">
      <c r="A6029" s="1989">
        <f>MATCH(REPORT!D103,'NRL50-n-Factors'!D37:J37,0)</f>
        <v>2</v>
      </c>
    </row>
    <row r="6030" spans="1:1" ht="11.75" customHeight="1">
      <c r="A6030" s="1989" t="b">
        <f>D51="Gas"</f>
        <v>0</v>
      </c>
    </row>
    <row r="6031" spans="1:1" ht="11.75" customHeight="1">
      <c r="A6031" s="1989">
        <f>D$20*G101*24</f>
        <v>30728.853316304834</v>
      </c>
    </row>
    <row r="6032" spans="1:1" ht="11.75" customHeight="1">
      <c r="A6032" s="1989">
        <f>SUM(H65:H67)</f>
        <v>84390.33600000001</v>
      </c>
    </row>
    <row r="6033" spans="1:1" ht="11.75" customHeight="1">
      <c r="A6033" s="1989">
        <f>IF(D113="Heatpump",K51+D117+D114+M43+H70,IF(D113="Gas",K51+D117+M43+H70))</f>
        <v>132765.64793897627</v>
      </c>
    </row>
    <row r="6034" spans="1:1" ht="11.75" customHeight="1">
      <c r="A6034" s="1989" t="b">
        <f>D113="Heatpump"</f>
        <v>1</v>
      </c>
    </row>
    <row r="6035" spans="1:1" ht="11.75" customHeight="1">
      <c r="A6035" s="1990">
        <f>K51+D117+D114+M43+H70</f>
        <v>132765.64793897627</v>
      </c>
    </row>
    <row r="6036" spans="1:1" ht="11.75" customHeight="1">
      <c r="A6036" s="1989" t="b">
        <f>IF(D113="Gas",K51+D117+M43+H70)</f>
        <v>0</v>
      </c>
    </row>
    <row r="6037" spans="1:1" ht="11.75" customHeight="1">
      <c r="A6037" s="1989">
        <f>SUM(D44:D46)</f>
        <v>0</v>
      </c>
    </row>
    <row r="6038" spans="1:1" ht="11.75" customHeight="1">
      <c r="A6038" s="1990">
        <f>I44+I45</f>
        <v>0</v>
      </c>
    </row>
    <row r="6039" spans="1:1" ht="11.75" customHeight="1">
      <c r="A6039" s="1989">
        <f>H28*0.0373</f>
        <v>0</v>
      </c>
    </row>
    <row r="6040" spans="1:1" ht="11.75" customHeight="1">
      <c r="A6040" s="1989">
        <f>H30*36.72</f>
        <v>0</v>
      </c>
    </row>
    <row r="6041" spans="1:1" ht="11.75" customHeight="1">
      <c r="A6041" s="1990">
        <f>H27-D43</f>
        <v>132765.64793897627</v>
      </c>
    </row>
    <row r="6042" spans="1:1" ht="11.75" customHeight="1">
      <c r="A6042" s="1989" t="b">
        <f>D113="Electricity"</f>
        <v>0</v>
      </c>
    </row>
    <row r="6043" spans="1:1" ht="11.75" customHeight="1">
      <c r="A6043" s="1990">
        <f>I103+K51+D117+M121+I101+I102+M43+SUM(H65:H67)</f>
        <v>265287.6445956853</v>
      </c>
    </row>
    <row r="6044" spans="1:1" ht="11.75" customHeight="1">
      <c r="A6044" s="1990">
        <f>I103+K51+D117+M121+I101+I102+M43</f>
        <v>180897.30859568529</v>
      </c>
    </row>
    <row r="6045" spans="1:1" ht="11.75" customHeight="1">
      <c r="A6045" s="1990">
        <f>I103+K51+D117+M121+I101+I102</f>
        <v>180897.30859568529</v>
      </c>
    </row>
    <row r="6046" spans="1:1" ht="11.75" customHeight="1">
      <c r="A6046" s="1990">
        <f>I103+K51+D117+M121+I101</f>
        <v>164109.06314703665</v>
      </c>
    </row>
    <row r="6047" spans="1:1" ht="11.75" customHeight="1">
      <c r="A6047" s="1990">
        <f>I103+K51+D117+M121</f>
        <v>88005.3704468098</v>
      </c>
    </row>
    <row r="6048" spans="1:1" ht="11.75" customHeight="1">
      <c r="A6048" s="1990">
        <f>I103+K51+D117</f>
        <v>39024.570446809812</v>
      </c>
    </row>
    <row r="6049" spans="1:1" ht="11.75" customHeight="1">
      <c r="A6049" s="1990">
        <f>I103+K51</f>
        <v>36006.531012790423</v>
      </c>
    </row>
    <row r="6050" spans="1:1" ht="11.75" customHeight="1">
      <c r="A6050" s="1989">
        <f>1.21*G108*D20*24/1000*D101</f>
        <v>387079.06311359996</v>
      </c>
    </row>
    <row r="6051" spans="1:1" ht="11.75" customHeight="1">
      <c r="A6051" s="1989">
        <f>1.21*G108*D20*24/1000</f>
        <v>156.29328000000001</v>
      </c>
    </row>
    <row r="6052" spans="1:1" ht="11.75" customHeight="1">
      <c r="A6052" s="1989">
        <f>1.21*G108*D20*24</f>
        <v>156293.28</v>
      </c>
    </row>
    <row r="6053" spans="1:1" ht="11.75" customHeight="1">
      <c r="A6053" s="1989">
        <f>1.21*G108*D20</f>
        <v>6512.22</v>
      </c>
    </row>
    <row r="6054" spans="1:1" ht="11.75" customHeight="1">
      <c r="A6054" s="1989">
        <f>1.21*G108</f>
        <v>1.4157</v>
      </c>
    </row>
    <row r="6055" spans="1:1" ht="11.75" customHeight="1">
      <c r="A6055" s="1989" t="b">
        <f>D108="Measured"</f>
        <v>0</v>
      </c>
    </row>
    <row r="6056" spans="1:1" ht="11.75" customHeight="1">
      <c r="A6056" s="1989">
        <f>G109*D105/D101*3.6</f>
        <v>17.44312813431209</v>
      </c>
    </row>
    <row r="6057" spans="1:1" ht="11.75" customHeight="1">
      <c r="A6057" s="1989">
        <f>G109*D105</f>
        <v>12000</v>
      </c>
    </row>
    <row r="6058" spans="1:1" ht="11.75" customHeight="1">
      <c r="A6058" s="1989">
        <f>D101*3.6</f>
        <v>8915.8319999999985</v>
      </c>
    </row>
    <row r="6059" spans="1:1" ht="11.75" customHeight="1">
      <c r="A6059" s="1989">
        <f>IF(D108="AL-1A",0.89,IF(D108="AL-2A",0.71,IF(D108="AL-3A",0.53,IF(D108="AL-4A",0.35,IF(D108="AL-5A",0.21,IF(D108="AL-1B",1.17,IF(D108="AL-2B",0.98,IF(D108="AL-3B",0.78,IF(D108="AL-4B",0.59,IF(D108="AL-5B",0.39,IF(D108="AL-6B",0.23,IF(D108="PH Classic",0.6*D105/D101*3.6,IF(D108="PH Low",1*D105/D101*3.6,IF(D108="PH+",0.1))))))))))))))</f>
        <v>1.17</v>
      </c>
    </row>
    <row r="6060" spans="1:1" ht="11.75" customHeight="1">
      <c r="A6060" s="1989" t="b">
        <f>D108="AL-1A"</f>
        <v>0</v>
      </c>
    </row>
    <row r="6061" spans="1:1" ht="11.75" customHeight="1">
      <c r="A6061" s="1989">
        <f>IF(D108="AL-2A",0.71,IF(D108="AL-3A",0.53,IF(D108="AL-4A",0.35,IF(D108="AL-5A",0.21,IF(D108="AL-1B",1.17,IF(D108="AL-2B",0.98,IF(D108="AL-3B",0.78,IF(D108="AL-4B",0.59,IF(D108="AL-5B",0.39,IF(D108="AL-6B",0.23,IF(D108="PH Classic",0.6*D105/D101*3.6,IF(D108="PH Low",1*D105/D101*3.6,IF(D108="PH+",0.1)))))))))))))</f>
        <v>1.17</v>
      </c>
    </row>
    <row r="6062" spans="1:1" ht="11.75" customHeight="1">
      <c r="A6062" s="1989" t="b">
        <f>D108="AL-2A"</f>
        <v>0</v>
      </c>
    </row>
    <row r="6063" spans="1:1" ht="11.75" customHeight="1">
      <c r="A6063" s="1989">
        <f>IF(D108="AL-3A",0.53,IF(D108="AL-4A",0.35,IF(D108="AL-5A",0.21,IF(D108="AL-1B",1.17,IF(D108="AL-2B",0.98,IF(D108="AL-3B",0.78,IF(D108="AL-4B",0.59,IF(D108="AL-5B",0.39,IF(D108="AL-6B",0.23,IF(D108="PH Classic",0.6*D105/D101*3.6,IF(D108="PH Low",1*D105/D101*3.6,IF(D108="PH+",0.1))))))))))))</f>
        <v>1.17</v>
      </c>
    </row>
    <row r="6064" spans="1:1" ht="11.75" customHeight="1">
      <c r="A6064" s="1989" t="b">
        <f>D108="AL-3A"</f>
        <v>0</v>
      </c>
    </row>
    <row r="6065" spans="1:1" ht="11.75" customHeight="1">
      <c r="A6065" s="1989">
        <f>IF(D108="AL-4A",0.35,IF(D108="AL-5A",0.21,IF(D108="AL-1B",1.17,IF(D108="AL-2B",0.98,IF(D108="AL-3B",0.78,IF(D108="AL-4B",0.59,IF(D108="AL-5B",0.39,IF(D108="AL-6B",0.23,IF(D108="PH Classic",0.6*D105/D101*3.6,IF(D108="PH Low",1*D105/D101*3.6,IF(D108="PH+",0.1)))))))))))</f>
        <v>1.17</v>
      </c>
    </row>
    <row r="6066" spans="1:1" ht="11.75" customHeight="1">
      <c r="A6066" s="1989" t="b">
        <f>D108="AL-4A"</f>
        <v>0</v>
      </c>
    </row>
    <row r="6067" spans="1:1" ht="11.75" customHeight="1">
      <c r="A6067" s="1989">
        <f>IF(D108="AL-5A",0.21,IF(D108="AL-1B",1.17,IF(D108="AL-2B",0.98,IF(D108="AL-3B",0.78,IF(D108="AL-4B",0.59,IF(D108="AL-5B",0.39,IF(D108="AL-6B",0.23,IF(D108="PH Classic",0.6*D105/D101*3.6,IF(D108="PH Low",1*D105/D101*3.6,IF(D108="PH+",0.1))))))))))</f>
        <v>1.17</v>
      </c>
    </row>
    <row r="6068" spans="1:1" ht="11.75" customHeight="1">
      <c r="A6068" s="1989" t="b">
        <f>D108="AL-5A"</f>
        <v>0</v>
      </c>
    </row>
    <row r="6069" spans="1:1" ht="11.75" customHeight="1">
      <c r="A6069" s="1989">
        <f>IF(D108="AL-1B",1.17,IF(D108="AL-2B",0.98,IF(D108="AL-3B",0.78,IF(D108="AL-4B",0.59,IF(D108="AL-5B",0.39,IF(D108="AL-6B",0.23,IF(D108="PH Classic",0.6*D105/D101*3.6,IF(D108="PH Low",1*D105/D101*3.6,IF(D108="PH+",0.1)))))))))</f>
        <v>1.17</v>
      </c>
    </row>
    <row r="6070" spans="1:1" ht="11.75" customHeight="1">
      <c r="A6070" s="1989" t="b">
        <f>D108="AL-1B"</f>
        <v>1</v>
      </c>
    </row>
    <row r="6071" spans="1:1" ht="11.75" customHeight="1">
      <c r="A6071" s="1989" t="b">
        <f>IF(D108="AL-2B",0.98,IF(D108="AL-3B",0.78,IF(D108="AL-4B",0.59,IF(D108="AL-5B",0.39,IF(D108="AL-6B",0.23,IF(D108="PH Classic",0.6*D105/D101*3.6,IF(D108="PH Low",1*D105/D101*3.6,IF(D108="PH+",0.1))))))))</f>
        <v>0</v>
      </c>
    </row>
    <row r="6072" spans="1:1" ht="11.75" customHeight="1">
      <c r="A6072" s="1989" t="b">
        <f>D108="AL-2B"</f>
        <v>0</v>
      </c>
    </row>
    <row r="6073" spans="1:1" ht="11.75" customHeight="1">
      <c r="A6073" s="1989" t="b">
        <f>IF(D108="AL-3B",0.78,IF(D108="AL-4B",0.59,IF(D108="AL-5B",0.39,IF(D108="AL-6B",0.23,IF(D108="PH Classic",0.6*D105/D101*3.6,IF(D108="PH Low",1*D105/D101*3.6,IF(D108="PH+",0.1)))))))</f>
        <v>0</v>
      </c>
    </row>
    <row r="6074" spans="1:1" ht="11.75" customHeight="1">
      <c r="A6074" s="1989" t="b">
        <f>D108="AL-3B"</f>
        <v>0</v>
      </c>
    </row>
    <row r="6075" spans="1:1" ht="11.75" customHeight="1">
      <c r="A6075" s="1989" t="b">
        <f>IF(D108="AL-4B",0.59,IF(D108="AL-5B",0.39,IF(D108="AL-6B",0.23,IF(D108="PH Classic",0.6*D105/D101*3.6,IF(D108="PH Low",1*D105/D101*3.6,IF(D108="PH+",0.1))))))</f>
        <v>0</v>
      </c>
    </row>
    <row r="6076" spans="1:1" ht="11.75" customHeight="1">
      <c r="A6076" s="1989" t="b">
        <f>D108="AL-4B"</f>
        <v>0</v>
      </c>
    </row>
    <row r="6077" spans="1:1" ht="11.75" customHeight="1">
      <c r="A6077" s="1989" t="b">
        <f>IF(D108="AL-5B",0.39,IF(D108="AL-6B",0.23,IF(D108="PH Classic",0.6*D105/D101*3.6,IF(D108="PH Low",1*D105/D101*3.6,IF(D108="PH+",0.1)))))</f>
        <v>0</v>
      </c>
    </row>
    <row r="6078" spans="1:1" ht="11.75" customHeight="1">
      <c r="A6078" s="1989" t="b">
        <f>D108="AL-5B"</f>
        <v>0</v>
      </c>
    </row>
    <row r="6079" spans="1:1" ht="11.75" customHeight="1">
      <c r="A6079" s="1989" t="b">
        <f>IF(D108="AL-6B",0.23,IF(D108="PH Classic",0.6*D105/D101*3.6,IF(D108="PH Low",1*D105/D101*3.6,IF(D108="PH+",0.1))))</f>
        <v>0</v>
      </c>
    </row>
    <row r="6080" spans="1:1" ht="11.75" customHeight="1">
      <c r="A6080" s="1989" t="b">
        <f>D108="AL-6B"</f>
        <v>0</v>
      </c>
    </row>
    <row r="6081" spans="1:1" ht="11.75" customHeight="1">
      <c r="A6081" s="1989" t="b">
        <f>IF(D108="PH Classic",0.6*D105/D101*3.6,IF(D108="PH Low",1*D105/D101*3.6,IF(D108="PH+",0.1)))</f>
        <v>0</v>
      </c>
    </row>
    <row r="6082" spans="1:1" ht="11.75" customHeight="1">
      <c r="A6082" s="1989" t="b">
        <f>D108="PH Classic"</f>
        <v>0</v>
      </c>
    </row>
    <row r="6083" spans="1:1" ht="11.75" customHeight="1">
      <c r="A6083" s="1989">
        <f>0.6*D105/D101*3.6</f>
        <v>6.9772512537248366</v>
      </c>
    </row>
    <row r="6084" spans="1:1" ht="11.75" customHeight="1">
      <c r="A6084" s="1989">
        <f>0.6*D105</f>
        <v>4800</v>
      </c>
    </row>
    <row r="6085" spans="1:1" ht="11.75" customHeight="1">
      <c r="A6085" s="1989">
        <f>D101*3.6</f>
        <v>8915.8319999999985</v>
      </c>
    </row>
    <row r="6086" spans="1:1" ht="11.75" customHeight="1">
      <c r="A6086" s="1989" t="b">
        <f>IF(D108="PH Low",1*D105/D101*3.6,IF(D108="PH+",0.1))</f>
        <v>0</v>
      </c>
    </row>
    <row r="6087" spans="1:1" ht="11.75" customHeight="1">
      <c r="A6087" s="1989" t="b">
        <f>D108="PH Low"</f>
        <v>0</v>
      </c>
    </row>
    <row r="6088" spans="1:1" ht="11.75" customHeight="1">
      <c r="A6088" s="1989">
        <f>1*D105/D101*3.6</f>
        <v>11.628752089541393</v>
      </c>
    </row>
    <row r="6089" spans="1:1" ht="11.75" customHeight="1">
      <c r="A6089" s="1989">
        <f>1*D105</f>
        <v>8000</v>
      </c>
    </row>
    <row r="6090" spans="1:1" ht="11.75" customHeight="1">
      <c r="A6090" s="1989">
        <f>D101*3.6</f>
        <v>8915.8319999999985</v>
      </c>
    </row>
    <row r="6091" spans="1:1" ht="11.75" customHeight="1">
      <c r="A6091" s="1989" t="b">
        <f>IF(D108="PH+",0.1)</f>
        <v>0</v>
      </c>
    </row>
    <row r="6092" spans="1:1" ht="11.75" customHeight="1">
      <c r="A6092" s="1989" t="b">
        <f>D108="PH+"</f>
        <v>0</v>
      </c>
    </row>
    <row r="6093" spans="1:1" ht="11.75" customHeight="1">
      <c r="A6093" s="1989">
        <f>IF(H20="Present",VLOOKUP(H19,CANADA!A6:K699,9,FALSE),VLOOKUP(H19,CANADA!A6:K699,11,FALSE))</f>
        <v>4600</v>
      </c>
    </row>
    <row r="6094" spans="1:1" ht="11.75" customHeight="1">
      <c r="A6094" s="1989">
        <f>MATCH('NRL50-n-Factors'!D34,'NRL50-n-Factors'!C38:C49,0)</f>
        <v>5</v>
      </c>
    </row>
    <row r="6095" spans="1:1" ht="11.75" customHeight="1">
      <c r="A6095" s="1989">
        <f>MATCH(REPORT!D103,'NRL50-n-Factors'!D37:J37,0)</f>
        <v>2</v>
      </c>
    </row>
    <row r="6096" spans="1:1" ht="11.75" customHeight="1">
      <c r="A6096" s="1989" t="b">
        <f>D51="Gas"</f>
        <v>0</v>
      </c>
    </row>
    <row r="6097" spans="1:1" ht="11.75" customHeight="1">
      <c r="A6097" s="1989">
        <f>D$20*G101*24</f>
        <v>30728.853316304834</v>
      </c>
    </row>
    <row r="6098" spans="1:1" ht="11.75" customHeight="1">
      <c r="A6098" s="1989">
        <f>SUM(H65:H67)</f>
        <v>84390.33600000001</v>
      </c>
    </row>
    <row r="6099" spans="1:1" ht="11.75" customHeight="1">
      <c r="A6099" s="1989">
        <f>IF(D113="Heatpump",K51+D117+D114+M43+H70,IF(D113="Gas",K51+D117+M43+H70))</f>
        <v>132765.64793897627</v>
      </c>
    </row>
    <row r="6100" spans="1:1" ht="11.75" customHeight="1">
      <c r="A6100" s="1990">
        <f>H27-D43</f>
        <v>132765.64793897627</v>
      </c>
    </row>
    <row r="6101" spans="1:1" ht="11.75" customHeight="1">
      <c r="A6101" s="1989" t="b">
        <f>D113="Electricity"</f>
        <v>0</v>
      </c>
    </row>
    <row r="6102" spans="1:1" ht="11.75" customHeight="1">
      <c r="A6102" s="1990">
        <f>I103+K51+D117+M121+I101+I102+M43+SUM(H65:H67)</f>
        <v>265287.6445956853</v>
      </c>
    </row>
    <row r="6103" spans="1:1" ht="11.75" customHeight="1">
      <c r="A6103" s="1990">
        <f>I103+K51+D117+M121+I101+I102+M43</f>
        <v>180897.30859568529</v>
      </c>
    </row>
    <row r="6104" spans="1:1" ht="11.75" customHeight="1">
      <c r="A6104" s="1990">
        <f>I103+K51+D117+M121+I101+I102</f>
        <v>180897.30859568529</v>
      </c>
    </row>
    <row r="6105" spans="1:1" ht="11.75" customHeight="1">
      <c r="A6105" s="1990">
        <f>I103+K51+D117+M121+I101</f>
        <v>164109.06314703665</v>
      </c>
    </row>
    <row r="6106" spans="1:1" ht="11.75" customHeight="1">
      <c r="A6106" s="1990">
        <f>I103+K51+D117+M121</f>
        <v>88005.3704468098</v>
      </c>
    </row>
    <row r="6107" spans="1:1" ht="11.75" customHeight="1">
      <c r="A6107" s="1990">
        <f>I103+K51+D117</f>
        <v>39024.570446809812</v>
      </c>
    </row>
    <row r="6108" spans="1:1" ht="11.75" customHeight="1">
      <c r="A6108" s="1990">
        <f>I103+K51</f>
        <v>36006.531012790423</v>
      </c>
    </row>
    <row r="6109" spans="1:1" ht="11.75" customHeight="1">
      <c r="A6109" s="1989">
        <f>1.21*G108*D20*24/1000*D101</f>
        <v>387079.06311359996</v>
      </c>
    </row>
    <row r="6110" spans="1:1" ht="11.75" customHeight="1">
      <c r="A6110" s="1989">
        <f>1.21*G108*D20*24/1000</f>
        <v>156.29328000000001</v>
      </c>
    </row>
    <row r="6111" spans="1:1" ht="11.75" customHeight="1">
      <c r="A6111" s="1989">
        <f>1.21*G108*D20*24</f>
        <v>156293.28</v>
      </c>
    </row>
    <row r="6112" spans="1:1" ht="11.75" customHeight="1">
      <c r="A6112" s="1989">
        <f>1.21*G108*D20</f>
        <v>6512.22</v>
      </c>
    </row>
    <row r="6113" spans="1:1" ht="11.75" customHeight="1">
      <c r="A6113" s="1989">
        <f>1.21*G108</f>
        <v>1.4157</v>
      </c>
    </row>
    <row r="6114" spans="1:1" ht="11.75" customHeight="1">
      <c r="A6114" s="1989" t="b">
        <f>D108="Measured"</f>
        <v>0</v>
      </c>
    </row>
    <row r="6115" spans="1:1" ht="11.75" customHeight="1">
      <c r="A6115" s="1989">
        <f>G109*D105/D101*3.6</f>
        <v>17.44312813431209</v>
      </c>
    </row>
    <row r="6116" spans="1:1" ht="11.75" customHeight="1">
      <c r="A6116" s="1989">
        <f>G109*D105</f>
        <v>12000</v>
      </c>
    </row>
    <row r="6117" spans="1:1" ht="11.75" customHeight="1">
      <c r="A6117" s="1989">
        <f>D101*3.6</f>
        <v>8915.8319999999985</v>
      </c>
    </row>
    <row r="6118" spans="1:1" ht="11.75" customHeight="1">
      <c r="A6118" s="1989">
        <f>IF(D108="AL-1A",0.89,IF(D108="AL-2A",0.71,IF(D108="AL-3A",0.53,IF(D108="AL-4A",0.35,IF(D108="AL-5A",0.21,IF(D108="AL-1B",1.17,IF(D108="AL-2B",0.98,IF(D108="AL-3B",0.78,IF(D108="AL-4B",0.59,IF(D108="AL-5B",0.39,IF(D108="AL-6B",0.23,IF(D108="PH Classic",0.6*D105/D101*3.6,IF(D108="PH Low",1*D105/D101*3.6,IF(D108="PH+",0.1))))))))))))))</f>
        <v>1.17</v>
      </c>
    </row>
    <row r="6119" spans="1:1" ht="11.75" customHeight="1">
      <c r="A6119" s="1989" t="b">
        <f>D108="AL-1A"</f>
        <v>0</v>
      </c>
    </row>
    <row r="6120" spans="1:1" ht="11.75" customHeight="1">
      <c r="A6120" s="1989">
        <f>IF(D108="AL-2A",0.71,IF(D108="AL-3A",0.53,IF(D108="AL-4A",0.35,IF(D108="AL-5A",0.21,IF(D108="AL-1B",1.17,IF(D108="AL-2B",0.98,IF(D108="AL-3B",0.78,IF(D108="AL-4B",0.59,IF(D108="AL-5B",0.39,IF(D108="AL-6B",0.23,IF(D108="PH Classic",0.6*D105/D101*3.6,IF(D108="PH Low",1*D105/D101*3.6,IF(D108="PH+",0.1)))))))))))))</f>
        <v>1.17</v>
      </c>
    </row>
    <row r="6121" spans="1:1" ht="11.75" customHeight="1">
      <c r="A6121" s="1989" t="b">
        <f>D108="AL-2A"</f>
        <v>0</v>
      </c>
    </row>
    <row r="6122" spans="1:1" ht="11.75" customHeight="1">
      <c r="A6122" s="1989">
        <f>IF(D108="AL-3A",0.53,IF(D108="AL-4A",0.35,IF(D108="AL-5A",0.21,IF(D108="AL-1B",1.17,IF(D108="AL-2B",0.98,IF(D108="AL-3B",0.78,IF(D108="AL-4B",0.59,IF(D108="AL-5B",0.39,IF(D108="AL-6B",0.23,IF(D108="PH Classic",0.6*D105/D101*3.6,IF(D108="PH Low",1*D105/D101*3.6,IF(D108="PH+",0.1))))))))))))</f>
        <v>1.17</v>
      </c>
    </row>
    <row r="6123" spans="1:1" ht="11.75" customHeight="1">
      <c r="A6123" s="1989" t="b">
        <f>D108="AL-3A"</f>
        <v>0</v>
      </c>
    </row>
    <row r="6124" spans="1:1" ht="11.75" customHeight="1">
      <c r="A6124" s="1989">
        <f>IF(D108="AL-4A",0.35,IF(D108="AL-5A",0.21,IF(D108="AL-1B",1.17,IF(D108="AL-2B",0.98,IF(D108="AL-3B",0.78,IF(D108="AL-4B",0.59,IF(D108="AL-5B",0.39,IF(D108="AL-6B",0.23,IF(D108="PH Classic",0.6*D105/D101*3.6,IF(D108="PH Low",1*D105/D101*3.6,IF(D108="PH+",0.1)))))))))))</f>
        <v>1.17</v>
      </c>
    </row>
    <row r="6125" spans="1:1" ht="11.75" customHeight="1">
      <c r="A6125" s="1989" t="b">
        <f>D108="AL-4A"</f>
        <v>0</v>
      </c>
    </row>
    <row r="6126" spans="1:1" ht="11.75" customHeight="1">
      <c r="A6126" s="1989">
        <f>IF(D108="AL-5A",0.21,IF(D108="AL-1B",1.17,IF(D108="AL-2B",0.98,IF(D108="AL-3B",0.78,IF(D108="AL-4B",0.59,IF(D108="AL-5B",0.39,IF(D108="AL-6B",0.23,IF(D108="PH Classic",0.6*D105/D101*3.6,IF(D108="PH Low",1*D105/D101*3.6,IF(D108="PH+",0.1))))))))))</f>
        <v>1.17</v>
      </c>
    </row>
    <row r="6127" spans="1:1" ht="11.75" customHeight="1">
      <c r="A6127" s="1989" t="b">
        <f>D108="AL-5A"</f>
        <v>0</v>
      </c>
    </row>
    <row r="6128" spans="1:1" ht="11.75" customHeight="1">
      <c r="A6128" s="1989">
        <f>IF(D108="AL-1B",1.17,IF(D108="AL-2B",0.98,IF(D108="AL-3B",0.78,IF(D108="AL-4B",0.59,IF(D108="AL-5B",0.39,IF(D108="AL-6B",0.23,IF(D108="PH Classic",0.6*D105/D101*3.6,IF(D108="PH Low",1*D105/D101*3.6,IF(D108="PH+",0.1)))))))))</f>
        <v>1.17</v>
      </c>
    </row>
    <row r="6129" spans="1:1" ht="11.75" customHeight="1">
      <c r="A6129" s="1989" t="b">
        <f>D108="AL-1B"</f>
        <v>1</v>
      </c>
    </row>
    <row r="6130" spans="1:1" ht="11.75" customHeight="1">
      <c r="A6130" s="1989" t="b">
        <f>IF(D108="AL-2B",0.98,IF(D108="AL-3B",0.78,IF(D108="AL-4B",0.59,IF(D108="AL-5B",0.39,IF(D108="AL-6B",0.23,IF(D108="PH Classic",0.6*D105/D101*3.6,IF(D108="PH Low",1*D105/D101*3.6,IF(D108="PH+",0.1))))))))</f>
        <v>0</v>
      </c>
    </row>
    <row r="6131" spans="1:1" ht="11.75" customHeight="1">
      <c r="A6131" s="1989" t="b">
        <f>D108="AL-2B"</f>
        <v>0</v>
      </c>
    </row>
    <row r="6132" spans="1:1" ht="11.75" customHeight="1">
      <c r="A6132" s="1989" t="b">
        <f>IF(D108="AL-3B",0.78,IF(D108="AL-4B",0.59,IF(D108="AL-5B",0.39,IF(D108="AL-6B",0.23,IF(D108="PH Classic",0.6*D105/D101*3.6,IF(D108="PH Low",1*D105/D101*3.6,IF(D108="PH+",0.1)))))))</f>
        <v>0</v>
      </c>
    </row>
    <row r="6133" spans="1:1" ht="11.75" customHeight="1">
      <c r="A6133" s="1989" t="b">
        <f>D108="AL-3B"</f>
        <v>0</v>
      </c>
    </row>
    <row r="6134" spans="1:1" ht="11.75" customHeight="1">
      <c r="A6134" s="1989" t="b">
        <f>IF(D108="AL-4B",0.59,IF(D108="AL-5B",0.39,IF(D108="AL-6B",0.23,IF(D108="PH Classic",0.6*D105/D101*3.6,IF(D108="PH Low",1*D105/D101*3.6,IF(D108="PH+",0.1))))))</f>
        <v>0</v>
      </c>
    </row>
    <row r="6135" spans="1:1" ht="11.75" customHeight="1">
      <c r="A6135" s="1989" t="b">
        <f>D108="AL-4B"</f>
        <v>0</v>
      </c>
    </row>
    <row r="6136" spans="1:1" ht="11.75" customHeight="1">
      <c r="A6136" s="1989" t="b">
        <f>IF(D108="AL-5B",0.39,IF(D108="AL-6B",0.23,IF(D108="PH Classic",0.6*D105/D101*3.6,IF(D108="PH Low",1*D105/D101*3.6,IF(D108="PH+",0.1)))))</f>
        <v>0</v>
      </c>
    </row>
    <row r="6137" spans="1:1" ht="11.75" customHeight="1">
      <c r="A6137" s="1989" t="b">
        <f>D108="AL-5B"</f>
        <v>0</v>
      </c>
    </row>
    <row r="6138" spans="1:1" ht="11.75" customHeight="1">
      <c r="A6138" s="1989" t="b">
        <f>IF(D108="AL-6B",0.23,IF(D108="PH Classic",0.6*D105/D101*3.6,IF(D108="PH Low",1*D105/D101*3.6,IF(D108="PH+",0.1))))</f>
        <v>0</v>
      </c>
    </row>
    <row r="6139" spans="1:1" ht="11.75" customHeight="1">
      <c r="A6139" s="1989" t="b">
        <f>D108="AL-6B"</f>
        <v>0</v>
      </c>
    </row>
    <row r="6140" spans="1:1" ht="11.75" customHeight="1">
      <c r="A6140" s="1989" t="b">
        <f>IF(D108="PH Classic",0.6*D105/D101*3.6,IF(D108="PH Low",1*D105/D101*3.6,IF(D108="PH+",0.1)))</f>
        <v>0</v>
      </c>
    </row>
    <row r="6141" spans="1:1" ht="11.75" customHeight="1">
      <c r="A6141" s="1989" t="b">
        <f>D108="PH Classic"</f>
        <v>0</v>
      </c>
    </row>
    <row r="6142" spans="1:1" ht="11.75" customHeight="1">
      <c r="A6142" s="1989">
        <f>0.6*D105/D101*3.6</f>
        <v>6.9772512537248366</v>
      </c>
    </row>
    <row r="6143" spans="1:1" ht="11.75" customHeight="1">
      <c r="A6143" s="1989">
        <f>0.6*D105</f>
        <v>4800</v>
      </c>
    </row>
    <row r="6144" spans="1:1" ht="11.75" customHeight="1">
      <c r="A6144" s="1989">
        <f>D101*3.6</f>
        <v>8915.8319999999985</v>
      </c>
    </row>
    <row r="6145" spans="1:1" ht="11.75" customHeight="1">
      <c r="A6145" s="1989" t="b">
        <f>IF(D108="PH Low",1*D105/D101*3.6,IF(D108="PH+",0.1))</f>
        <v>0</v>
      </c>
    </row>
    <row r="6146" spans="1:1" ht="11.75" customHeight="1">
      <c r="A6146" s="1989" t="b">
        <f>D108="PH Low"</f>
        <v>0</v>
      </c>
    </row>
    <row r="6147" spans="1:1" ht="11.75" customHeight="1">
      <c r="A6147" s="1989">
        <f>1*D105/D101*3.6</f>
        <v>11.628752089541393</v>
      </c>
    </row>
    <row r="6148" spans="1:1" ht="11.75" customHeight="1">
      <c r="A6148" s="1989">
        <f>1*D105</f>
        <v>8000</v>
      </c>
    </row>
    <row r="6149" spans="1:1" ht="11.75" customHeight="1">
      <c r="A6149" s="1989">
        <f>D101*3.6</f>
        <v>8915.8319999999985</v>
      </c>
    </row>
    <row r="6150" spans="1:1" ht="11.75" customHeight="1">
      <c r="A6150" s="1989" t="b">
        <f>IF(D108="PH+",0.1)</f>
        <v>0</v>
      </c>
    </row>
    <row r="6151" spans="1:1" ht="11.75" customHeight="1">
      <c r="A6151" s="1990">
        <f>H27-D43</f>
        <v>132765.64793897627</v>
      </c>
    </row>
    <row r="6152" spans="1:1" ht="11.75" customHeight="1">
      <c r="A6152" s="1989" t="b">
        <f>D113="Electricity"</f>
        <v>0</v>
      </c>
    </row>
    <row r="6153" spans="1:1" ht="11.75" customHeight="1">
      <c r="A6153" s="1990">
        <f>I103+K51+D117+M121+I101+I102+M43+SUM(H65:H67)</f>
        <v>265287.6445956853</v>
      </c>
    </row>
    <row r="6154" spans="1:1" ht="11.75" customHeight="1">
      <c r="A6154" s="1990">
        <f>I103+K51+D117+M121+I101+I102+M43</f>
        <v>180897.30859568529</v>
      </c>
    </row>
    <row r="6155" spans="1:1" ht="11.75" customHeight="1">
      <c r="A6155" s="1990">
        <f>I103+K51+D117+M121+I101+I102</f>
        <v>180897.30859568529</v>
      </c>
    </row>
    <row r="6156" spans="1:1" ht="11.75" customHeight="1">
      <c r="A6156" s="1990">
        <f>I103+K51+D117+M121+I101</f>
        <v>164109.06314703665</v>
      </c>
    </row>
    <row r="6157" spans="1:1" ht="11.75" customHeight="1">
      <c r="A6157" s="1990">
        <f>I103+K51+D117+M121</f>
        <v>88005.3704468098</v>
      </c>
    </row>
    <row r="6158" spans="1:1" ht="11.75" customHeight="1">
      <c r="A6158" s="1990">
        <f>I103+K51+D117</f>
        <v>39024.570446809812</v>
      </c>
    </row>
    <row r="6159" spans="1:1" ht="11.75" customHeight="1">
      <c r="A6159" s="1990">
        <f>I103+K51</f>
        <v>36006.531012790423</v>
      </c>
    </row>
    <row r="6160" spans="1:1" ht="11.75" customHeight="1">
      <c r="A6160" s="1989">
        <f>1.21*G108*D20*24/1000*D101</f>
        <v>387079.06311359996</v>
      </c>
    </row>
    <row r="6161" spans="1:1" ht="11.75" customHeight="1">
      <c r="A6161" s="1989">
        <f>1.21*G108*D20*24/1000</f>
        <v>156.29328000000001</v>
      </c>
    </row>
    <row r="6162" spans="1:1" ht="11.75" customHeight="1">
      <c r="A6162" s="1989">
        <f>1.21*G108*D20*24</f>
        <v>156293.28</v>
      </c>
    </row>
    <row r="6163" spans="1:1" ht="11.75" customHeight="1">
      <c r="A6163" s="1989">
        <f>1.21*G108*D20</f>
        <v>6512.22</v>
      </c>
    </row>
    <row r="6164" spans="1:1" ht="11.75" customHeight="1">
      <c r="A6164" s="1989">
        <f>1.21*G108</f>
        <v>1.4157</v>
      </c>
    </row>
    <row r="6165" spans="1:1" ht="11.75" customHeight="1">
      <c r="A6165" s="1989" t="b">
        <f>D108="Measured"</f>
        <v>0</v>
      </c>
    </row>
    <row r="6166" spans="1:1" ht="11.75" customHeight="1">
      <c r="A6166" s="1989">
        <f>G109*D105/D101*3.6</f>
        <v>17.44312813431209</v>
      </c>
    </row>
    <row r="6167" spans="1:1" ht="11.75" customHeight="1">
      <c r="A6167" s="1989">
        <f>G109*D105</f>
        <v>12000</v>
      </c>
    </row>
    <row r="6168" spans="1:1" ht="11.75" customHeight="1">
      <c r="A6168" s="1989">
        <f>D101*3.6</f>
        <v>8915.8319999999985</v>
      </c>
    </row>
    <row r="6169" spans="1:1" ht="11.75" customHeight="1">
      <c r="A6169" s="1989">
        <f>IF(D108="AL-1A",0.89,IF(D108="AL-2A",0.71,IF(D108="AL-3A",0.53,IF(D108="AL-4A",0.35,IF(D108="AL-5A",0.21,IF(D108="AL-1B",1.17,IF(D108="AL-2B",0.98,IF(D108="AL-3B",0.78,IF(D108="AL-4B",0.59,IF(D108="AL-5B",0.39,IF(D108="AL-6B",0.23,IF(D108="PH Classic",0.6*D105/D101*3.6,IF(D108="PH Low",1*D105/D101*3.6,IF(D108="PH+",0.1))))))))))))))</f>
        <v>1.17</v>
      </c>
    </row>
    <row r="6170" spans="1:1" ht="11.75" customHeight="1">
      <c r="A6170" s="1989" t="b">
        <f>D108="AL-1A"</f>
        <v>0</v>
      </c>
    </row>
    <row r="6171" spans="1:1" ht="11.75" customHeight="1">
      <c r="A6171" s="1989">
        <f>IF(D108="AL-2A",0.71,IF(D108="AL-3A",0.53,IF(D108="AL-4A",0.35,IF(D108="AL-5A",0.21,IF(D108="AL-1B",1.17,IF(D108="AL-2B",0.98,IF(D108="AL-3B",0.78,IF(D108="AL-4B",0.59,IF(D108="AL-5B",0.39,IF(D108="AL-6B",0.23,IF(D108="PH Classic",0.6*D105/D101*3.6,IF(D108="PH Low",1*D105/D101*3.6,IF(D108="PH+",0.1)))))))))))))</f>
        <v>1.17</v>
      </c>
    </row>
    <row r="6172" spans="1:1" ht="11.75" customHeight="1">
      <c r="A6172" s="1989" t="b">
        <f>D108="AL-2A"</f>
        <v>0</v>
      </c>
    </row>
    <row r="6173" spans="1:1" ht="11.75" customHeight="1">
      <c r="A6173" s="1989">
        <f>IF(D108="AL-3A",0.53,IF(D108="AL-4A",0.35,IF(D108="AL-5A",0.21,IF(D108="AL-1B",1.17,IF(D108="AL-2B",0.98,IF(D108="AL-3B",0.78,IF(D108="AL-4B",0.59,IF(D108="AL-5B",0.39,IF(D108="AL-6B",0.23,IF(D108="PH Classic",0.6*D105/D101*3.6,IF(D108="PH Low",1*D105/D101*3.6,IF(D108="PH+",0.1))))))))))))</f>
        <v>1.17</v>
      </c>
    </row>
    <row r="6174" spans="1:1" ht="11.75" customHeight="1">
      <c r="A6174" s="1989" t="b">
        <f>D108="AL-3A"</f>
        <v>0</v>
      </c>
    </row>
    <row r="6175" spans="1:1" ht="11.75" customHeight="1">
      <c r="A6175" s="1989">
        <f>IF(D108="AL-4A",0.35,IF(D108="AL-5A",0.21,IF(D108="AL-1B",1.17,IF(D108="AL-2B",0.98,IF(D108="AL-3B",0.78,IF(D108="AL-4B",0.59,IF(D108="AL-5B",0.39,IF(D108="AL-6B",0.23,IF(D108="PH Classic",0.6*D105/D101*3.6,IF(D108="PH Low",1*D105/D101*3.6,IF(D108="PH+",0.1)))))))))))</f>
        <v>1.17</v>
      </c>
    </row>
    <row r="6176" spans="1:1" ht="11.75" customHeight="1">
      <c r="A6176" s="1989" t="b">
        <f>D108="AL-4A"</f>
        <v>0</v>
      </c>
    </row>
    <row r="6177" spans="1:1" ht="11.75" customHeight="1">
      <c r="A6177" s="1989">
        <f>IF(D108="AL-5A",0.21,IF(D108="AL-1B",1.17,IF(D108="AL-2B",0.98,IF(D108="AL-3B",0.78,IF(D108="AL-4B",0.59,IF(D108="AL-5B",0.39,IF(D108="AL-6B",0.23,IF(D108="PH Classic",0.6*D105/D101*3.6,IF(D108="PH Low",1*D105/D101*3.6,IF(D108="PH+",0.1))))))))))</f>
        <v>1.17</v>
      </c>
    </row>
    <row r="6178" spans="1:1" ht="11.75" customHeight="1">
      <c r="A6178" s="1989" t="b">
        <f>D108="AL-5A"</f>
        <v>0</v>
      </c>
    </row>
    <row r="6179" spans="1:1" ht="11.75" customHeight="1">
      <c r="A6179" s="1989">
        <f>IF(D108="AL-1B",1.17,IF(D108="AL-2B",0.98,IF(D108="AL-3B",0.78,IF(D108="AL-4B",0.59,IF(D108="AL-5B",0.39,IF(D108="AL-6B",0.23,IF(D108="PH Classic",0.6*D105/D101*3.6,IF(D108="PH Low",1*D105/D101*3.6,IF(D108="PH+",0.1)))))))))</f>
        <v>1.17</v>
      </c>
    </row>
    <row r="6180" spans="1:1" ht="11.75" customHeight="1">
      <c r="A6180" s="1989" t="b">
        <f>D108="AL-1B"</f>
        <v>1</v>
      </c>
    </row>
    <row r="6181" spans="1:1" ht="11.75" customHeight="1">
      <c r="A6181" s="1989" t="b">
        <f>IF(D108="AL-2B",0.98,IF(D108="AL-3B",0.78,IF(D108="AL-4B",0.59,IF(D108="AL-5B",0.39,IF(D108="AL-6B",0.23,IF(D108="PH Classic",0.6*D105/D101*3.6,IF(D108="PH Low",1*D105/D101*3.6,IF(D108="PH+",0.1))))))))</f>
        <v>0</v>
      </c>
    </row>
    <row r="6182" spans="1:1" ht="11.75" customHeight="1">
      <c r="A6182" s="1989" t="b">
        <f>D108="AL-2B"</f>
        <v>0</v>
      </c>
    </row>
    <row r="6183" spans="1:1" ht="11.75" customHeight="1">
      <c r="A6183" s="1989" t="b">
        <f>IF(D108="AL-3B",0.78,IF(D108="AL-4B",0.59,IF(D108="AL-5B",0.39,IF(D108="AL-6B",0.23,IF(D108="PH Classic",0.6*D105/D101*3.6,IF(D108="PH Low",1*D105/D101*3.6,IF(D108="PH+",0.1)))))))</f>
        <v>0</v>
      </c>
    </row>
    <row r="6184" spans="1:1" ht="11.75" customHeight="1">
      <c r="A6184" s="1989" t="b">
        <f>D108="AL-3B"</f>
        <v>0</v>
      </c>
    </row>
    <row r="6185" spans="1:1" ht="11.75" customHeight="1">
      <c r="A6185" s="1989" t="b">
        <f>IF(D108="AL-4B",0.59,IF(D108="AL-5B",0.39,IF(D108="AL-6B",0.23,IF(D108="PH Classic",0.6*D105/D101*3.6,IF(D108="PH Low",1*D105/D101*3.6,IF(D108="PH+",0.1))))))</f>
        <v>0</v>
      </c>
    </row>
    <row r="6186" spans="1:1" ht="11.75" customHeight="1">
      <c r="A6186" s="1989" t="b">
        <f>D108="AL-4B"</f>
        <v>0</v>
      </c>
    </row>
    <row r="6187" spans="1:1" ht="11.75" customHeight="1">
      <c r="A6187" s="1989" t="b">
        <f>IF(D108="AL-5B",0.39,IF(D108="AL-6B",0.23,IF(D108="PH Classic",0.6*D105/D101*3.6,IF(D108="PH Low",1*D105/D101*3.6,IF(D108="PH+",0.1)))))</f>
        <v>0</v>
      </c>
    </row>
    <row r="6188" spans="1:1" ht="11.75" customHeight="1">
      <c r="A6188" s="1989" t="b">
        <f>D108="AL-5B"</f>
        <v>0</v>
      </c>
    </row>
    <row r="6189" spans="1:1" ht="11.75" customHeight="1">
      <c r="A6189" s="1989" t="b">
        <f>IF(D108="AL-6B",0.23,IF(D108="PH Classic",0.6*D105/D101*3.6,IF(D108="PH Low",1*D105/D101*3.6,IF(D108="PH+",0.1))))</f>
        <v>0</v>
      </c>
    </row>
    <row r="6190" spans="1:1" ht="11.75" customHeight="1">
      <c r="A6190" s="1989" t="b">
        <f>D108="AL-6B"</f>
        <v>0</v>
      </c>
    </row>
    <row r="6191" spans="1:1" ht="11.75" customHeight="1">
      <c r="A6191" s="1989" t="b">
        <f>IF(D108="PH Classic",0.6*D105/D101*3.6,IF(D108="PH Low",1*D105/D101*3.6,IF(D108="PH+",0.1)))</f>
        <v>0</v>
      </c>
    </row>
    <row r="6192" spans="1:1" ht="11.75" customHeight="1">
      <c r="A6192" s="1989" t="b">
        <f>D108="PH Classic"</f>
        <v>0</v>
      </c>
    </row>
    <row r="6193" spans="1:1" ht="11.75" customHeight="1">
      <c r="A6193" s="1989">
        <f>0.6*D105/D101*3.6</f>
        <v>6.9772512537248366</v>
      </c>
    </row>
    <row r="6194" spans="1:1" ht="11.75" customHeight="1">
      <c r="A6194" s="1989">
        <f>0.6*D105</f>
        <v>4800</v>
      </c>
    </row>
    <row r="6195" spans="1:1" ht="11.75" customHeight="1">
      <c r="A6195" s="1989">
        <f>D101*3.6</f>
        <v>8915.8319999999985</v>
      </c>
    </row>
    <row r="6196" spans="1:1" ht="11.75" customHeight="1">
      <c r="A6196" s="1989" t="b">
        <f>IF(D108="PH Low",1*D105/D101*3.6,IF(D108="PH+",0.1))</f>
        <v>0</v>
      </c>
    </row>
    <row r="6197" spans="1:1" ht="11.75" customHeight="1">
      <c r="A6197" s="1989" t="b">
        <f>D108="PH Low"</f>
        <v>0</v>
      </c>
    </row>
    <row r="6198" spans="1:1" ht="11.75" customHeight="1">
      <c r="A6198" s="1989">
        <f>1*D105/D101*3.6</f>
        <v>11.628752089541393</v>
      </c>
    </row>
    <row r="6199" spans="1:1" ht="11.75" customHeight="1">
      <c r="A6199" s="1989">
        <f>1*D105</f>
        <v>8000</v>
      </c>
    </row>
    <row r="6200" spans="1:1" ht="11.75" customHeight="1">
      <c r="A6200" s="1989">
        <f>D101*3.6</f>
        <v>8915.8319999999985</v>
      </c>
    </row>
    <row r="6201" spans="1:1" ht="11.75" customHeight="1">
      <c r="A6201" s="1989" t="b">
        <f>IF(D108="PH+",0.1)</f>
        <v>0</v>
      </c>
    </row>
    <row r="6202" spans="1:1" ht="11.75" customHeight="1">
      <c r="A6202" s="1990">
        <f>H27-D43</f>
        <v>132765.64793897627</v>
      </c>
    </row>
    <row r="6203" spans="1:1" ht="11.75" customHeight="1">
      <c r="A6203" s="1989" t="b">
        <f>D113="Electricity"</f>
        <v>0</v>
      </c>
    </row>
    <row r="6204" spans="1:1" ht="11.75" customHeight="1">
      <c r="A6204" s="1990">
        <f>I103+K51+D117+M121+I101+I102+M43+SUM(H65:H67)</f>
        <v>265287.6445956853</v>
      </c>
    </row>
    <row r="6205" spans="1:1" ht="11.75" customHeight="1">
      <c r="A6205" s="1990">
        <f>I103+K51+D117+M121+I101+I102+M43</f>
        <v>180897.30859568529</v>
      </c>
    </row>
    <row r="6206" spans="1:1" ht="11.75" customHeight="1">
      <c r="A6206" s="1990">
        <f>I103+K51+D117+M121+I101+I102</f>
        <v>180897.30859568529</v>
      </c>
    </row>
    <row r="6207" spans="1:1" ht="11.75" customHeight="1">
      <c r="A6207" s="1990">
        <f>I103+K51+D117+M121+I101</f>
        <v>164109.06314703665</v>
      </c>
    </row>
    <row r="6208" spans="1:1" ht="11.75" customHeight="1">
      <c r="A6208" s="1990">
        <f>I103+K51+D117+M121</f>
        <v>88005.3704468098</v>
      </c>
    </row>
    <row r="6209" spans="1:1" ht="11.75" customHeight="1">
      <c r="A6209" s="1990">
        <f>I103+K51+D117</f>
        <v>39024.570446809812</v>
      </c>
    </row>
    <row r="6210" spans="1:1" ht="11.75" customHeight="1">
      <c r="A6210" s="1990">
        <f>I103+K51</f>
        <v>36006.531012790423</v>
      </c>
    </row>
    <row r="6211" spans="1:1" ht="11.75" customHeight="1">
      <c r="A6211" s="1989">
        <f>1.21*G108*D20*24/1000*D101</f>
        <v>387079.06311359996</v>
      </c>
    </row>
    <row r="6212" spans="1:1" ht="11.75" customHeight="1">
      <c r="A6212" s="1989">
        <f>1.21*G108*D20*24/1000</f>
        <v>156.29328000000001</v>
      </c>
    </row>
    <row r="6213" spans="1:1" ht="11.75" customHeight="1">
      <c r="A6213" s="1989">
        <f>1.21*G108*D20*24</f>
        <v>156293.28</v>
      </c>
    </row>
    <row r="6214" spans="1:1" ht="11.75" customHeight="1">
      <c r="A6214" s="1989">
        <f>1.21*G108*D20</f>
        <v>6512.22</v>
      </c>
    </row>
    <row r="6215" spans="1:1" ht="11.75" customHeight="1">
      <c r="A6215" s="1989">
        <f>1.21*G108</f>
        <v>1.4157</v>
      </c>
    </row>
    <row r="6216" spans="1:1" ht="11.75" customHeight="1">
      <c r="A6216" s="1989" t="b">
        <f>D108="Measured"</f>
        <v>0</v>
      </c>
    </row>
    <row r="6217" spans="1:1" ht="11.75" customHeight="1">
      <c r="A6217" s="1989">
        <f>G109*D105/D101*3.6</f>
        <v>17.44312813431209</v>
      </c>
    </row>
    <row r="6218" spans="1:1" ht="11.75" customHeight="1">
      <c r="A6218" s="1989">
        <f>G109*D105</f>
        <v>12000</v>
      </c>
    </row>
    <row r="6219" spans="1:1" ht="11.75" customHeight="1">
      <c r="A6219" s="1989">
        <f>D101*3.6</f>
        <v>8915.8319999999985</v>
      </c>
    </row>
    <row r="6220" spans="1:1" ht="11.75" customHeight="1">
      <c r="A6220" s="1989">
        <f>IF(D108="AL-1A",0.89,IF(D108="AL-2A",0.71,IF(D108="AL-3A",0.53,IF(D108="AL-4A",0.35,IF(D108="AL-5A",0.21,IF(D108="AL-1B",1.17,IF(D108="AL-2B",0.98,IF(D108="AL-3B",0.78,IF(D108="AL-4B",0.59,IF(D108="AL-5B",0.39,IF(D108="AL-6B",0.23,IF(D108="PH Classic",0.6*D105/D101*3.6,IF(D108="PH Low",1*D105/D101*3.6,IF(D108="PH+",0.1))))))))))))))</f>
        <v>1.17</v>
      </c>
    </row>
    <row r="6221" spans="1:1" ht="11.75" customHeight="1">
      <c r="A6221" s="1989" t="b">
        <f>D108="AL-1A"</f>
        <v>0</v>
      </c>
    </row>
    <row r="6222" spans="1:1" ht="11.75" customHeight="1">
      <c r="A6222" s="1989">
        <f>IF(D108="AL-2A",0.71,IF(D108="AL-3A",0.53,IF(D108="AL-4A",0.35,IF(D108="AL-5A",0.21,IF(D108="AL-1B",1.17,IF(D108="AL-2B",0.98,IF(D108="AL-3B",0.78,IF(D108="AL-4B",0.59,IF(D108="AL-5B",0.39,IF(D108="AL-6B",0.23,IF(D108="PH Classic",0.6*D105/D101*3.6,IF(D108="PH Low",1*D105/D101*3.6,IF(D108="PH+",0.1)))))))))))))</f>
        <v>1.17</v>
      </c>
    </row>
    <row r="6223" spans="1:1" ht="11.75" customHeight="1">
      <c r="A6223" s="1989" t="b">
        <f>D108="AL-2A"</f>
        <v>0</v>
      </c>
    </row>
    <row r="6224" spans="1:1" ht="11.75" customHeight="1">
      <c r="A6224" s="1989">
        <f>IF(D108="AL-3A",0.53,IF(D108="AL-4A",0.35,IF(D108="AL-5A",0.21,IF(D108="AL-1B",1.17,IF(D108="AL-2B",0.98,IF(D108="AL-3B",0.78,IF(D108="AL-4B",0.59,IF(D108="AL-5B",0.39,IF(D108="AL-6B",0.23,IF(D108="PH Classic",0.6*D105/D101*3.6,IF(D108="PH Low",1*D105/D101*3.6,IF(D108="PH+",0.1))))))))))))</f>
        <v>1.17</v>
      </c>
    </row>
    <row r="6225" spans="1:1" ht="11.75" customHeight="1">
      <c r="A6225" s="1989" t="b">
        <f>D108="AL-3A"</f>
        <v>0</v>
      </c>
    </row>
    <row r="6226" spans="1:1" ht="11.75" customHeight="1">
      <c r="A6226" s="1989">
        <f>IF(D108="AL-4A",0.35,IF(D108="AL-5A",0.21,IF(D108="AL-1B",1.17,IF(D108="AL-2B",0.98,IF(D108="AL-3B",0.78,IF(D108="AL-4B",0.59,IF(D108="AL-5B",0.39,IF(D108="AL-6B",0.23,IF(D108="PH Classic",0.6*D105/D101*3.6,IF(D108="PH Low",1*D105/D101*3.6,IF(D108="PH+",0.1)))))))))))</f>
        <v>1.17</v>
      </c>
    </row>
    <row r="6227" spans="1:1" ht="11.75" customHeight="1">
      <c r="A6227" s="1989" t="b">
        <f>D108="AL-4A"</f>
        <v>0</v>
      </c>
    </row>
    <row r="6228" spans="1:1" ht="11.75" customHeight="1">
      <c r="A6228" s="1989">
        <f>IF(D108="AL-5A",0.21,IF(D108="AL-1B",1.17,IF(D108="AL-2B",0.98,IF(D108="AL-3B",0.78,IF(D108="AL-4B",0.59,IF(D108="AL-5B",0.39,IF(D108="AL-6B",0.23,IF(D108="PH Classic",0.6*D105/D101*3.6,IF(D108="PH Low",1*D105/D101*3.6,IF(D108="PH+",0.1))))))))))</f>
        <v>1.17</v>
      </c>
    </row>
    <row r="6229" spans="1:1" ht="11.75" customHeight="1">
      <c r="A6229" s="1989" t="b">
        <f>D108="AL-5A"</f>
        <v>0</v>
      </c>
    </row>
    <row r="6230" spans="1:1" ht="11.75" customHeight="1">
      <c r="A6230" s="1989">
        <f>IF(D108="AL-1B",1.17,IF(D108="AL-2B",0.98,IF(D108="AL-3B",0.78,IF(D108="AL-4B",0.59,IF(D108="AL-5B",0.39,IF(D108="AL-6B",0.23,IF(D108="PH Classic",0.6*D105/D101*3.6,IF(D108="PH Low",1*D105/D101*3.6,IF(D108="PH+",0.1)))))))))</f>
        <v>1.17</v>
      </c>
    </row>
    <row r="6231" spans="1:1" ht="11.75" customHeight="1">
      <c r="A6231" s="1989" t="b">
        <f>D108="AL-1B"</f>
        <v>1</v>
      </c>
    </row>
    <row r="6232" spans="1:1" ht="11.75" customHeight="1">
      <c r="A6232" s="1989" t="b">
        <f>IF(D108="AL-2B",0.98,IF(D108="AL-3B",0.78,IF(D108="AL-4B",0.59,IF(D108="AL-5B",0.39,IF(D108="AL-6B",0.23,IF(D108="PH Classic",0.6*D105/D101*3.6,IF(D108="PH Low",1*D105/D101*3.6,IF(D108="PH+",0.1))))))))</f>
        <v>0</v>
      </c>
    </row>
    <row r="6233" spans="1:1" ht="11.75" customHeight="1">
      <c r="A6233" s="1989" t="b">
        <f>D108="AL-2B"</f>
        <v>0</v>
      </c>
    </row>
    <row r="6234" spans="1:1" ht="11.75" customHeight="1">
      <c r="A6234" s="1989" t="b">
        <f>IF(D108="AL-3B",0.78,IF(D108="AL-4B",0.59,IF(D108="AL-5B",0.39,IF(D108="AL-6B",0.23,IF(D108="PH Classic",0.6*D105/D101*3.6,IF(D108="PH Low",1*D105/D101*3.6,IF(D108="PH+",0.1)))))))</f>
        <v>0</v>
      </c>
    </row>
    <row r="6235" spans="1:1" ht="11.75" customHeight="1">
      <c r="A6235" s="1989" t="b">
        <f>D108="AL-3B"</f>
        <v>0</v>
      </c>
    </row>
    <row r="6236" spans="1:1" ht="11.75" customHeight="1">
      <c r="A6236" s="1989" t="b">
        <f>IF(D108="AL-4B",0.59,IF(D108="AL-5B",0.39,IF(D108="AL-6B",0.23,IF(D108="PH Classic",0.6*D105/D101*3.6,IF(D108="PH Low",1*D105/D101*3.6,IF(D108="PH+",0.1))))))</f>
        <v>0</v>
      </c>
    </row>
    <row r="6237" spans="1:1" ht="11.75" customHeight="1">
      <c r="A6237" s="1989" t="b">
        <f>D108="AL-4B"</f>
        <v>0</v>
      </c>
    </row>
    <row r="6238" spans="1:1" ht="11.75" customHeight="1">
      <c r="A6238" s="1989" t="b">
        <f>IF(D108="AL-5B",0.39,IF(D108="AL-6B",0.23,IF(D108="PH Classic",0.6*D105/D101*3.6,IF(D108="PH Low",1*D105/D101*3.6,IF(D108="PH+",0.1)))))</f>
        <v>0</v>
      </c>
    </row>
    <row r="6239" spans="1:1" ht="11.75" customHeight="1">
      <c r="A6239" s="1989" t="b">
        <f>D108="AL-5B"</f>
        <v>0</v>
      </c>
    </row>
    <row r="6240" spans="1:1" ht="11.75" customHeight="1">
      <c r="A6240" s="1989" t="b">
        <f>IF(D108="AL-6B",0.23,IF(D108="PH Classic",0.6*D105/D101*3.6,IF(D108="PH Low",1*D105/D101*3.6,IF(D108="PH+",0.1))))</f>
        <v>0</v>
      </c>
    </row>
    <row r="6241" spans="1:1" ht="11.75" customHeight="1">
      <c r="A6241" s="1989" t="b">
        <f>D108="AL-6B"</f>
        <v>0</v>
      </c>
    </row>
    <row r="6242" spans="1:1" ht="11.75" customHeight="1">
      <c r="A6242" s="1989" t="b">
        <f>IF(D108="PH Classic",0.6*D105/D101*3.6,IF(D108="PH Low",1*D105/D101*3.6,IF(D108="PH+",0.1)))</f>
        <v>0</v>
      </c>
    </row>
    <row r="6243" spans="1:1" ht="11.75" customHeight="1">
      <c r="A6243" s="1989" t="b">
        <f>D108="PH Classic"</f>
        <v>0</v>
      </c>
    </row>
    <row r="6244" spans="1:1" ht="11.75" customHeight="1">
      <c r="A6244" s="1989">
        <f>0.6*D105/D101*3.6</f>
        <v>6.9772512537248366</v>
      </c>
    </row>
    <row r="6245" spans="1:1" ht="11.75" customHeight="1">
      <c r="A6245" s="1989">
        <f>0.6*D105</f>
        <v>4800</v>
      </c>
    </row>
    <row r="6246" spans="1:1" ht="11.75" customHeight="1">
      <c r="A6246" s="1989">
        <f>D101*3.6</f>
        <v>8915.8319999999985</v>
      </c>
    </row>
    <row r="6247" spans="1:1" ht="11.75" customHeight="1">
      <c r="A6247" s="1989" t="b">
        <f>IF(D108="PH Low",1*D105/D101*3.6,IF(D108="PH+",0.1))</f>
        <v>0</v>
      </c>
    </row>
    <row r="6248" spans="1:1" ht="11.75" customHeight="1">
      <c r="A6248" s="1989" t="b">
        <f>D108="PH Low"</f>
        <v>0</v>
      </c>
    </row>
    <row r="6249" spans="1:1" ht="11.75" customHeight="1">
      <c r="A6249" s="1989">
        <f>1*D105/D101*3.6</f>
        <v>11.628752089541393</v>
      </c>
    </row>
    <row r="6250" spans="1:1" ht="11.75" customHeight="1">
      <c r="A6250" s="1989">
        <f>1*D105</f>
        <v>8000</v>
      </c>
    </row>
    <row r="6251" spans="1:1" ht="11.75" customHeight="1">
      <c r="A6251" s="1989">
        <f>D101*3.6</f>
        <v>8915.8319999999985</v>
      </c>
    </row>
    <row r="6252" spans="1:1" ht="11.75" customHeight="1">
      <c r="A6252" s="1989" t="b">
        <f>IF(D108="PH+",0.1)</f>
        <v>0</v>
      </c>
    </row>
    <row r="6253" spans="1:1" ht="11.75" customHeight="1">
      <c r="A6253" s="1989" t="b">
        <f>D108="PH+"</f>
        <v>0</v>
      </c>
    </row>
    <row r="6254" spans="1:1" ht="11.75" customHeight="1">
      <c r="A6254" s="1990">
        <f>H27-D43</f>
        <v>132765.64793897627</v>
      </c>
    </row>
    <row r="6255" spans="1:1" ht="11.75" customHeight="1">
      <c r="A6255" s="1989" t="b">
        <f>D113="Electricity"</f>
        <v>0</v>
      </c>
    </row>
    <row r="6256" spans="1:1" ht="11.75" customHeight="1">
      <c r="A6256" s="1990">
        <f>I103+K51+D117+M121+I101+I102+M43+SUM(H65:H67)</f>
        <v>265287.6445956853</v>
      </c>
    </row>
    <row r="6257" spans="1:1" ht="11.75" customHeight="1">
      <c r="A6257" s="1990">
        <f>I103+K51+D117+M121+I101+I102+M43</f>
        <v>180897.30859568529</v>
      </c>
    </row>
    <row r="6258" spans="1:1" ht="11.75" customHeight="1">
      <c r="A6258" s="1990">
        <f>I103+K51+D117+M121+I101+I102</f>
        <v>180897.30859568529</v>
      </c>
    </row>
    <row r="6259" spans="1:1" ht="11.75" customHeight="1">
      <c r="A6259" s="1990">
        <f>I103+K51+D117+M121+I101</f>
        <v>164109.06314703665</v>
      </c>
    </row>
    <row r="6260" spans="1:1" ht="11.75" customHeight="1">
      <c r="A6260" s="1990">
        <f>I103+K51+D117+M121</f>
        <v>88005.3704468098</v>
      </c>
    </row>
    <row r="6261" spans="1:1" ht="11.75" customHeight="1">
      <c r="A6261" s="1990">
        <f>I103+K51+D117</f>
        <v>39024.570446809812</v>
      </c>
    </row>
    <row r="6262" spans="1:1" ht="11.75" customHeight="1">
      <c r="A6262" s="1990">
        <f>I103+K51</f>
        <v>36006.531012790423</v>
      </c>
    </row>
    <row r="6263" spans="1:1" ht="11.75" customHeight="1">
      <c r="A6263" s="1989">
        <f>1.21*G108*D20*24/1000*D101</f>
        <v>387079.06311359996</v>
      </c>
    </row>
    <row r="6264" spans="1:1" ht="11.75" customHeight="1">
      <c r="A6264" s="1989">
        <f>1.21*G108*D20*24/1000</f>
        <v>156.29328000000001</v>
      </c>
    </row>
    <row r="6265" spans="1:1" ht="11.75" customHeight="1">
      <c r="A6265" s="1989">
        <f>1.21*G108*D20*24</f>
        <v>156293.28</v>
      </c>
    </row>
    <row r="6266" spans="1:1" ht="11.75" customHeight="1">
      <c r="A6266" s="1989">
        <f>1.21*G108*D20</f>
        <v>6512.22</v>
      </c>
    </row>
    <row r="6267" spans="1:1" ht="11.75" customHeight="1">
      <c r="A6267" s="1989">
        <f>1.21*G108</f>
        <v>1.4157</v>
      </c>
    </row>
    <row r="6268" spans="1:1" ht="11.75" customHeight="1">
      <c r="A6268" s="1989" t="b">
        <f>D108="Measured"</f>
        <v>0</v>
      </c>
    </row>
    <row r="6269" spans="1:1" ht="11.75" customHeight="1">
      <c r="A6269" s="1989">
        <f>G109*D105/D101*3.6</f>
        <v>17.44312813431209</v>
      </c>
    </row>
    <row r="6270" spans="1:1" ht="11.75" customHeight="1">
      <c r="A6270" s="1989">
        <f>G109*D105</f>
        <v>12000</v>
      </c>
    </row>
    <row r="6271" spans="1:1" ht="11.75" customHeight="1">
      <c r="A6271" s="1989">
        <f>D101*3.6</f>
        <v>8915.8319999999985</v>
      </c>
    </row>
    <row r="6272" spans="1:1" ht="11.75" customHeight="1">
      <c r="A6272" s="1989">
        <f>IF(D108="AL-1A",0.89,IF(D108="AL-2A",0.71,IF(D108="AL-3A",0.53,IF(D108="AL-4A",0.35,IF(D108="AL-5A",0.21,IF(D108="AL-1B",1.17,IF(D108="AL-2B",0.98,IF(D108="AL-3B",0.78,IF(D108="AL-4B",0.59,IF(D108="AL-5B",0.39,IF(D108="AL-6B",0.23,IF(D108="PH Classic",0.6*D105/D101*3.6,IF(D108="PH Low",1*D105/D101*3.6,IF(D108="PH+",0.1))))))))))))))</f>
        <v>1.17</v>
      </c>
    </row>
    <row r="6273" spans="1:1" ht="11.75" customHeight="1">
      <c r="A6273" s="1989" t="b">
        <f>D108="AL-1A"</f>
        <v>0</v>
      </c>
    </row>
    <row r="6274" spans="1:1" ht="11.75" customHeight="1">
      <c r="A6274" s="1989">
        <f>IF(D108="AL-2A",0.71,IF(D108="AL-3A",0.53,IF(D108="AL-4A",0.35,IF(D108="AL-5A",0.21,IF(D108="AL-1B",1.17,IF(D108="AL-2B",0.98,IF(D108="AL-3B",0.78,IF(D108="AL-4B",0.59,IF(D108="AL-5B",0.39,IF(D108="AL-6B",0.23,IF(D108="PH Classic",0.6*D105/D101*3.6,IF(D108="PH Low",1*D105/D101*3.6,IF(D108="PH+",0.1)))))))))))))</f>
        <v>1.17</v>
      </c>
    </row>
    <row r="6275" spans="1:1" ht="11.75" customHeight="1">
      <c r="A6275" s="1989" t="b">
        <f>D108="AL-2A"</f>
        <v>0</v>
      </c>
    </row>
    <row r="6276" spans="1:1" ht="11.75" customHeight="1">
      <c r="A6276" s="1989">
        <f>IF(D108="AL-3A",0.53,IF(D108="AL-4A",0.35,IF(D108="AL-5A",0.21,IF(D108="AL-1B",1.17,IF(D108="AL-2B",0.98,IF(D108="AL-3B",0.78,IF(D108="AL-4B",0.59,IF(D108="AL-5B",0.39,IF(D108="AL-6B",0.23,IF(D108="PH Classic",0.6*D105/D101*3.6,IF(D108="PH Low",1*D105/D101*3.6,IF(D108="PH+",0.1))))))))))))</f>
        <v>1.17</v>
      </c>
    </row>
    <row r="6277" spans="1:1" ht="11.75" customHeight="1">
      <c r="A6277" s="1989" t="b">
        <f>D108="AL-3A"</f>
        <v>0</v>
      </c>
    </row>
    <row r="6278" spans="1:1" ht="11.75" customHeight="1">
      <c r="A6278" s="1989">
        <f>IF(D108="AL-4A",0.35,IF(D108="AL-5A",0.21,IF(D108="AL-1B",1.17,IF(D108="AL-2B",0.98,IF(D108="AL-3B",0.78,IF(D108="AL-4B",0.59,IF(D108="AL-5B",0.39,IF(D108="AL-6B",0.23,IF(D108="PH Classic",0.6*D105/D101*3.6,IF(D108="PH Low",1*D105/D101*3.6,IF(D108="PH+",0.1)))))))))))</f>
        <v>1.17</v>
      </c>
    </row>
    <row r="6279" spans="1:1" ht="11.75" customHeight="1">
      <c r="A6279" s="1989" t="b">
        <f>D108="AL-4A"</f>
        <v>0</v>
      </c>
    </row>
    <row r="6280" spans="1:1" ht="11.75" customHeight="1">
      <c r="A6280" s="1989">
        <f>IF(D108="AL-5A",0.21,IF(D108="AL-1B",1.17,IF(D108="AL-2B",0.98,IF(D108="AL-3B",0.78,IF(D108="AL-4B",0.59,IF(D108="AL-5B",0.39,IF(D108="AL-6B",0.23,IF(D108="PH Classic",0.6*D105/D101*3.6,IF(D108="PH Low",1*D105/D101*3.6,IF(D108="PH+",0.1))))))))))</f>
        <v>1.17</v>
      </c>
    </row>
    <row r="6281" spans="1:1" ht="11.75" customHeight="1">
      <c r="A6281" s="1989" t="b">
        <f>D108="AL-5A"</f>
        <v>0</v>
      </c>
    </row>
    <row r="6282" spans="1:1" ht="11.75" customHeight="1">
      <c r="A6282" s="1989">
        <f>IF(D108="AL-1B",1.17,IF(D108="AL-2B",0.98,IF(D108="AL-3B",0.78,IF(D108="AL-4B",0.59,IF(D108="AL-5B",0.39,IF(D108="AL-6B",0.23,IF(D108="PH Classic",0.6*D105/D101*3.6,IF(D108="PH Low",1*D105/D101*3.6,IF(D108="PH+",0.1)))))))))</f>
        <v>1.17</v>
      </c>
    </row>
    <row r="6283" spans="1:1" ht="11.75" customHeight="1">
      <c r="A6283" s="1989" t="b">
        <f>D108="AL-1B"</f>
        <v>1</v>
      </c>
    </row>
    <row r="6284" spans="1:1" ht="11.75" customHeight="1">
      <c r="A6284" s="1989" t="b">
        <f>IF(D108="AL-2B",0.98,IF(D108="AL-3B",0.78,IF(D108="AL-4B",0.59,IF(D108="AL-5B",0.39,IF(D108="AL-6B",0.23,IF(D108="PH Classic",0.6*D105/D101*3.6,IF(D108="PH Low",1*D105/D101*3.6,IF(D108="PH+",0.1))))))))</f>
        <v>0</v>
      </c>
    </row>
    <row r="6285" spans="1:1" ht="11.75" customHeight="1">
      <c r="A6285" s="1989" t="b">
        <f>D108="AL-2B"</f>
        <v>0</v>
      </c>
    </row>
    <row r="6286" spans="1:1" ht="11.75" customHeight="1">
      <c r="A6286" s="1989" t="b">
        <f>IF(D108="AL-3B",0.78,IF(D108="AL-4B",0.59,IF(D108="AL-5B",0.39,IF(D108="AL-6B",0.23,IF(D108="PH Classic",0.6*D105/D101*3.6,IF(D108="PH Low",1*D105/D101*3.6,IF(D108="PH+",0.1)))))))</f>
        <v>0</v>
      </c>
    </row>
    <row r="6287" spans="1:1" ht="11.75" customHeight="1">
      <c r="A6287" s="1989" t="b">
        <f>D108="AL-3B"</f>
        <v>0</v>
      </c>
    </row>
    <row r="6288" spans="1:1" ht="11.75" customHeight="1">
      <c r="A6288" s="1989" t="b">
        <f>IF(D108="AL-4B",0.59,IF(D108="AL-5B",0.39,IF(D108="AL-6B",0.23,IF(D108="PH Classic",0.6*D105/D101*3.6,IF(D108="PH Low",1*D105/D101*3.6,IF(D108="PH+",0.1))))))</f>
        <v>0</v>
      </c>
    </row>
    <row r="6289" spans="1:1" ht="11.75" customHeight="1">
      <c r="A6289" s="1989" t="b">
        <f>D108="AL-4B"</f>
        <v>0</v>
      </c>
    </row>
    <row r="6290" spans="1:1" ht="11.75" customHeight="1">
      <c r="A6290" s="1989" t="b">
        <f>IF(D108="AL-5B",0.39,IF(D108="AL-6B",0.23,IF(D108="PH Classic",0.6*D105/D101*3.6,IF(D108="PH Low",1*D105/D101*3.6,IF(D108="PH+",0.1)))))</f>
        <v>0</v>
      </c>
    </row>
    <row r="6291" spans="1:1" ht="11.75" customHeight="1">
      <c r="A6291" s="1989" t="b">
        <f>D108="AL-5B"</f>
        <v>0</v>
      </c>
    </row>
    <row r="6292" spans="1:1" ht="11.75" customHeight="1">
      <c r="A6292" s="1989" t="b">
        <f>IF(D108="AL-6B",0.23,IF(D108="PH Classic",0.6*D105/D101*3.6,IF(D108="PH Low",1*D105/D101*3.6,IF(D108="PH+",0.1))))</f>
        <v>0</v>
      </c>
    </row>
    <row r="6293" spans="1:1" ht="11.75" customHeight="1">
      <c r="A6293" s="1989" t="b">
        <f>D108="AL-6B"</f>
        <v>0</v>
      </c>
    </row>
    <row r="6294" spans="1:1" ht="11.75" customHeight="1">
      <c r="A6294" s="1989" t="b">
        <f>IF(D108="PH Classic",0.6*D105/D101*3.6,IF(D108="PH Low",1*D105/D101*3.6,IF(D108="PH+",0.1)))</f>
        <v>0</v>
      </c>
    </row>
    <row r="6295" spans="1:1" ht="11.75" customHeight="1">
      <c r="A6295" s="1989" t="b">
        <f>D108="PH Classic"</f>
        <v>0</v>
      </c>
    </row>
    <row r="6296" spans="1:1" ht="11.75" customHeight="1">
      <c r="A6296" s="1989">
        <f>0.6*D105/D101*3.6</f>
        <v>6.9772512537248366</v>
      </c>
    </row>
    <row r="6297" spans="1:1" ht="11.75" customHeight="1">
      <c r="A6297" s="1989">
        <f>0.6*D105</f>
        <v>4800</v>
      </c>
    </row>
    <row r="6298" spans="1:1" ht="11.75" customHeight="1">
      <c r="A6298" s="1989">
        <f>D101*3.6</f>
        <v>8915.8319999999985</v>
      </c>
    </row>
    <row r="6299" spans="1:1" ht="11.75" customHeight="1">
      <c r="A6299" s="1989" t="b">
        <f>IF(D108="PH Low",1*D105/D101*3.6,IF(D108="PH+",0.1))</f>
        <v>0</v>
      </c>
    </row>
    <row r="6300" spans="1:1" ht="11.75" customHeight="1">
      <c r="A6300" s="1989" t="b">
        <f>D108="PH Low"</f>
        <v>0</v>
      </c>
    </row>
    <row r="6301" spans="1:1" ht="11.75" customHeight="1">
      <c r="A6301" s="1989">
        <f>1*D105/D101*3.6</f>
        <v>11.628752089541393</v>
      </c>
    </row>
    <row r="6302" spans="1:1" ht="11.75" customHeight="1">
      <c r="A6302" s="1989">
        <f>1*D105</f>
        <v>8000</v>
      </c>
    </row>
    <row r="6303" spans="1:1" ht="11.75" customHeight="1">
      <c r="A6303" s="1989">
        <f>D101*3.6</f>
        <v>8915.8319999999985</v>
      </c>
    </row>
    <row r="6304" spans="1:1" ht="11.75" customHeight="1">
      <c r="A6304" s="1989" t="b">
        <f>IF(D108="PH+",0.1)</f>
        <v>0</v>
      </c>
    </row>
    <row r="6305" spans="1:1" ht="11.75" customHeight="1">
      <c r="A6305" s="1989" t="b">
        <f>D108="PH+"</f>
        <v>0</v>
      </c>
    </row>
    <row r="6306" spans="1:1" ht="11.75" customHeight="1">
      <c r="A6306" s="1989">
        <f>IF(H20="Present",VLOOKUP(H19,CANADA!A6:K699,9,FALSE),VLOOKUP(H19,CANADA!A6:K699,11,FALSE))</f>
        <v>4600</v>
      </c>
    </row>
    <row r="6307" spans="1:1" ht="11.75" customHeight="1">
      <c r="A6307" s="1989">
        <f>MATCH('NRL50-n-Factors'!D34,'NRL50-n-Factors'!C38:C49,0)</f>
        <v>5</v>
      </c>
    </row>
    <row r="6308" spans="1:1" ht="11.75" customHeight="1">
      <c r="A6308" s="1990">
        <f>H27-D43</f>
        <v>132765.64793897627</v>
      </c>
    </row>
    <row r="6309" spans="1:1" ht="11.75" customHeight="1">
      <c r="A6309" s="1989" t="b">
        <f>D113="Electricity"</f>
        <v>0</v>
      </c>
    </row>
    <row r="6310" spans="1:1" ht="11.75" customHeight="1">
      <c r="A6310" s="1990">
        <f>I103+K51+D117+M121+I101+I102+M43+SUM(H65:H67)</f>
        <v>265287.6445956853</v>
      </c>
    </row>
    <row r="6311" spans="1:1" ht="11.75" customHeight="1">
      <c r="A6311" s="1990">
        <f>I103+K51+D117+M121+I101+I102+M43</f>
        <v>180897.30859568529</v>
      </c>
    </row>
    <row r="6312" spans="1:1" ht="11.75" customHeight="1">
      <c r="A6312" s="1990">
        <f>I103+K51+D117+M121+I101+I102</f>
        <v>180897.30859568529</v>
      </c>
    </row>
    <row r="6313" spans="1:1" ht="11.75" customHeight="1">
      <c r="A6313" s="1990">
        <f>I103+K51+D117+M121+I101</f>
        <v>164109.06314703665</v>
      </c>
    </row>
    <row r="6314" spans="1:1" ht="11.75" customHeight="1">
      <c r="A6314" s="1990">
        <f>I103+K51+D117+M121</f>
        <v>88005.3704468098</v>
      </c>
    </row>
    <row r="6315" spans="1:1" ht="11.75" customHeight="1">
      <c r="A6315" s="1990">
        <f>I103+K51+D117</f>
        <v>39024.570446809812</v>
      </c>
    </row>
    <row r="6316" spans="1:1" ht="11.75" customHeight="1">
      <c r="A6316" s="1990">
        <f>I103+K51</f>
        <v>36006.531012790423</v>
      </c>
    </row>
    <row r="6317" spans="1:1" ht="11.75" customHeight="1">
      <c r="A6317" s="1989">
        <f>1.21*G108*D20*24/1000*D101</f>
        <v>387079.06311359996</v>
      </c>
    </row>
    <row r="6318" spans="1:1" ht="11.75" customHeight="1">
      <c r="A6318" s="1989">
        <f>1.21*G108*D20*24/1000</f>
        <v>156.29328000000001</v>
      </c>
    </row>
    <row r="6319" spans="1:1" ht="11.75" customHeight="1">
      <c r="A6319" s="1989">
        <f>1.21*G108*D20*24</f>
        <v>156293.28</v>
      </c>
    </row>
    <row r="6320" spans="1:1" ht="11.75" customHeight="1">
      <c r="A6320" s="1989">
        <f>1.21*G108*D20</f>
        <v>6512.22</v>
      </c>
    </row>
    <row r="6321" spans="1:1" ht="11.75" customHeight="1">
      <c r="A6321" s="1989">
        <f>1.21*G108</f>
        <v>1.4157</v>
      </c>
    </row>
    <row r="6322" spans="1:1" ht="11.75" customHeight="1">
      <c r="A6322" s="1989" t="b">
        <f>D108="Measured"</f>
        <v>0</v>
      </c>
    </row>
    <row r="6323" spans="1:1" ht="11.75" customHeight="1">
      <c r="A6323" s="1989">
        <f>G109*D105/D101*3.6</f>
        <v>17.44312813431209</v>
      </c>
    </row>
    <row r="6324" spans="1:1" ht="11.75" customHeight="1">
      <c r="A6324" s="1989">
        <f>G109*D105</f>
        <v>12000</v>
      </c>
    </row>
    <row r="6325" spans="1:1" ht="11.75" customHeight="1">
      <c r="A6325" s="1989">
        <f>D101*3.6</f>
        <v>8915.8319999999985</v>
      </c>
    </row>
    <row r="6326" spans="1:1" ht="11.75" customHeight="1">
      <c r="A6326" s="1989">
        <f>IF(D108="AL-1A",0.89,IF(D108="AL-2A",0.71,IF(D108="AL-3A",0.53,IF(D108="AL-4A",0.35,IF(D108="AL-5A",0.21,IF(D108="AL-1B",1.17,IF(D108="AL-2B",0.98,IF(D108="AL-3B",0.78,IF(D108="AL-4B",0.59,IF(D108="AL-5B",0.39,IF(D108="AL-6B",0.23,IF(D108="PH Classic",0.6*D105/D101*3.6,IF(D108="PH Low",1*D105/D101*3.6,IF(D108="PH+",0.1))))))))))))))</f>
        <v>1.17</v>
      </c>
    </row>
    <row r="6327" spans="1:1" ht="11.75" customHeight="1">
      <c r="A6327" s="1989" t="b">
        <f>D108="AL-1A"</f>
        <v>0</v>
      </c>
    </row>
    <row r="6328" spans="1:1" ht="11.75" customHeight="1">
      <c r="A6328" s="1989">
        <f>IF(D108="AL-2A",0.71,IF(D108="AL-3A",0.53,IF(D108="AL-4A",0.35,IF(D108="AL-5A",0.21,IF(D108="AL-1B",1.17,IF(D108="AL-2B",0.98,IF(D108="AL-3B",0.78,IF(D108="AL-4B",0.59,IF(D108="AL-5B",0.39,IF(D108="AL-6B",0.23,IF(D108="PH Classic",0.6*D105/D101*3.6,IF(D108="PH Low",1*D105/D101*3.6,IF(D108="PH+",0.1)))))))))))))</f>
        <v>1.17</v>
      </c>
    </row>
    <row r="6329" spans="1:1" ht="11.75" customHeight="1">
      <c r="A6329" s="1989" t="b">
        <f>D108="AL-2A"</f>
        <v>0</v>
      </c>
    </row>
    <row r="6330" spans="1:1" ht="11.75" customHeight="1">
      <c r="A6330" s="1989">
        <f>IF(D108="AL-3A",0.53,IF(D108="AL-4A",0.35,IF(D108="AL-5A",0.21,IF(D108="AL-1B",1.17,IF(D108="AL-2B",0.98,IF(D108="AL-3B",0.78,IF(D108="AL-4B",0.59,IF(D108="AL-5B",0.39,IF(D108="AL-6B",0.23,IF(D108="PH Classic",0.6*D105/D101*3.6,IF(D108="PH Low",1*D105/D101*3.6,IF(D108="PH+",0.1))))))))))))</f>
        <v>1.17</v>
      </c>
    </row>
    <row r="6331" spans="1:1" ht="11.75" customHeight="1">
      <c r="A6331" s="1989" t="b">
        <f>D108="AL-3A"</f>
        <v>0</v>
      </c>
    </row>
    <row r="6332" spans="1:1" ht="11.75" customHeight="1">
      <c r="A6332" s="1989">
        <f>IF(D108="AL-4A",0.35,IF(D108="AL-5A",0.21,IF(D108="AL-1B",1.17,IF(D108="AL-2B",0.98,IF(D108="AL-3B",0.78,IF(D108="AL-4B",0.59,IF(D108="AL-5B",0.39,IF(D108="AL-6B",0.23,IF(D108="PH Classic",0.6*D105/D101*3.6,IF(D108="PH Low",1*D105/D101*3.6,IF(D108="PH+",0.1)))))))))))</f>
        <v>1.17</v>
      </c>
    </row>
    <row r="6333" spans="1:1" ht="11.75" customHeight="1">
      <c r="A6333" s="1989" t="b">
        <f>D108="AL-4A"</f>
        <v>0</v>
      </c>
    </row>
    <row r="6334" spans="1:1" ht="11.75" customHeight="1">
      <c r="A6334" s="1989">
        <f>IF(D108="AL-5A",0.21,IF(D108="AL-1B",1.17,IF(D108="AL-2B",0.98,IF(D108="AL-3B",0.78,IF(D108="AL-4B",0.59,IF(D108="AL-5B",0.39,IF(D108="AL-6B",0.23,IF(D108="PH Classic",0.6*D105/D101*3.6,IF(D108="PH Low",1*D105/D101*3.6,IF(D108="PH+",0.1))))))))))</f>
        <v>1.17</v>
      </c>
    </row>
    <row r="6335" spans="1:1" ht="11.75" customHeight="1">
      <c r="A6335" s="1989" t="b">
        <f>D108="AL-5A"</f>
        <v>0</v>
      </c>
    </row>
    <row r="6336" spans="1:1" ht="11.75" customHeight="1">
      <c r="A6336" s="1989">
        <f>IF(D108="AL-1B",1.17,IF(D108="AL-2B",0.98,IF(D108="AL-3B",0.78,IF(D108="AL-4B",0.59,IF(D108="AL-5B",0.39,IF(D108="AL-6B",0.23,IF(D108="PH Classic",0.6*D105/D101*3.6,IF(D108="PH Low",1*D105/D101*3.6,IF(D108="PH+",0.1)))))))))</f>
        <v>1.17</v>
      </c>
    </row>
    <row r="6337" spans="1:1" ht="11.75" customHeight="1">
      <c r="A6337" s="1989" t="b">
        <f>D108="AL-1B"</f>
        <v>1</v>
      </c>
    </row>
    <row r="6338" spans="1:1" ht="11.75" customHeight="1">
      <c r="A6338" s="1989" t="b">
        <f>IF(D108="AL-2B",0.98,IF(D108="AL-3B",0.78,IF(D108="AL-4B",0.59,IF(D108="AL-5B",0.39,IF(D108="AL-6B",0.23,IF(D108="PH Classic",0.6*D105/D101*3.6,IF(D108="PH Low",1*D105/D101*3.6,IF(D108="PH+",0.1))))))))</f>
        <v>0</v>
      </c>
    </row>
    <row r="6339" spans="1:1" ht="11.75" customHeight="1">
      <c r="A6339" s="1989" t="b">
        <f>D108="AL-2B"</f>
        <v>0</v>
      </c>
    </row>
    <row r="6340" spans="1:1" ht="11.75" customHeight="1">
      <c r="A6340" s="1989" t="b">
        <f>IF(D108="AL-3B",0.78,IF(D108="AL-4B",0.59,IF(D108="AL-5B",0.39,IF(D108="AL-6B",0.23,IF(D108="PH Classic",0.6*D105/D101*3.6,IF(D108="PH Low",1*D105/D101*3.6,IF(D108="PH+",0.1)))))))</f>
        <v>0</v>
      </c>
    </row>
    <row r="6341" spans="1:1" ht="11.75" customHeight="1">
      <c r="A6341" s="1989" t="b">
        <f>D108="AL-3B"</f>
        <v>0</v>
      </c>
    </row>
    <row r="6342" spans="1:1" ht="11.75" customHeight="1">
      <c r="A6342" s="1989" t="b">
        <f>IF(D108="AL-4B",0.59,IF(D108="AL-5B",0.39,IF(D108="AL-6B",0.23,IF(D108="PH Classic",0.6*D105/D101*3.6,IF(D108="PH Low",1*D105/D101*3.6,IF(D108="PH+",0.1))))))</f>
        <v>0</v>
      </c>
    </row>
    <row r="6343" spans="1:1" ht="11.75" customHeight="1">
      <c r="A6343" s="1989" t="b">
        <f>D108="AL-4B"</f>
        <v>0</v>
      </c>
    </row>
    <row r="6344" spans="1:1" ht="11.75" customHeight="1">
      <c r="A6344" s="1989" t="b">
        <f>IF(D108="AL-5B",0.39,IF(D108="AL-6B",0.23,IF(D108="PH Classic",0.6*D105/D101*3.6,IF(D108="PH Low",1*D105/D101*3.6,IF(D108="PH+",0.1)))))</f>
        <v>0</v>
      </c>
    </row>
    <row r="6345" spans="1:1" ht="11.75" customHeight="1">
      <c r="A6345" s="1989" t="b">
        <f>D108="AL-5B"</f>
        <v>0</v>
      </c>
    </row>
    <row r="6346" spans="1:1" ht="11.75" customHeight="1">
      <c r="A6346" s="1989" t="b">
        <f>IF(D108="AL-6B",0.23,IF(D108="PH Classic",0.6*D105/D101*3.6,IF(D108="PH Low",1*D105/D101*3.6,IF(D108="PH+",0.1))))</f>
        <v>0</v>
      </c>
    </row>
    <row r="6347" spans="1:1" ht="11.75" customHeight="1">
      <c r="A6347" s="1989" t="b">
        <f>D108="AL-6B"</f>
        <v>0</v>
      </c>
    </row>
    <row r="6348" spans="1:1" ht="11.75" customHeight="1">
      <c r="A6348" s="1989" t="b">
        <f>IF(D108="PH Classic",0.6*D105/D101*3.6,IF(D108="PH Low",1*D105/D101*3.6,IF(D108="PH+",0.1)))</f>
        <v>0</v>
      </c>
    </row>
    <row r="6349" spans="1:1" ht="11.75" customHeight="1">
      <c r="A6349" s="1989" t="b">
        <f>D108="PH Classic"</f>
        <v>0</v>
      </c>
    </row>
    <row r="6350" spans="1:1" ht="11.75" customHeight="1">
      <c r="A6350" s="1989">
        <f>0.6*D105/D101*3.6</f>
        <v>6.9772512537248366</v>
      </c>
    </row>
    <row r="6351" spans="1:1" ht="11.75" customHeight="1">
      <c r="A6351" s="1989">
        <f>0.6*D105</f>
        <v>4800</v>
      </c>
    </row>
    <row r="6352" spans="1:1" ht="11.75" customHeight="1">
      <c r="A6352" s="1989">
        <f>D101*3.6</f>
        <v>8915.8319999999985</v>
      </c>
    </row>
    <row r="6353" spans="1:1" ht="11.75" customHeight="1">
      <c r="A6353" s="1989" t="b">
        <f>IF(D108="PH Low",1*D105/D101*3.6,IF(D108="PH+",0.1))</f>
        <v>0</v>
      </c>
    </row>
    <row r="6354" spans="1:1" ht="11.75" customHeight="1">
      <c r="A6354" s="1989" t="b">
        <f>D108="PH Low"</f>
        <v>0</v>
      </c>
    </row>
    <row r="6355" spans="1:1" ht="11.75" customHeight="1">
      <c r="A6355" s="1989">
        <f>1*D105/D101*3.6</f>
        <v>11.628752089541393</v>
      </c>
    </row>
    <row r="6356" spans="1:1" ht="11.75" customHeight="1">
      <c r="A6356" s="1989">
        <f>1*D105</f>
        <v>8000</v>
      </c>
    </row>
    <row r="6357" spans="1:1" ht="11.75" customHeight="1">
      <c r="A6357" s="1989">
        <f>D101*3.6</f>
        <v>8915.8319999999985</v>
      </c>
    </row>
    <row r="6358" spans="1:1" ht="11.75" customHeight="1">
      <c r="A6358" s="1989" t="b">
        <f>IF(D108="PH+",0.1)</f>
        <v>0</v>
      </c>
    </row>
    <row r="6359" spans="1:1" ht="11.75" customHeight="1">
      <c r="A6359" s="1989" t="b">
        <f>D108="PH+"</f>
        <v>0</v>
      </c>
    </row>
    <row r="6360" spans="1:1" ht="11.75" customHeight="1">
      <c r="A6360" s="1989">
        <f>IF(H20="Present",VLOOKUP(H19,CANADA!A6:K699,9,FALSE),VLOOKUP(H19,CANADA!A6:K699,11,FALSE))</f>
        <v>4600</v>
      </c>
    </row>
    <row r="6361" spans="1:1" ht="11.75" customHeight="1">
      <c r="A6361" s="1989">
        <f>MATCH('NRL50-n-Factors'!D34,'NRL50-n-Factors'!C38:C49,0)</f>
        <v>5</v>
      </c>
    </row>
    <row r="6362" spans="1:1" ht="11.75" customHeight="1">
      <c r="A6362" s="1990">
        <f>H27-D43</f>
        <v>132765.64793897627</v>
      </c>
    </row>
    <row r="6363" spans="1:1" ht="11.75" customHeight="1">
      <c r="A6363" s="1989" t="b">
        <f>D113="Electricity"</f>
        <v>0</v>
      </c>
    </row>
    <row r="6364" spans="1:1" ht="11.75" customHeight="1">
      <c r="A6364" s="1990">
        <f>I103+K51+D117+M121+I101+I102+M43+SUM(H65:H67)</f>
        <v>265287.6445956853</v>
      </c>
    </row>
    <row r="6365" spans="1:1" ht="11.75" customHeight="1">
      <c r="A6365" s="1990">
        <f>I103+K51+D117+M121+I101+I102+M43</f>
        <v>180897.30859568529</v>
      </c>
    </row>
    <row r="6366" spans="1:1" ht="11.75" customHeight="1">
      <c r="A6366" s="1990">
        <f>I103+K51+D117+M121+I101+I102</f>
        <v>180897.30859568529</v>
      </c>
    </row>
    <row r="6367" spans="1:1" ht="11.75" customHeight="1">
      <c r="A6367" s="1990">
        <f>I103+K51+D117+M121+I101</f>
        <v>164109.06314703665</v>
      </c>
    </row>
    <row r="6368" spans="1:1" ht="11.75" customHeight="1">
      <c r="A6368" s="1990">
        <f>I103+K51+D117+M121</f>
        <v>88005.3704468098</v>
      </c>
    </row>
    <row r="6369" spans="1:1" ht="11.75" customHeight="1">
      <c r="A6369" s="1990">
        <f>I103+K51+D117</f>
        <v>39024.570446809812</v>
      </c>
    </row>
    <row r="6370" spans="1:1" ht="11.75" customHeight="1">
      <c r="A6370" s="1990">
        <f>I103+K51</f>
        <v>36006.531012790423</v>
      </c>
    </row>
    <row r="6371" spans="1:1" ht="11.75" customHeight="1">
      <c r="A6371" s="1989">
        <f>1.21*G108*D20*24/1000*D101</f>
        <v>387079.06311359996</v>
      </c>
    </row>
    <row r="6372" spans="1:1" ht="11.75" customHeight="1">
      <c r="A6372" s="1989">
        <f>1.21*G108*D20*24/1000</f>
        <v>156.29328000000001</v>
      </c>
    </row>
    <row r="6373" spans="1:1" ht="11.75" customHeight="1">
      <c r="A6373" s="1989">
        <f>1.21*G108*D20*24</f>
        <v>156293.28</v>
      </c>
    </row>
    <row r="6374" spans="1:1" ht="11.75" customHeight="1">
      <c r="A6374" s="1989">
        <f>1.21*G108*D20</f>
        <v>6512.22</v>
      </c>
    </row>
    <row r="6375" spans="1:1" ht="11.75" customHeight="1">
      <c r="A6375" s="1989">
        <f>1.21*G108</f>
        <v>1.4157</v>
      </c>
    </row>
    <row r="6376" spans="1:1" ht="11.75" customHeight="1">
      <c r="A6376" s="1989" t="b">
        <f>D108="Measured"</f>
        <v>0</v>
      </c>
    </row>
    <row r="6377" spans="1:1" ht="11.75" customHeight="1">
      <c r="A6377" s="1989">
        <f>G109*D105/D101*3.6</f>
        <v>17.44312813431209</v>
      </c>
    </row>
    <row r="6378" spans="1:1" ht="11.75" customHeight="1">
      <c r="A6378" s="1989">
        <f>G109*D105</f>
        <v>12000</v>
      </c>
    </row>
    <row r="6379" spans="1:1" ht="11.75" customHeight="1">
      <c r="A6379" s="1989">
        <f>D101*3.6</f>
        <v>8915.8319999999985</v>
      </c>
    </row>
    <row r="6380" spans="1:1" ht="11.75" customHeight="1">
      <c r="A6380" s="1989">
        <f>IF(D108="AL-1A",0.89,IF(D108="AL-2A",0.71,IF(D108="AL-3A",0.53,IF(D108="AL-4A",0.35,IF(D108="AL-5A",0.21,IF(D108="AL-1B",1.17,IF(D108="AL-2B",0.98,IF(D108="AL-3B",0.78,IF(D108="AL-4B",0.59,IF(D108="AL-5B",0.39,IF(D108="AL-6B",0.23,IF(D108="PH Classic",0.6*D105/D101*3.6,IF(D108="PH Low",1*D105/D101*3.6,IF(D108="PH+",0.1))))))))))))))</f>
        <v>1.17</v>
      </c>
    </row>
    <row r="6381" spans="1:1" ht="11.75" customHeight="1">
      <c r="A6381" s="1989" t="b">
        <f>D108="AL-1A"</f>
        <v>0</v>
      </c>
    </row>
    <row r="6382" spans="1:1" ht="11.75" customHeight="1">
      <c r="A6382" s="1989">
        <f>IF(D108="AL-2A",0.71,IF(D108="AL-3A",0.53,IF(D108="AL-4A",0.35,IF(D108="AL-5A",0.21,IF(D108="AL-1B",1.17,IF(D108="AL-2B",0.98,IF(D108="AL-3B",0.78,IF(D108="AL-4B",0.59,IF(D108="AL-5B",0.39,IF(D108="AL-6B",0.23,IF(D108="PH Classic",0.6*D105/D101*3.6,IF(D108="PH Low",1*D105/D101*3.6,IF(D108="PH+",0.1)))))))))))))</f>
        <v>1.17</v>
      </c>
    </row>
    <row r="6383" spans="1:1" ht="11.75" customHeight="1">
      <c r="A6383" s="1989" t="b">
        <f>D108="AL-2A"</f>
        <v>0</v>
      </c>
    </row>
    <row r="6384" spans="1:1" ht="11.75" customHeight="1">
      <c r="A6384" s="1989">
        <f>IF(D108="AL-3A",0.53,IF(D108="AL-4A",0.35,IF(D108="AL-5A",0.21,IF(D108="AL-1B",1.17,IF(D108="AL-2B",0.98,IF(D108="AL-3B",0.78,IF(D108="AL-4B",0.59,IF(D108="AL-5B",0.39,IF(D108="AL-6B",0.23,IF(D108="PH Classic",0.6*D105/D101*3.6,IF(D108="PH Low",1*D105/D101*3.6,IF(D108="PH+",0.1))))))))))))</f>
        <v>1.17</v>
      </c>
    </row>
    <row r="6385" spans="1:1" ht="11.75" customHeight="1">
      <c r="A6385" s="1989" t="b">
        <f>D108="AL-3A"</f>
        <v>0</v>
      </c>
    </row>
    <row r="6386" spans="1:1" ht="11.75" customHeight="1">
      <c r="A6386" s="1989">
        <f>IF(D108="AL-4A",0.35,IF(D108="AL-5A",0.21,IF(D108="AL-1B",1.17,IF(D108="AL-2B",0.98,IF(D108="AL-3B",0.78,IF(D108="AL-4B",0.59,IF(D108="AL-5B",0.39,IF(D108="AL-6B",0.23,IF(D108="PH Classic",0.6*D105/D101*3.6,IF(D108="PH Low",1*D105/D101*3.6,IF(D108="PH+",0.1)))))))))))</f>
        <v>1.17</v>
      </c>
    </row>
    <row r="6387" spans="1:1" ht="11.75" customHeight="1">
      <c r="A6387" s="1989" t="b">
        <f>D108="AL-4A"</f>
        <v>0</v>
      </c>
    </row>
    <row r="6388" spans="1:1" ht="11.75" customHeight="1">
      <c r="A6388" s="1989">
        <f>IF(D108="AL-5A",0.21,IF(D108="AL-1B",1.17,IF(D108="AL-2B",0.98,IF(D108="AL-3B",0.78,IF(D108="AL-4B",0.59,IF(D108="AL-5B",0.39,IF(D108="AL-6B",0.23,IF(D108="PH Classic",0.6*D105/D101*3.6,IF(D108="PH Low",1*D105/D101*3.6,IF(D108="PH+",0.1))))))))))</f>
        <v>1.17</v>
      </c>
    </row>
    <row r="6389" spans="1:1" ht="11.75" customHeight="1">
      <c r="A6389" s="1989" t="b">
        <f>D108="AL-5A"</f>
        <v>0</v>
      </c>
    </row>
    <row r="6390" spans="1:1" ht="11.75" customHeight="1">
      <c r="A6390" s="1989">
        <f>IF(D108="AL-1B",1.17,IF(D108="AL-2B",0.98,IF(D108="AL-3B",0.78,IF(D108="AL-4B",0.59,IF(D108="AL-5B",0.39,IF(D108="AL-6B",0.23,IF(D108="PH Classic",0.6*D105/D101*3.6,IF(D108="PH Low",1*D105/D101*3.6,IF(D108="PH+",0.1)))))))))</f>
        <v>1.17</v>
      </c>
    </row>
    <row r="6391" spans="1:1" ht="11.75" customHeight="1">
      <c r="A6391" s="1989" t="b">
        <f>D108="AL-1B"</f>
        <v>1</v>
      </c>
    </row>
    <row r="6392" spans="1:1" ht="11.75" customHeight="1">
      <c r="A6392" s="1989" t="b">
        <f>IF(D108="AL-2B",0.98,IF(D108="AL-3B",0.78,IF(D108="AL-4B",0.59,IF(D108="AL-5B",0.39,IF(D108="AL-6B",0.23,IF(D108="PH Classic",0.6*D105/D101*3.6,IF(D108="PH Low",1*D105/D101*3.6,IF(D108="PH+",0.1))))))))</f>
        <v>0</v>
      </c>
    </row>
    <row r="6393" spans="1:1" ht="11.75" customHeight="1">
      <c r="A6393" s="1989" t="b">
        <f>D108="AL-2B"</f>
        <v>0</v>
      </c>
    </row>
    <row r="6394" spans="1:1" ht="11.75" customHeight="1">
      <c r="A6394" s="1989" t="b">
        <f>IF(D108="AL-3B",0.78,IF(D108="AL-4B",0.59,IF(D108="AL-5B",0.39,IF(D108="AL-6B",0.23,IF(D108="PH Classic",0.6*D105/D101*3.6,IF(D108="PH Low",1*D105/D101*3.6,IF(D108="PH+",0.1)))))))</f>
        <v>0</v>
      </c>
    </row>
    <row r="6395" spans="1:1" ht="11.75" customHeight="1">
      <c r="A6395" s="1989" t="b">
        <f>D108="AL-3B"</f>
        <v>0</v>
      </c>
    </row>
    <row r="6396" spans="1:1" ht="11.75" customHeight="1">
      <c r="A6396" s="1989" t="b">
        <f>IF(D108="AL-4B",0.59,IF(D108="AL-5B",0.39,IF(D108="AL-6B",0.23,IF(D108="PH Classic",0.6*D105/D101*3.6,IF(D108="PH Low",1*D105/D101*3.6,IF(D108="PH+",0.1))))))</f>
        <v>0</v>
      </c>
    </row>
    <row r="6397" spans="1:1" ht="11.75" customHeight="1">
      <c r="A6397" s="1989" t="b">
        <f>D108="AL-4B"</f>
        <v>0</v>
      </c>
    </row>
    <row r="6398" spans="1:1" ht="11.75" customHeight="1">
      <c r="A6398" s="1989" t="b">
        <f>IF(D108="AL-5B",0.39,IF(D108="AL-6B",0.23,IF(D108="PH Classic",0.6*D105/D101*3.6,IF(D108="PH Low",1*D105/D101*3.6,IF(D108="PH+",0.1)))))</f>
        <v>0</v>
      </c>
    </row>
    <row r="6399" spans="1:1" ht="11.75" customHeight="1">
      <c r="A6399" s="1989" t="b">
        <f>D108="AL-5B"</f>
        <v>0</v>
      </c>
    </row>
    <row r="6400" spans="1:1" ht="11.75" customHeight="1">
      <c r="A6400" s="1989" t="b">
        <f>IF(D108="AL-6B",0.23,IF(D108="PH Classic",0.6*D105/D101*3.6,IF(D108="PH Low",1*D105/D101*3.6,IF(D108="PH+",0.1))))</f>
        <v>0</v>
      </c>
    </row>
    <row r="6401" spans="1:1" ht="11.75" customHeight="1">
      <c r="A6401" s="1989" t="b">
        <f>D108="AL-6B"</f>
        <v>0</v>
      </c>
    </row>
    <row r="6402" spans="1:1" ht="11.75" customHeight="1">
      <c r="A6402" s="1989" t="b">
        <f>IF(D108="PH Classic",0.6*D105/D101*3.6,IF(D108="PH Low",1*D105/D101*3.6,IF(D108="PH+",0.1)))</f>
        <v>0</v>
      </c>
    </row>
    <row r="6403" spans="1:1" ht="11.75" customHeight="1">
      <c r="A6403" s="1989" t="b">
        <f>D108="PH Classic"</f>
        <v>0</v>
      </c>
    </row>
    <row r="6404" spans="1:1" ht="11.75" customHeight="1">
      <c r="A6404" s="1989">
        <f>0.6*D105/D101*3.6</f>
        <v>6.9772512537248366</v>
      </c>
    </row>
    <row r="6405" spans="1:1" ht="11.75" customHeight="1">
      <c r="A6405" s="1989">
        <f>0.6*D105</f>
        <v>4800</v>
      </c>
    </row>
    <row r="6406" spans="1:1" ht="11.75" customHeight="1">
      <c r="A6406" s="1989">
        <f>D101*3.6</f>
        <v>8915.8319999999985</v>
      </c>
    </row>
    <row r="6407" spans="1:1" ht="11.75" customHeight="1">
      <c r="A6407" s="1989" t="b">
        <f>IF(D108="PH Low",1*D105/D101*3.6,IF(D108="PH+",0.1))</f>
        <v>0</v>
      </c>
    </row>
    <row r="6408" spans="1:1" ht="11.75" customHeight="1">
      <c r="A6408" s="1989" t="b">
        <f>D108="PH Low"</f>
        <v>0</v>
      </c>
    </row>
    <row r="6409" spans="1:1" ht="11.75" customHeight="1">
      <c r="A6409" s="1989">
        <f>1*D105/D101*3.6</f>
        <v>11.628752089541393</v>
      </c>
    </row>
    <row r="6410" spans="1:1" ht="11.75" customHeight="1">
      <c r="A6410" s="1989">
        <f>1*D105</f>
        <v>8000</v>
      </c>
    </row>
    <row r="6411" spans="1:1" ht="11.75" customHeight="1">
      <c r="A6411" s="1989">
        <f>D101*3.6</f>
        <v>8915.8319999999985</v>
      </c>
    </row>
    <row r="6412" spans="1:1" ht="11.75" customHeight="1">
      <c r="A6412" s="1990">
        <f>H27-D43</f>
        <v>132765.64793897627</v>
      </c>
    </row>
    <row r="6413" spans="1:1" ht="11.75" customHeight="1">
      <c r="A6413" s="1989" t="b">
        <f>D113="Electricity"</f>
        <v>0</v>
      </c>
    </row>
    <row r="6414" spans="1:1" ht="11.75" customHeight="1">
      <c r="A6414" s="1990">
        <f>I103+K51+D117+M121+I101+I102+M43+SUM(H65:H67)</f>
        <v>265287.6445956853</v>
      </c>
    </row>
    <row r="6415" spans="1:1" ht="11.75" customHeight="1">
      <c r="A6415" s="1990">
        <f>I103+K51+D117+M121+I101+I102+M43</f>
        <v>180897.30859568529</v>
      </c>
    </row>
    <row r="6416" spans="1:1" ht="11.75" customHeight="1">
      <c r="A6416" s="1990">
        <f>I103+K51+D117+M121+I101+I102</f>
        <v>180897.30859568529</v>
      </c>
    </row>
    <row r="6417" spans="1:1" ht="11.75" customHeight="1">
      <c r="A6417" s="1990">
        <f>I103+K51+D117+M121+I101</f>
        <v>164109.06314703665</v>
      </c>
    </row>
    <row r="6418" spans="1:1" ht="11.75" customHeight="1">
      <c r="A6418" s="1990">
        <f>I103+K51+D117+M121</f>
        <v>88005.3704468098</v>
      </c>
    </row>
    <row r="6419" spans="1:1" ht="11.75" customHeight="1">
      <c r="A6419" s="1990">
        <f>I103+K51+D117</f>
        <v>39024.570446809812</v>
      </c>
    </row>
    <row r="6420" spans="1:1" ht="11.75" customHeight="1">
      <c r="A6420" s="1990">
        <f>I103+K51</f>
        <v>36006.531012790423</v>
      </c>
    </row>
    <row r="6421" spans="1:1" ht="11.75" customHeight="1">
      <c r="A6421" s="1989">
        <f>1.21*G108*D20*24/1000*D101</f>
        <v>387079.06311359996</v>
      </c>
    </row>
    <row r="6422" spans="1:1" ht="11.75" customHeight="1">
      <c r="A6422" s="1989">
        <f>1.21*G108*D20*24/1000</f>
        <v>156.29328000000001</v>
      </c>
    </row>
    <row r="6423" spans="1:1" ht="11.75" customHeight="1">
      <c r="A6423" s="1989">
        <f>1.21*G108*D20*24</f>
        <v>156293.28</v>
      </c>
    </row>
    <row r="6424" spans="1:1" ht="11.75" customHeight="1">
      <c r="A6424" s="1989">
        <f>1.21*G108*D20</f>
        <v>6512.22</v>
      </c>
    </row>
    <row r="6425" spans="1:1" ht="11.75" customHeight="1">
      <c r="A6425" s="1989">
        <f>1.21*G108</f>
        <v>1.4157</v>
      </c>
    </row>
    <row r="6426" spans="1:1" ht="11.75" customHeight="1">
      <c r="A6426" s="1989" t="b">
        <f>D108="Measured"</f>
        <v>0</v>
      </c>
    </row>
    <row r="6427" spans="1:1" ht="11.75" customHeight="1">
      <c r="A6427" s="1989">
        <f>G109*D105/D101*3.6</f>
        <v>17.44312813431209</v>
      </c>
    </row>
    <row r="6428" spans="1:1" ht="11.75" customHeight="1">
      <c r="A6428" s="1989">
        <f>G109*D105</f>
        <v>12000</v>
      </c>
    </row>
    <row r="6429" spans="1:1" ht="11.75" customHeight="1">
      <c r="A6429" s="1989">
        <f>D101*3.6</f>
        <v>8915.8319999999985</v>
      </c>
    </row>
    <row r="6430" spans="1:1" ht="11.75" customHeight="1">
      <c r="A6430" s="1989">
        <f>IF(D108="AL-1A",0.89,IF(D108="AL-2A",0.71,IF(D108="AL-3A",0.53,IF(D108="AL-4A",0.35,IF(D108="AL-5A",0.21,IF(D108="AL-1B",1.17,IF(D108="AL-2B",0.98,IF(D108="AL-3B",0.78,IF(D108="AL-4B",0.59,IF(D108="AL-5B",0.39,IF(D108="AL-6B",0.23,IF(D108="PH Classic",0.6*D105/D101*3.6,IF(D108="PH Low",1*D105/D101*3.6,IF(D108="PH+",0.1))))))))))))))</f>
        <v>1.17</v>
      </c>
    </row>
    <row r="6431" spans="1:1" ht="11.75" customHeight="1">
      <c r="A6431" s="1989" t="b">
        <f>D108="AL-1A"</f>
        <v>0</v>
      </c>
    </row>
    <row r="6432" spans="1:1" ht="11.75" customHeight="1">
      <c r="A6432" s="1989">
        <f>IF(D108="AL-2A",0.71,IF(D108="AL-3A",0.53,IF(D108="AL-4A",0.35,IF(D108="AL-5A",0.21,IF(D108="AL-1B",1.17,IF(D108="AL-2B",0.98,IF(D108="AL-3B",0.78,IF(D108="AL-4B",0.59,IF(D108="AL-5B",0.39,IF(D108="AL-6B",0.23,IF(D108="PH Classic",0.6*D105/D101*3.6,IF(D108="PH Low",1*D105/D101*3.6,IF(D108="PH+",0.1)))))))))))))</f>
        <v>1.17</v>
      </c>
    </row>
    <row r="6433" spans="1:1" ht="11.75" customHeight="1">
      <c r="A6433" s="1989" t="b">
        <f>D108="AL-2A"</f>
        <v>0</v>
      </c>
    </row>
    <row r="6434" spans="1:1" ht="11.75" customHeight="1">
      <c r="A6434" s="1989">
        <f>IF(D108="AL-3A",0.53,IF(D108="AL-4A",0.35,IF(D108="AL-5A",0.21,IF(D108="AL-1B",1.17,IF(D108="AL-2B",0.98,IF(D108="AL-3B",0.78,IF(D108="AL-4B",0.59,IF(D108="AL-5B",0.39,IF(D108="AL-6B",0.23,IF(D108="PH Classic",0.6*D105/D101*3.6,IF(D108="PH Low",1*D105/D101*3.6,IF(D108="PH+",0.1))))))))))))</f>
        <v>1.17</v>
      </c>
    </row>
    <row r="6435" spans="1:1" ht="11.75" customHeight="1">
      <c r="A6435" s="1989" t="b">
        <f>D108="AL-3A"</f>
        <v>0</v>
      </c>
    </row>
    <row r="6436" spans="1:1" ht="11.75" customHeight="1">
      <c r="A6436" s="1989">
        <f>IF(D108="AL-4A",0.35,IF(D108="AL-5A",0.21,IF(D108="AL-1B",1.17,IF(D108="AL-2B",0.98,IF(D108="AL-3B",0.78,IF(D108="AL-4B",0.59,IF(D108="AL-5B",0.39,IF(D108="AL-6B",0.23,IF(D108="PH Classic",0.6*D105/D101*3.6,IF(D108="PH Low",1*D105/D101*3.6,IF(D108="PH+",0.1)))))))))))</f>
        <v>1.17</v>
      </c>
    </row>
    <row r="6437" spans="1:1" ht="11.75" customHeight="1">
      <c r="A6437" s="1989" t="b">
        <f>D108="AL-4A"</f>
        <v>0</v>
      </c>
    </row>
    <row r="6438" spans="1:1" ht="11.75" customHeight="1">
      <c r="A6438" s="1989">
        <f>IF(D108="AL-5A",0.21,IF(D108="AL-1B",1.17,IF(D108="AL-2B",0.98,IF(D108="AL-3B",0.78,IF(D108="AL-4B",0.59,IF(D108="AL-5B",0.39,IF(D108="AL-6B",0.23,IF(D108="PH Classic",0.6*D105/D101*3.6,IF(D108="PH Low",1*D105/D101*3.6,IF(D108="PH+",0.1))))))))))</f>
        <v>1.17</v>
      </c>
    </row>
    <row r="6439" spans="1:1" ht="11.75" customHeight="1">
      <c r="A6439" s="1989" t="b">
        <f>D108="AL-5A"</f>
        <v>0</v>
      </c>
    </row>
    <row r="6440" spans="1:1" ht="11.75" customHeight="1">
      <c r="A6440" s="1989">
        <f>IF(D108="AL-1B",1.17,IF(D108="AL-2B",0.98,IF(D108="AL-3B",0.78,IF(D108="AL-4B",0.59,IF(D108="AL-5B",0.39,IF(D108="AL-6B",0.23,IF(D108="PH Classic",0.6*D105/D101*3.6,IF(D108="PH Low",1*D105/D101*3.6,IF(D108="PH+",0.1)))))))))</f>
        <v>1.17</v>
      </c>
    </row>
    <row r="6441" spans="1:1" ht="11.75" customHeight="1">
      <c r="A6441" s="1989" t="b">
        <f>D108="AL-1B"</f>
        <v>1</v>
      </c>
    </row>
    <row r="6442" spans="1:1" ht="11.75" customHeight="1">
      <c r="A6442" s="1989" t="b">
        <f>IF(D108="AL-2B",0.98,IF(D108="AL-3B",0.78,IF(D108="AL-4B",0.59,IF(D108="AL-5B",0.39,IF(D108="AL-6B",0.23,IF(D108="PH Classic",0.6*D105/D101*3.6,IF(D108="PH Low",1*D105/D101*3.6,IF(D108="PH+",0.1))))))))</f>
        <v>0</v>
      </c>
    </row>
    <row r="6443" spans="1:1" ht="11.75" customHeight="1">
      <c r="A6443" s="1989" t="b">
        <f>D108="AL-2B"</f>
        <v>0</v>
      </c>
    </row>
    <row r="6444" spans="1:1" ht="11.75" customHeight="1">
      <c r="A6444" s="1989" t="b">
        <f>IF(D108="AL-3B",0.78,IF(D108="AL-4B",0.59,IF(D108="AL-5B",0.39,IF(D108="AL-6B",0.23,IF(D108="PH Classic",0.6*D105/D101*3.6,IF(D108="PH Low",1*D105/D101*3.6,IF(D108="PH+",0.1)))))))</f>
        <v>0</v>
      </c>
    </row>
    <row r="6445" spans="1:1" ht="11.75" customHeight="1">
      <c r="A6445" s="1989" t="b">
        <f>D108="AL-3B"</f>
        <v>0</v>
      </c>
    </row>
    <row r="6446" spans="1:1" ht="11.75" customHeight="1">
      <c r="A6446" s="1989" t="b">
        <f>IF(D108="AL-4B",0.59,IF(D108="AL-5B",0.39,IF(D108="AL-6B",0.23,IF(D108="PH Classic",0.6*D105/D101*3.6,IF(D108="PH Low",1*D105/D101*3.6,IF(D108="PH+",0.1))))))</f>
        <v>0</v>
      </c>
    </row>
    <row r="6447" spans="1:1" ht="11.75" customHeight="1">
      <c r="A6447" s="1989" t="b">
        <f>D108="AL-4B"</f>
        <v>0</v>
      </c>
    </row>
    <row r="6448" spans="1:1" ht="11.75" customHeight="1">
      <c r="A6448" s="1989" t="b">
        <f>IF(D108="AL-5B",0.39,IF(D108="AL-6B",0.23,IF(D108="PH Classic",0.6*D105/D101*3.6,IF(D108="PH Low",1*D105/D101*3.6,IF(D108="PH+",0.1)))))</f>
        <v>0</v>
      </c>
    </row>
    <row r="6449" spans="1:1" ht="11.75" customHeight="1">
      <c r="A6449" s="1989" t="b">
        <f>D108="AL-5B"</f>
        <v>0</v>
      </c>
    </row>
    <row r="6450" spans="1:1" ht="11.75" customHeight="1">
      <c r="A6450" s="1989" t="b">
        <f>IF(D108="AL-6B",0.23,IF(D108="PH Classic",0.6*D105/D101*3.6,IF(D108="PH Low",1*D105/D101*3.6,IF(D108="PH+",0.1))))</f>
        <v>0</v>
      </c>
    </row>
    <row r="6451" spans="1:1" ht="11.75" customHeight="1">
      <c r="A6451" s="1989" t="b">
        <f>D108="AL-6B"</f>
        <v>0</v>
      </c>
    </row>
    <row r="6452" spans="1:1" ht="11.75" customHeight="1">
      <c r="A6452" s="1989" t="b">
        <f>IF(D108="PH Classic",0.6*D105/D101*3.6,IF(D108="PH Low",1*D105/D101*3.6,IF(D108="PH+",0.1)))</f>
        <v>0</v>
      </c>
    </row>
    <row r="6453" spans="1:1" ht="11.75" customHeight="1">
      <c r="A6453" s="1989" t="b">
        <f>D108="PH Classic"</f>
        <v>0</v>
      </c>
    </row>
    <row r="6454" spans="1:1" ht="11.75" customHeight="1">
      <c r="A6454" s="1989">
        <f>0.6*D105/D101*3.6</f>
        <v>6.9772512537248366</v>
      </c>
    </row>
    <row r="6455" spans="1:1" ht="11.75" customHeight="1">
      <c r="A6455" s="1989">
        <f>0.6*D105</f>
        <v>4800</v>
      </c>
    </row>
    <row r="6456" spans="1:1" ht="11.75" customHeight="1">
      <c r="A6456" s="1989">
        <f>D101*3.6</f>
        <v>8915.8319999999985</v>
      </c>
    </row>
    <row r="6457" spans="1:1" ht="11.75" customHeight="1">
      <c r="A6457" s="1989" t="b">
        <f>IF(D108="PH Low",1*D105/D101*3.6,IF(D108="PH+",0.1))</f>
        <v>0</v>
      </c>
    </row>
    <row r="6458" spans="1:1" ht="11.75" customHeight="1">
      <c r="A6458" s="1989" t="b">
        <f>D108="PH Low"</f>
        <v>0</v>
      </c>
    </row>
    <row r="6459" spans="1:1" ht="11.75" customHeight="1">
      <c r="A6459" s="1989">
        <f>1*D105/D101*3.6</f>
        <v>11.628752089541393</v>
      </c>
    </row>
    <row r="6460" spans="1:1" ht="11.75" customHeight="1">
      <c r="A6460" s="1989">
        <f>1*D105</f>
        <v>8000</v>
      </c>
    </row>
    <row r="6461" spans="1:1" ht="11.75" customHeight="1">
      <c r="A6461" s="1989">
        <f>D101*3.6</f>
        <v>8915.8319999999985</v>
      </c>
    </row>
    <row r="6462" spans="1:1" ht="11.75" customHeight="1">
      <c r="A6462" s="1989" t="b">
        <f>IF(D108="PH+",0.1)</f>
        <v>0</v>
      </c>
    </row>
    <row r="6463" spans="1:1" ht="11.75" customHeight="1">
      <c r="A6463" s="1990">
        <f>H27-D43</f>
        <v>132765.64793897627</v>
      </c>
    </row>
    <row r="6464" spans="1:1" ht="11.75" customHeight="1">
      <c r="A6464" s="1989" t="b">
        <f>D113="Electricity"</f>
        <v>0</v>
      </c>
    </row>
    <row r="6465" spans="1:1" ht="11.75" customHeight="1">
      <c r="A6465" s="1990">
        <f>I103+K51+D117+M121+I101+I102+M43+SUM(H65:H67)</f>
        <v>265287.6445956853</v>
      </c>
    </row>
    <row r="6466" spans="1:1" ht="11.75" customHeight="1">
      <c r="A6466" s="1990">
        <f>I103+K51+D117+M121+I101+I102+M43</f>
        <v>180897.30859568529</v>
      </c>
    </row>
    <row r="6467" spans="1:1" ht="11.75" customHeight="1">
      <c r="A6467" s="1990">
        <f>I103+K51+D117+M121+I101+I102</f>
        <v>180897.30859568529</v>
      </c>
    </row>
    <row r="6468" spans="1:1" ht="11.75" customHeight="1">
      <c r="A6468" s="1990">
        <f>I103+K51+D117+M121+I101</f>
        <v>164109.06314703665</v>
      </c>
    </row>
    <row r="6469" spans="1:1" ht="11.75" customHeight="1">
      <c r="A6469" s="1990">
        <f>I103+K51+D117+M121</f>
        <v>88005.3704468098</v>
      </c>
    </row>
    <row r="6470" spans="1:1" ht="11.75" customHeight="1">
      <c r="A6470" s="1990">
        <f>I103+K51+D117</f>
        <v>39024.570446809812</v>
      </c>
    </row>
    <row r="6471" spans="1:1" ht="11.75" customHeight="1">
      <c r="A6471" s="1990">
        <f>I103+K51</f>
        <v>36006.531012790423</v>
      </c>
    </row>
    <row r="6472" spans="1:1" ht="11.75" customHeight="1">
      <c r="A6472" s="1989">
        <f>1.21*G108*D20*24/1000*D101</f>
        <v>387079.06311359996</v>
      </c>
    </row>
    <row r="6473" spans="1:1" ht="11.75" customHeight="1">
      <c r="A6473" s="1989">
        <f>1.21*G108*D20*24/1000</f>
        <v>156.29328000000001</v>
      </c>
    </row>
    <row r="6474" spans="1:1" ht="11.75" customHeight="1">
      <c r="A6474" s="1989">
        <f>1.21*G108*D20*24</f>
        <v>156293.28</v>
      </c>
    </row>
    <row r="6475" spans="1:1" ht="11.75" customHeight="1">
      <c r="A6475" s="1989">
        <f>1.21*G108*D20</f>
        <v>6512.22</v>
      </c>
    </row>
    <row r="6476" spans="1:1" ht="11.75" customHeight="1">
      <c r="A6476" s="1989">
        <f>1.21*G108</f>
        <v>1.4157</v>
      </c>
    </row>
    <row r="6477" spans="1:1" ht="11.75" customHeight="1">
      <c r="A6477" s="1989" t="b">
        <f>D108="Measured"</f>
        <v>0</v>
      </c>
    </row>
    <row r="6478" spans="1:1" ht="11.75" customHeight="1">
      <c r="A6478" s="1989">
        <f>G109*D105/D101*3.6</f>
        <v>17.44312813431209</v>
      </c>
    </row>
    <row r="6479" spans="1:1" ht="11.75" customHeight="1">
      <c r="A6479" s="1989">
        <f>G109*D105</f>
        <v>12000</v>
      </c>
    </row>
    <row r="6480" spans="1:1" ht="11.75" customHeight="1">
      <c r="A6480" s="1989">
        <f>D101*3.6</f>
        <v>8915.8319999999985</v>
      </c>
    </row>
    <row r="6481" spans="1:1" ht="11.75" customHeight="1">
      <c r="A6481" s="1989">
        <f>IF(D108="AL-1A",0.89,IF(D108="AL-2A",0.71,IF(D108="AL-3A",0.53,IF(D108="AL-4A",0.35,IF(D108="AL-5A",0.21,IF(D108="AL-1B",1.17,IF(D108="AL-2B",0.98,IF(D108="AL-3B",0.78,IF(D108="AL-4B",0.59,IF(D108="AL-5B",0.39,IF(D108="AL-6B",0.23,IF(D108="PH Classic",0.6*D105/D101*3.6,IF(D108="PH Low",1*D105/D101*3.6,IF(D108="PH+",0.1))))))))))))))</f>
        <v>1.17</v>
      </c>
    </row>
    <row r="6482" spans="1:1" ht="11.75" customHeight="1">
      <c r="A6482" s="1989" t="b">
        <f>D108="AL-1A"</f>
        <v>0</v>
      </c>
    </row>
    <row r="6483" spans="1:1" ht="11.75" customHeight="1">
      <c r="A6483" s="1989">
        <f>IF(D108="AL-2A",0.71,IF(D108="AL-3A",0.53,IF(D108="AL-4A",0.35,IF(D108="AL-5A",0.21,IF(D108="AL-1B",1.17,IF(D108="AL-2B",0.98,IF(D108="AL-3B",0.78,IF(D108="AL-4B",0.59,IF(D108="AL-5B",0.39,IF(D108="AL-6B",0.23,IF(D108="PH Classic",0.6*D105/D101*3.6,IF(D108="PH Low",1*D105/D101*3.6,IF(D108="PH+",0.1)))))))))))))</f>
        <v>1.17</v>
      </c>
    </row>
    <row r="6484" spans="1:1" ht="11.75" customHeight="1">
      <c r="A6484" s="1989" t="b">
        <f>D108="AL-2A"</f>
        <v>0</v>
      </c>
    </row>
    <row r="6485" spans="1:1" ht="11.75" customHeight="1">
      <c r="A6485" s="1989">
        <f>IF(D108="AL-3A",0.53,IF(D108="AL-4A",0.35,IF(D108="AL-5A",0.21,IF(D108="AL-1B",1.17,IF(D108="AL-2B",0.98,IF(D108="AL-3B",0.78,IF(D108="AL-4B",0.59,IF(D108="AL-5B",0.39,IF(D108="AL-6B",0.23,IF(D108="PH Classic",0.6*D105/D101*3.6,IF(D108="PH Low",1*D105/D101*3.6,IF(D108="PH+",0.1))))))))))))</f>
        <v>1.17</v>
      </c>
    </row>
    <row r="6486" spans="1:1" ht="11.75" customHeight="1">
      <c r="A6486" s="1989" t="b">
        <f>D108="AL-3A"</f>
        <v>0</v>
      </c>
    </row>
    <row r="6487" spans="1:1" ht="11.75" customHeight="1">
      <c r="A6487" s="1989">
        <f>IF(D108="AL-4A",0.35,IF(D108="AL-5A",0.21,IF(D108="AL-1B",1.17,IF(D108="AL-2B",0.98,IF(D108="AL-3B",0.78,IF(D108="AL-4B",0.59,IF(D108="AL-5B",0.39,IF(D108="AL-6B",0.23,IF(D108="PH Classic",0.6*D105/D101*3.6,IF(D108="PH Low",1*D105/D101*3.6,IF(D108="PH+",0.1)))))))))))</f>
        <v>1.17</v>
      </c>
    </row>
    <row r="6488" spans="1:1" ht="11.75" customHeight="1">
      <c r="A6488" s="1989" t="b">
        <f>D108="AL-4A"</f>
        <v>0</v>
      </c>
    </row>
    <row r="6489" spans="1:1" ht="11.75" customHeight="1">
      <c r="A6489" s="1989">
        <f>IF(D108="AL-5A",0.21,IF(D108="AL-1B",1.17,IF(D108="AL-2B",0.98,IF(D108="AL-3B",0.78,IF(D108="AL-4B",0.59,IF(D108="AL-5B",0.39,IF(D108="AL-6B",0.23,IF(D108="PH Classic",0.6*D105/D101*3.6,IF(D108="PH Low",1*D105/D101*3.6,IF(D108="PH+",0.1))))))))))</f>
        <v>1.17</v>
      </c>
    </row>
    <row r="6490" spans="1:1" ht="11.75" customHeight="1">
      <c r="A6490" s="1989" t="b">
        <f>D108="AL-5A"</f>
        <v>0</v>
      </c>
    </row>
    <row r="6491" spans="1:1" ht="11.75" customHeight="1">
      <c r="A6491" s="1989">
        <f>IF(D108="AL-1B",1.17,IF(D108="AL-2B",0.98,IF(D108="AL-3B",0.78,IF(D108="AL-4B",0.59,IF(D108="AL-5B",0.39,IF(D108="AL-6B",0.23,IF(D108="PH Classic",0.6*D105/D101*3.6,IF(D108="PH Low",1*D105/D101*3.6,IF(D108="PH+",0.1)))))))))</f>
        <v>1.17</v>
      </c>
    </row>
    <row r="6492" spans="1:1" ht="11.75" customHeight="1">
      <c r="A6492" s="1989" t="b">
        <f>D108="AL-1B"</f>
        <v>1</v>
      </c>
    </row>
    <row r="6493" spans="1:1" ht="11.75" customHeight="1">
      <c r="A6493" s="1989" t="b">
        <f>IF(D108="AL-2B",0.98,IF(D108="AL-3B",0.78,IF(D108="AL-4B",0.59,IF(D108="AL-5B",0.39,IF(D108="AL-6B",0.23,IF(D108="PH Classic",0.6*D105/D101*3.6,IF(D108="PH Low",1*D105/D101*3.6,IF(D108="PH+",0.1))))))))</f>
        <v>0</v>
      </c>
    </row>
    <row r="6494" spans="1:1" ht="11.75" customHeight="1">
      <c r="A6494" s="1989" t="b">
        <f>D108="AL-2B"</f>
        <v>0</v>
      </c>
    </row>
    <row r="6495" spans="1:1" ht="11.75" customHeight="1">
      <c r="A6495" s="1989" t="b">
        <f>IF(D108="AL-3B",0.78,IF(D108="AL-4B",0.59,IF(D108="AL-5B",0.39,IF(D108="AL-6B",0.23,IF(D108="PH Classic",0.6*D105/D101*3.6,IF(D108="PH Low",1*D105/D101*3.6,IF(D108="PH+",0.1)))))))</f>
        <v>0</v>
      </c>
    </row>
    <row r="6496" spans="1:1" ht="11.75" customHeight="1">
      <c r="A6496" s="1989" t="b">
        <f>D108="AL-3B"</f>
        <v>0</v>
      </c>
    </row>
    <row r="6497" spans="1:1" ht="11.75" customHeight="1">
      <c r="A6497" s="1989" t="b">
        <f>IF(D108="AL-4B",0.59,IF(D108="AL-5B",0.39,IF(D108="AL-6B",0.23,IF(D108="PH Classic",0.6*D105/D101*3.6,IF(D108="PH Low",1*D105/D101*3.6,IF(D108="PH+",0.1))))))</f>
        <v>0</v>
      </c>
    </row>
    <row r="6498" spans="1:1" ht="11.75" customHeight="1">
      <c r="A6498" s="1989" t="b">
        <f>D108="AL-4B"</f>
        <v>0</v>
      </c>
    </row>
    <row r="6499" spans="1:1" ht="11.75" customHeight="1">
      <c r="A6499" s="1989" t="b">
        <f>IF(D108="AL-5B",0.39,IF(D108="AL-6B",0.23,IF(D108="PH Classic",0.6*D105/D101*3.6,IF(D108="PH Low",1*D105/D101*3.6,IF(D108="PH+",0.1)))))</f>
        <v>0</v>
      </c>
    </row>
    <row r="6500" spans="1:1" ht="11.75" customHeight="1">
      <c r="A6500" s="1989" t="b">
        <f>D108="AL-5B"</f>
        <v>0</v>
      </c>
    </row>
    <row r="6501" spans="1:1" ht="11.75" customHeight="1">
      <c r="A6501" s="1989" t="b">
        <f>IF(D108="AL-6B",0.23,IF(D108="PH Classic",0.6*D105/D101*3.6,IF(D108="PH Low",1*D105/D101*3.6,IF(D108="PH+",0.1))))</f>
        <v>0</v>
      </c>
    </row>
    <row r="6502" spans="1:1" ht="11.75" customHeight="1">
      <c r="A6502" s="1989" t="b">
        <f>D108="AL-6B"</f>
        <v>0</v>
      </c>
    </row>
    <row r="6503" spans="1:1" ht="11.75" customHeight="1">
      <c r="A6503" s="1989" t="b">
        <f>IF(D108="PH Classic",0.6*D105/D101*3.6,IF(D108="PH Low",1*D105/D101*3.6,IF(D108="PH+",0.1)))</f>
        <v>0</v>
      </c>
    </row>
    <row r="6504" spans="1:1" ht="11.75" customHeight="1">
      <c r="A6504" s="1989" t="b">
        <f>D108="PH Classic"</f>
        <v>0</v>
      </c>
    </row>
    <row r="6505" spans="1:1" ht="11.75" customHeight="1">
      <c r="A6505" s="1989">
        <f>0.6*D105/D101*3.6</f>
        <v>6.9772512537248366</v>
      </c>
    </row>
    <row r="6506" spans="1:1" ht="11.75" customHeight="1">
      <c r="A6506" s="1989">
        <f>0.6*D105</f>
        <v>4800</v>
      </c>
    </row>
    <row r="6507" spans="1:1" ht="11.75" customHeight="1">
      <c r="A6507" s="1989">
        <f>D101*3.6</f>
        <v>8915.8319999999985</v>
      </c>
    </row>
    <row r="6508" spans="1:1" ht="11.75" customHeight="1">
      <c r="A6508" s="1989" t="b">
        <f>IF(D108="PH Low",1*D105/D101*3.6,IF(D108="PH+",0.1))</f>
        <v>0</v>
      </c>
    </row>
    <row r="6509" spans="1:1" ht="11.75" customHeight="1">
      <c r="A6509" s="1989" t="b">
        <f>D108="PH Low"</f>
        <v>0</v>
      </c>
    </row>
    <row r="6510" spans="1:1" ht="11.75" customHeight="1">
      <c r="A6510" s="1989">
        <f>1*D105/D101*3.6</f>
        <v>11.628752089541393</v>
      </c>
    </row>
    <row r="6511" spans="1:1" ht="11.75" customHeight="1">
      <c r="A6511" s="1989">
        <f>1*D105</f>
        <v>8000</v>
      </c>
    </row>
    <row r="6512" spans="1:1" ht="11.75" customHeight="1">
      <c r="A6512" s="1989">
        <f>D101*3.6</f>
        <v>8915.8319999999985</v>
      </c>
    </row>
    <row r="6513" spans="1:1" ht="11.75" customHeight="1">
      <c r="A6513" s="1989" t="b">
        <f>IF(D108="PH+",0.1)</f>
        <v>0</v>
      </c>
    </row>
    <row r="6514" spans="1:1" ht="11.75" customHeight="1">
      <c r="A6514" s="1990">
        <f>H27-D43</f>
        <v>132765.64793897627</v>
      </c>
    </row>
    <row r="6515" spans="1:1" ht="11.75" customHeight="1">
      <c r="A6515" s="1989" t="b">
        <f>D113="Electricity"</f>
        <v>0</v>
      </c>
    </row>
    <row r="6516" spans="1:1" ht="11.75" customHeight="1">
      <c r="A6516" s="1990">
        <f>I103+K51+D117+M121+I101+I102+M43+SUM(H65:H67)</f>
        <v>265287.6445956853</v>
      </c>
    </row>
    <row r="6517" spans="1:1" ht="11.75" customHeight="1">
      <c r="A6517" s="1990">
        <f>I103+K51+D117+M121+I101+I102+M43</f>
        <v>180897.30859568529</v>
      </c>
    </row>
    <row r="6518" spans="1:1" ht="11.75" customHeight="1">
      <c r="A6518" s="1990">
        <f>I103+K51+D117+M121+I101+I102</f>
        <v>180897.30859568529</v>
      </c>
    </row>
    <row r="6519" spans="1:1" ht="11.75" customHeight="1">
      <c r="A6519" s="1990">
        <f>I103+K51+D117+M121+I101</f>
        <v>164109.06314703665</v>
      </c>
    </row>
    <row r="6520" spans="1:1" ht="11.75" customHeight="1">
      <c r="A6520" s="1990">
        <f>I103+K51+D117+M121</f>
        <v>88005.3704468098</v>
      </c>
    </row>
    <row r="6521" spans="1:1" ht="11.75" customHeight="1">
      <c r="A6521" s="1990">
        <f>I103+K51+D117</f>
        <v>39024.570446809812</v>
      </c>
    </row>
    <row r="6522" spans="1:1" ht="11.75" customHeight="1">
      <c r="A6522" s="1990">
        <f>I103+K51</f>
        <v>36006.531012790423</v>
      </c>
    </row>
    <row r="6523" spans="1:1" ht="11.75" customHeight="1">
      <c r="A6523" s="1989">
        <f>1.21*G108*D20*24/1000*D101</f>
        <v>387079.06311359996</v>
      </c>
    </row>
    <row r="6524" spans="1:1" ht="11.75" customHeight="1">
      <c r="A6524" s="1989">
        <f>1.21*G108*D20*24/1000</f>
        <v>156.29328000000001</v>
      </c>
    </row>
    <row r="6525" spans="1:1" ht="11.75" customHeight="1">
      <c r="A6525" s="1989">
        <f>1.21*G108*D20*24</f>
        <v>156293.28</v>
      </c>
    </row>
    <row r="6526" spans="1:1" ht="11.75" customHeight="1">
      <c r="A6526" s="1989">
        <f>1.21*G108*D20</f>
        <v>6512.22</v>
      </c>
    </row>
    <row r="6527" spans="1:1" ht="11.75" customHeight="1">
      <c r="A6527" s="1989">
        <f>1.21*G108</f>
        <v>1.4157</v>
      </c>
    </row>
    <row r="6528" spans="1:1" ht="11.75" customHeight="1">
      <c r="A6528" s="1989" t="b">
        <f>D108="Measured"</f>
        <v>0</v>
      </c>
    </row>
    <row r="6529" spans="1:1" ht="11.75" customHeight="1">
      <c r="A6529" s="1989">
        <f>G109*D105/D101*3.6</f>
        <v>17.44312813431209</v>
      </c>
    </row>
    <row r="6530" spans="1:1" ht="11.75" customHeight="1">
      <c r="A6530" s="1989">
        <f>G109*D105</f>
        <v>12000</v>
      </c>
    </row>
    <row r="6531" spans="1:1" ht="11.75" customHeight="1">
      <c r="A6531" s="1989">
        <f>D101*3.6</f>
        <v>8915.8319999999985</v>
      </c>
    </row>
    <row r="6532" spans="1:1" ht="11.75" customHeight="1">
      <c r="A6532" s="1989">
        <f>IF(D108="AL-1A",0.89,IF(D108="AL-2A",0.71,IF(D108="AL-3A",0.53,IF(D108="AL-4A",0.35,IF(D108="AL-5A",0.21,IF(D108="AL-1B",1.17,IF(D108="AL-2B",0.98,IF(D108="AL-3B",0.78,IF(D108="AL-4B",0.59,IF(D108="AL-5B",0.39,IF(D108="AL-6B",0.23,IF(D108="PH Classic",0.6*D105/D101*3.6,IF(D108="PH Low",1*D105/D101*3.6,IF(D108="PH+",0.1))))))))))))))</f>
        <v>1.17</v>
      </c>
    </row>
    <row r="6533" spans="1:1" ht="11.75" customHeight="1">
      <c r="A6533" s="1989" t="b">
        <f>D108="AL-1A"</f>
        <v>0</v>
      </c>
    </row>
    <row r="6534" spans="1:1" ht="11.75" customHeight="1">
      <c r="A6534" s="1989">
        <f>IF(D108="AL-2A",0.71,IF(D108="AL-3A",0.53,IF(D108="AL-4A",0.35,IF(D108="AL-5A",0.21,IF(D108="AL-1B",1.17,IF(D108="AL-2B",0.98,IF(D108="AL-3B",0.78,IF(D108="AL-4B",0.59,IF(D108="AL-5B",0.39,IF(D108="AL-6B",0.23,IF(D108="PH Classic",0.6*D105/D101*3.6,IF(D108="PH Low",1*D105/D101*3.6,IF(D108="PH+",0.1)))))))))))))</f>
        <v>1.17</v>
      </c>
    </row>
    <row r="6535" spans="1:1" ht="11.75" customHeight="1">
      <c r="A6535" s="1989" t="b">
        <f>D108="AL-2A"</f>
        <v>0</v>
      </c>
    </row>
    <row r="6536" spans="1:1" ht="11.75" customHeight="1">
      <c r="A6536" s="1989">
        <f>IF(D108="AL-3A",0.53,IF(D108="AL-4A",0.35,IF(D108="AL-5A",0.21,IF(D108="AL-1B",1.17,IF(D108="AL-2B",0.98,IF(D108="AL-3B",0.78,IF(D108="AL-4B",0.59,IF(D108="AL-5B",0.39,IF(D108="AL-6B",0.23,IF(D108="PH Classic",0.6*D105/D101*3.6,IF(D108="PH Low",1*D105/D101*3.6,IF(D108="PH+",0.1))))))))))))</f>
        <v>1.17</v>
      </c>
    </row>
    <row r="6537" spans="1:1" ht="11.75" customHeight="1">
      <c r="A6537" s="1989" t="b">
        <f>D108="AL-3A"</f>
        <v>0</v>
      </c>
    </row>
    <row r="6538" spans="1:1" ht="11.75" customHeight="1">
      <c r="A6538" s="1989">
        <f>IF(D108="AL-4A",0.35,IF(D108="AL-5A",0.21,IF(D108="AL-1B",1.17,IF(D108="AL-2B",0.98,IF(D108="AL-3B",0.78,IF(D108="AL-4B",0.59,IF(D108="AL-5B",0.39,IF(D108="AL-6B",0.23,IF(D108="PH Classic",0.6*D105/D101*3.6,IF(D108="PH Low",1*D105/D101*3.6,IF(D108="PH+",0.1)))))))))))</f>
        <v>1.17</v>
      </c>
    </row>
    <row r="6539" spans="1:1" ht="11.75" customHeight="1">
      <c r="A6539" s="1989" t="b">
        <f>D108="AL-4A"</f>
        <v>0</v>
      </c>
    </row>
    <row r="6540" spans="1:1" ht="11.75" customHeight="1">
      <c r="A6540" s="1989">
        <f>IF(D108="AL-5A",0.21,IF(D108="AL-1B",1.17,IF(D108="AL-2B",0.98,IF(D108="AL-3B",0.78,IF(D108="AL-4B",0.59,IF(D108="AL-5B",0.39,IF(D108="AL-6B",0.23,IF(D108="PH Classic",0.6*D105/D101*3.6,IF(D108="PH Low",1*D105/D101*3.6,IF(D108="PH+",0.1))))))))))</f>
        <v>1.17</v>
      </c>
    </row>
    <row r="6541" spans="1:1" ht="11.75" customHeight="1">
      <c r="A6541" s="1989" t="b">
        <f>D108="AL-5A"</f>
        <v>0</v>
      </c>
    </row>
    <row r="6542" spans="1:1" ht="11.75" customHeight="1">
      <c r="A6542" s="1989">
        <f>IF(D108="AL-1B",1.17,IF(D108="AL-2B",0.98,IF(D108="AL-3B",0.78,IF(D108="AL-4B",0.59,IF(D108="AL-5B",0.39,IF(D108="AL-6B",0.23,IF(D108="PH Classic",0.6*D105/D101*3.6,IF(D108="PH Low",1*D105/D101*3.6,IF(D108="PH+",0.1)))))))))</f>
        <v>1.17</v>
      </c>
    </row>
    <row r="6543" spans="1:1" ht="11.75" customHeight="1">
      <c r="A6543" s="1989" t="b">
        <f>D108="AL-1B"</f>
        <v>1</v>
      </c>
    </row>
    <row r="6544" spans="1:1" ht="11.75" customHeight="1">
      <c r="A6544" s="1989" t="b">
        <f>IF(D108="AL-2B",0.98,IF(D108="AL-3B",0.78,IF(D108="AL-4B",0.59,IF(D108="AL-5B",0.39,IF(D108="AL-6B",0.23,IF(D108="PH Classic",0.6*D105/D101*3.6,IF(D108="PH Low",1*D105/D101*3.6,IF(D108="PH+",0.1))))))))</f>
        <v>0</v>
      </c>
    </row>
    <row r="6545" spans="1:1" ht="11.75" customHeight="1">
      <c r="A6545" s="1989" t="b">
        <f>D108="AL-2B"</f>
        <v>0</v>
      </c>
    </row>
    <row r="6546" spans="1:1" ht="11.75" customHeight="1">
      <c r="A6546" s="1989" t="b">
        <f>IF(D108="AL-3B",0.78,IF(D108="AL-4B",0.59,IF(D108="AL-5B",0.39,IF(D108="AL-6B",0.23,IF(D108="PH Classic",0.6*D105/D101*3.6,IF(D108="PH Low",1*D105/D101*3.6,IF(D108="PH+",0.1)))))))</f>
        <v>0</v>
      </c>
    </row>
    <row r="6547" spans="1:1" ht="11.75" customHeight="1">
      <c r="A6547" s="1989" t="b">
        <f>D108="AL-3B"</f>
        <v>0</v>
      </c>
    </row>
    <row r="6548" spans="1:1" ht="11.75" customHeight="1">
      <c r="A6548" s="1989" t="b">
        <f>IF(D108="AL-4B",0.59,IF(D108="AL-5B",0.39,IF(D108="AL-6B",0.23,IF(D108="PH Classic",0.6*D105/D101*3.6,IF(D108="PH Low",1*D105/D101*3.6,IF(D108="PH+",0.1))))))</f>
        <v>0</v>
      </c>
    </row>
    <row r="6549" spans="1:1" ht="11.75" customHeight="1">
      <c r="A6549" s="1989" t="b">
        <f>D108="AL-4B"</f>
        <v>0</v>
      </c>
    </row>
    <row r="6550" spans="1:1" ht="11.75" customHeight="1">
      <c r="A6550" s="1989" t="b">
        <f>IF(D108="AL-5B",0.39,IF(D108="AL-6B",0.23,IF(D108="PH Classic",0.6*D105/D101*3.6,IF(D108="PH Low",1*D105/D101*3.6,IF(D108="PH+",0.1)))))</f>
        <v>0</v>
      </c>
    </row>
    <row r="6551" spans="1:1" ht="11.75" customHeight="1">
      <c r="A6551" s="1989" t="b">
        <f>D108="AL-5B"</f>
        <v>0</v>
      </c>
    </row>
    <row r="6552" spans="1:1" ht="11.75" customHeight="1">
      <c r="A6552" s="1989" t="b">
        <f>IF(D108="AL-6B",0.23,IF(D108="PH Classic",0.6*D105/D101*3.6,IF(D108="PH Low",1*D105/D101*3.6,IF(D108="PH+",0.1))))</f>
        <v>0</v>
      </c>
    </row>
    <row r="6553" spans="1:1" ht="11.75" customHeight="1">
      <c r="A6553" s="1989" t="b">
        <f>D108="AL-6B"</f>
        <v>0</v>
      </c>
    </row>
    <row r="6554" spans="1:1" ht="11.75" customHeight="1">
      <c r="A6554" s="1989" t="b">
        <f>IF(D108="PH Classic",0.6*D105/D101*3.6,IF(D108="PH Low",1*D105/D101*3.6,IF(D108="PH+",0.1)))</f>
        <v>0</v>
      </c>
    </row>
    <row r="6555" spans="1:1" ht="11.75" customHeight="1">
      <c r="A6555" s="1989" t="b">
        <f>D108="PH Classic"</f>
        <v>0</v>
      </c>
    </row>
    <row r="6556" spans="1:1" ht="11.75" customHeight="1">
      <c r="A6556" s="1989">
        <f>0.6*D105/D101*3.6</f>
        <v>6.9772512537248366</v>
      </c>
    </row>
    <row r="6557" spans="1:1" ht="11.75" customHeight="1">
      <c r="A6557" s="1989">
        <f>0.6*D105</f>
        <v>4800</v>
      </c>
    </row>
    <row r="6558" spans="1:1" ht="11.75" customHeight="1">
      <c r="A6558" s="1989">
        <f>D101*3.6</f>
        <v>8915.8319999999985</v>
      </c>
    </row>
    <row r="6559" spans="1:1" ht="11.75" customHeight="1">
      <c r="A6559" s="1989" t="b">
        <f>IF(D108="PH Low",1*D105/D101*3.6,IF(D108="PH+",0.1))</f>
        <v>0</v>
      </c>
    </row>
    <row r="6560" spans="1:1" ht="11.75" customHeight="1">
      <c r="A6560" s="1989" t="b">
        <f>D108="PH Low"</f>
        <v>0</v>
      </c>
    </row>
    <row r="6561" spans="1:1" ht="11.75" customHeight="1">
      <c r="A6561" s="1989">
        <f>1*D105/D101*3.6</f>
        <v>11.628752089541393</v>
      </c>
    </row>
    <row r="6562" spans="1:1" ht="11.75" customHeight="1">
      <c r="A6562" s="1989">
        <f>1*D105</f>
        <v>8000</v>
      </c>
    </row>
    <row r="6563" spans="1:1" ht="11.75" customHeight="1">
      <c r="A6563" s="1989">
        <f>D101*3.6</f>
        <v>8915.8319999999985</v>
      </c>
    </row>
    <row r="6564" spans="1:1" ht="11.75" customHeight="1">
      <c r="A6564" s="1989" t="b">
        <f>IF(D108="PH+",0.1)</f>
        <v>0</v>
      </c>
    </row>
    <row r="6565" spans="1:1" ht="11.75" customHeight="1">
      <c r="A6565" s="1990">
        <f>H27-D43</f>
        <v>132765.64793897627</v>
      </c>
    </row>
    <row r="6566" spans="1:1" ht="11.75" customHeight="1">
      <c r="A6566" s="1989" t="b">
        <f>D113="Electricity"</f>
        <v>0</v>
      </c>
    </row>
    <row r="6567" spans="1:1" ht="11.75" customHeight="1">
      <c r="A6567" s="1990">
        <f>I103+K51+D117+M121+I101+I102+M43+SUM(H65:H67)</f>
        <v>265287.6445956853</v>
      </c>
    </row>
    <row r="6568" spans="1:1" ht="11.75" customHeight="1">
      <c r="A6568" s="1990">
        <f>I103+K51+D117+M121+I101+I102+M43</f>
        <v>180897.30859568529</v>
      </c>
    </row>
    <row r="6569" spans="1:1" ht="11.75" customHeight="1">
      <c r="A6569" s="1990">
        <f>I103+K51+D117+M121+I101+I102</f>
        <v>180897.30859568529</v>
      </c>
    </row>
    <row r="6570" spans="1:1" ht="11.75" customHeight="1">
      <c r="A6570" s="1990">
        <f>I103+K51+D117+M121+I101</f>
        <v>164109.06314703665</v>
      </c>
    </row>
    <row r="6571" spans="1:1" ht="11.75" customHeight="1">
      <c r="A6571" s="1990">
        <f>I103+K51+D117+M121</f>
        <v>88005.3704468098</v>
      </c>
    </row>
    <row r="6572" spans="1:1" ht="11.75" customHeight="1">
      <c r="A6572" s="1990">
        <f>I103+K51+D117</f>
        <v>39024.570446809812</v>
      </c>
    </row>
    <row r="6573" spans="1:1" ht="11.75" customHeight="1">
      <c r="A6573" s="1990">
        <f>I103+K51</f>
        <v>36006.531012790423</v>
      </c>
    </row>
    <row r="6574" spans="1:1" ht="11.75" customHeight="1">
      <c r="A6574" s="1989">
        <f>1.21*G108*D20*24/1000*D101</f>
        <v>387079.06311359996</v>
      </c>
    </row>
    <row r="6575" spans="1:1" ht="11.75" customHeight="1">
      <c r="A6575" s="1989">
        <f>1.21*G108*D20*24/1000</f>
        <v>156.29328000000001</v>
      </c>
    </row>
    <row r="6576" spans="1:1" ht="11.75" customHeight="1">
      <c r="A6576" s="1989">
        <f>1.21*G108*D20*24</f>
        <v>156293.28</v>
      </c>
    </row>
    <row r="6577" spans="1:1" ht="11.75" customHeight="1">
      <c r="A6577" s="1989">
        <f>1.21*G108*D20</f>
        <v>6512.22</v>
      </c>
    </row>
    <row r="6578" spans="1:1" ht="11.75" customHeight="1">
      <c r="A6578" s="1989">
        <f>1.21*G108</f>
        <v>1.4157</v>
      </c>
    </row>
    <row r="6579" spans="1:1" ht="11.75" customHeight="1">
      <c r="A6579" s="1989" t="b">
        <f>D108="Measured"</f>
        <v>0</v>
      </c>
    </row>
    <row r="6580" spans="1:1" ht="11.75" customHeight="1">
      <c r="A6580" s="1989">
        <f>G109*D105/D101*3.6</f>
        <v>17.44312813431209</v>
      </c>
    </row>
    <row r="6581" spans="1:1" ht="11.75" customHeight="1">
      <c r="A6581" s="1989">
        <f>G109*D105</f>
        <v>12000</v>
      </c>
    </row>
    <row r="6582" spans="1:1" ht="11.75" customHeight="1">
      <c r="A6582" s="1989">
        <f>D101*3.6</f>
        <v>8915.8319999999985</v>
      </c>
    </row>
    <row r="6583" spans="1:1" ht="11.75" customHeight="1">
      <c r="A6583" s="1989">
        <f>IF(D108="AL-1A",0.89,IF(D108="AL-2A",0.71,IF(D108="AL-3A",0.53,IF(D108="AL-4A",0.35,IF(D108="AL-5A",0.21,IF(D108="AL-1B",1.17,IF(D108="AL-2B",0.98,IF(D108="AL-3B",0.78,IF(D108="AL-4B",0.59,IF(D108="AL-5B",0.39,IF(D108="AL-6B",0.23,IF(D108="PH Classic",0.6*D105/D101*3.6,IF(D108="PH Low",1*D105/D101*3.6,IF(D108="PH+",0.1))))))))))))))</f>
        <v>1.17</v>
      </c>
    </row>
    <row r="6584" spans="1:1" ht="11.75" customHeight="1">
      <c r="A6584" s="1989" t="b">
        <f>D108="AL-1A"</f>
        <v>0</v>
      </c>
    </row>
    <row r="6585" spans="1:1" ht="11.75" customHeight="1">
      <c r="A6585" s="1989">
        <f>IF(D108="AL-2A",0.71,IF(D108="AL-3A",0.53,IF(D108="AL-4A",0.35,IF(D108="AL-5A",0.21,IF(D108="AL-1B",1.17,IF(D108="AL-2B",0.98,IF(D108="AL-3B",0.78,IF(D108="AL-4B",0.59,IF(D108="AL-5B",0.39,IF(D108="AL-6B",0.23,IF(D108="PH Classic",0.6*D105/D101*3.6,IF(D108="PH Low",1*D105/D101*3.6,IF(D108="PH+",0.1)))))))))))))</f>
        <v>1.17</v>
      </c>
    </row>
    <row r="6586" spans="1:1" ht="11.75" customHeight="1">
      <c r="A6586" s="1989" t="b">
        <f>D108="AL-2A"</f>
        <v>0</v>
      </c>
    </row>
    <row r="6587" spans="1:1" ht="11.75" customHeight="1">
      <c r="A6587" s="1989">
        <f>IF(D108="AL-3A",0.53,IF(D108="AL-4A",0.35,IF(D108="AL-5A",0.21,IF(D108="AL-1B",1.17,IF(D108="AL-2B",0.98,IF(D108="AL-3B",0.78,IF(D108="AL-4B",0.59,IF(D108="AL-5B",0.39,IF(D108="AL-6B",0.23,IF(D108="PH Classic",0.6*D105/D101*3.6,IF(D108="PH Low",1*D105/D101*3.6,IF(D108="PH+",0.1))))))))))))</f>
        <v>1.17</v>
      </c>
    </row>
    <row r="6588" spans="1:1" ht="11.75" customHeight="1">
      <c r="A6588" s="1989" t="b">
        <f>D108="AL-3A"</f>
        <v>0</v>
      </c>
    </row>
    <row r="6589" spans="1:1" ht="11.75" customHeight="1">
      <c r="A6589" s="1989">
        <f>IF(D108="AL-4A",0.35,IF(D108="AL-5A",0.21,IF(D108="AL-1B",1.17,IF(D108="AL-2B",0.98,IF(D108="AL-3B",0.78,IF(D108="AL-4B",0.59,IF(D108="AL-5B",0.39,IF(D108="AL-6B",0.23,IF(D108="PH Classic",0.6*D105/D101*3.6,IF(D108="PH Low",1*D105/D101*3.6,IF(D108="PH+",0.1)))))))))))</f>
        <v>1.17</v>
      </c>
    </row>
    <row r="6590" spans="1:1" ht="11.75" customHeight="1">
      <c r="A6590" s="1989" t="b">
        <f>D108="AL-4A"</f>
        <v>0</v>
      </c>
    </row>
    <row r="6591" spans="1:1" ht="11.75" customHeight="1">
      <c r="A6591" s="1989">
        <f>IF(D108="AL-5A",0.21,IF(D108="AL-1B",1.17,IF(D108="AL-2B",0.98,IF(D108="AL-3B",0.78,IF(D108="AL-4B",0.59,IF(D108="AL-5B",0.39,IF(D108="AL-6B",0.23,IF(D108="PH Classic",0.6*D105/D101*3.6,IF(D108="PH Low",1*D105/D101*3.6,IF(D108="PH+",0.1))))))))))</f>
        <v>1.17</v>
      </c>
    </row>
    <row r="6592" spans="1:1" ht="11.75" customHeight="1">
      <c r="A6592" s="1989" t="b">
        <f>D108="AL-5A"</f>
        <v>0</v>
      </c>
    </row>
    <row r="6593" spans="1:1" ht="11.75" customHeight="1">
      <c r="A6593" s="1989">
        <f>IF(D108="AL-1B",1.17,IF(D108="AL-2B",0.98,IF(D108="AL-3B",0.78,IF(D108="AL-4B",0.59,IF(D108="AL-5B",0.39,IF(D108="AL-6B",0.23,IF(D108="PH Classic",0.6*D105/D101*3.6,IF(D108="PH Low",1*D105/D101*3.6,IF(D108="PH+",0.1)))))))))</f>
        <v>1.17</v>
      </c>
    </row>
    <row r="6594" spans="1:1" ht="11.75" customHeight="1">
      <c r="A6594" s="1989" t="b">
        <f>D108="AL-1B"</f>
        <v>1</v>
      </c>
    </row>
    <row r="6595" spans="1:1" ht="11.75" customHeight="1">
      <c r="A6595" s="1989" t="b">
        <f>IF(D108="AL-2B",0.98,IF(D108="AL-3B",0.78,IF(D108="AL-4B",0.59,IF(D108="AL-5B",0.39,IF(D108="AL-6B",0.23,IF(D108="PH Classic",0.6*D105/D101*3.6,IF(D108="PH Low",1*D105/D101*3.6,IF(D108="PH+",0.1))))))))</f>
        <v>0</v>
      </c>
    </row>
    <row r="6596" spans="1:1" ht="11.75" customHeight="1">
      <c r="A6596" s="1989" t="b">
        <f>D108="AL-2B"</f>
        <v>0</v>
      </c>
    </row>
    <row r="6597" spans="1:1" ht="11.75" customHeight="1">
      <c r="A6597" s="1989" t="b">
        <f>IF(D108="AL-3B",0.78,IF(D108="AL-4B",0.59,IF(D108="AL-5B",0.39,IF(D108="AL-6B",0.23,IF(D108="PH Classic",0.6*D105/D101*3.6,IF(D108="PH Low",1*D105/D101*3.6,IF(D108="PH+",0.1)))))))</f>
        <v>0</v>
      </c>
    </row>
    <row r="6598" spans="1:1" ht="11.75" customHeight="1">
      <c r="A6598" s="1989" t="b">
        <f>D108="AL-3B"</f>
        <v>0</v>
      </c>
    </row>
    <row r="6599" spans="1:1" ht="11.75" customHeight="1">
      <c r="A6599" s="1989" t="b">
        <f>IF(D108="AL-4B",0.59,IF(D108="AL-5B",0.39,IF(D108="AL-6B",0.23,IF(D108="PH Classic",0.6*D105/D101*3.6,IF(D108="PH Low",1*D105/D101*3.6,IF(D108="PH+",0.1))))))</f>
        <v>0</v>
      </c>
    </row>
    <row r="6600" spans="1:1" ht="11.75" customHeight="1">
      <c r="A6600" s="1989" t="b">
        <f>D108="AL-4B"</f>
        <v>0</v>
      </c>
    </row>
    <row r="6601" spans="1:1" ht="11.75" customHeight="1">
      <c r="A6601" s="1989" t="b">
        <f>IF(D108="AL-5B",0.39,IF(D108="AL-6B",0.23,IF(D108="PH Classic",0.6*D105/D101*3.6,IF(D108="PH Low",1*D105/D101*3.6,IF(D108="PH+",0.1)))))</f>
        <v>0</v>
      </c>
    </row>
    <row r="6602" spans="1:1" ht="11.75" customHeight="1">
      <c r="A6602" s="1989" t="b">
        <f>D108="AL-5B"</f>
        <v>0</v>
      </c>
    </row>
    <row r="6603" spans="1:1" ht="11.75" customHeight="1">
      <c r="A6603" s="1989" t="b">
        <f>IF(D108="AL-6B",0.23,IF(D108="PH Classic",0.6*D105/D101*3.6,IF(D108="PH Low",1*D105/D101*3.6,IF(D108="PH+",0.1))))</f>
        <v>0</v>
      </c>
    </row>
    <row r="6604" spans="1:1" ht="11.75" customHeight="1">
      <c r="A6604" s="1989" t="b">
        <f>D108="AL-6B"</f>
        <v>0</v>
      </c>
    </row>
    <row r="6605" spans="1:1" ht="11.75" customHeight="1">
      <c r="A6605" s="1989" t="b">
        <f>IF(D108="PH Classic",0.6*D105/D101*3.6,IF(D108="PH Low",1*D105/D101*3.6,IF(D108="PH+",0.1)))</f>
        <v>0</v>
      </c>
    </row>
    <row r="6606" spans="1:1" ht="11.75" customHeight="1">
      <c r="A6606" s="1989" t="b">
        <f>D108="PH Classic"</f>
        <v>0</v>
      </c>
    </row>
    <row r="6607" spans="1:1" ht="11.75" customHeight="1">
      <c r="A6607" s="1989">
        <f>0.6*D105/D101*3.6</f>
        <v>6.9772512537248366</v>
      </c>
    </row>
    <row r="6608" spans="1:1" ht="11.75" customHeight="1">
      <c r="A6608" s="1989">
        <f>0.6*D105</f>
        <v>4800</v>
      </c>
    </row>
    <row r="6609" spans="1:1" ht="11.75" customHeight="1">
      <c r="A6609" s="1989">
        <f>D101*3.6</f>
        <v>8915.8319999999985</v>
      </c>
    </row>
    <row r="6610" spans="1:1" ht="11.75" customHeight="1">
      <c r="A6610" s="1989" t="b">
        <f>IF(D108="PH Low",1*D105/D101*3.6,IF(D108="PH+",0.1))</f>
        <v>0</v>
      </c>
    </row>
    <row r="6611" spans="1:1" ht="11.75" customHeight="1">
      <c r="A6611" s="1989" t="b">
        <f>D108="PH Low"</f>
        <v>0</v>
      </c>
    </row>
    <row r="6612" spans="1:1" ht="11.75" customHeight="1">
      <c r="A6612" s="1989">
        <f>1*D105/D101*3.6</f>
        <v>11.628752089541393</v>
      </c>
    </row>
    <row r="6613" spans="1:1" ht="11.75" customHeight="1">
      <c r="A6613" s="1989">
        <f>1*D105</f>
        <v>8000</v>
      </c>
    </row>
    <row r="6614" spans="1:1" ht="11.75" customHeight="1">
      <c r="A6614" s="1989">
        <f>D101*3.6</f>
        <v>8915.8319999999985</v>
      </c>
    </row>
    <row r="6615" spans="1:1" ht="11.75" customHeight="1">
      <c r="A6615" s="1989" t="b">
        <f>IF(D108="PH+",0.1)</f>
        <v>0</v>
      </c>
    </row>
    <row r="6616" spans="1:1" ht="11.75" customHeight="1">
      <c r="A6616" s="1989" t="b">
        <f>D108="PH+"</f>
        <v>0</v>
      </c>
    </row>
    <row r="6617" spans="1:1" ht="11.75" customHeight="1">
      <c r="A6617" s="1989">
        <f>IF(H20="Present",VLOOKUP(H19,CANADA!A6:K699,9,FALSE),VLOOKUP(H19,CANADA!A6:K699,11,FALSE))</f>
        <v>4600</v>
      </c>
    </row>
    <row r="6618" spans="1:1" ht="11.75" customHeight="1">
      <c r="A6618" s="1989">
        <f>MATCH('NRL50-n-Factors'!D34,'NRL50-n-Factors'!C38:C49,0)</f>
        <v>5</v>
      </c>
    </row>
    <row r="6619" spans="1:1" ht="11.75" customHeight="1">
      <c r="A6619" s="1989">
        <f>MATCH(REPORT!D103,'NRL50-n-Factors'!D37:J37,0)</f>
        <v>2</v>
      </c>
    </row>
    <row r="6620" spans="1:1" ht="11.75" customHeight="1">
      <c r="A6620" s="1989" t="b">
        <f>D51="Gas"</f>
        <v>0</v>
      </c>
    </row>
    <row r="6621" spans="1:1" ht="11.75" customHeight="1">
      <c r="A6621" s="1989">
        <f>D$20*G101*24</f>
        <v>30728.853316304834</v>
      </c>
    </row>
    <row r="6622" spans="1:1" ht="11.75" customHeight="1">
      <c r="A6622" s="1989">
        <f>SUM(H65:H67)</f>
        <v>84390.33600000001</v>
      </c>
    </row>
    <row r="6623" spans="1:1" ht="11.75" customHeight="1">
      <c r="A6623" s="1989">
        <f>IF(D113="Heatpump",K51+D117+D114+M43+H70,IF(D113="Gas",K51+D117+M43+H70))</f>
        <v>132765.64793897627</v>
      </c>
    </row>
    <row r="6624" spans="1:1" ht="11.75" customHeight="1">
      <c r="A6624" s="1989" t="b">
        <f>D113="Heatpump"</f>
        <v>1</v>
      </c>
    </row>
    <row r="6625" spans="1:1" ht="11.75" customHeight="1">
      <c r="A6625" s="1989">
        <f>IF(D108="AL-1A",0.89,IF(D108="AL-2A",0.71,IF(D108="AL-3A",0.53,IF(D108="AL-4A",0.35,IF(D108="AL-5A",0.21,IF(D108="AL-1B",1.17,IF(D108="AL-2B",0.98,IF(D108="AL-3B",0.78,IF(D108="AL-4B",0.59,IF(D108="AL-5B",0.39,IF(D108="AL-6B",0.23,IF(D108="PH Classic",0.6*D105/D101*3.6,IF(D108="PH Low",1*D105/D101*3.6,IF(D108="PH+",0.1))))))))))))))</f>
        <v>1.17</v>
      </c>
    </row>
    <row r="6626" spans="1:1" ht="11.75" customHeight="1">
      <c r="A6626" s="1989" t="b">
        <f>D108="AL-1A"</f>
        <v>0</v>
      </c>
    </row>
    <row r="6627" spans="1:1" ht="11.75" customHeight="1">
      <c r="A6627" s="1989">
        <f>IF(D108="AL-2A",0.71,IF(D108="AL-3A",0.53,IF(D108="AL-4A",0.35,IF(D108="AL-5A",0.21,IF(D108="AL-1B",1.17,IF(D108="AL-2B",0.98,IF(D108="AL-3B",0.78,IF(D108="AL-4B",0.59,IF(D108="AL-5B",0.39,IF(D108="AL-6B",0.23,IF(D108="PH Classic",0.6*D105/D101*3.6,IF(D108="PH Low",1*D105/D101*3.6,IF(D108="PH+",0.1)))))))))))))</f>
        <v>1.17</v>
      </c>
    </row>
    <row r="6628" spans="1:1" ht="11.75" customHeight="1">
      <c r="A6628" s="1989" t="b">
        <f>D108="AL-2A"</f>
        <v>0</v>
      </c>
    </row>
    <row r="6629" spans="1:1" ht="11.75" customHeight="1">
      <c r="A6629" s="1989">
        <f>IF(D108="AL-3A",0.53,IF(D108="AL-4A",0.35,IF(D108="AL-5A",0.21,IF(D108="AL-1B",1.17,IF(D108="AL-2B",0.98,IF(D108="AL-3B",0.78,IF(D108="AL-4B",0.59,IF(D108="AL-5B",0.39,IF(D108="AL-6B",0.23,IF(D108="PH Classic",0.6*D105/D101*3.6,IF(D108="PH Low",1*D105/D101*3.6,IF(D108="PH+",0.1))))))))))))</f>
        <v>1.17</v>
      </c>
    </row>
    <row r="6630" spans="1:1" ht="11.75" customHeight="1">
      <c r="A6630" s="1989" t="b">
        <f>D108="AL-3A"</f>
        <v>0</v>
      </c>
    </row>
    <row r="6631" spans="1:1" ht="11.75" customHeight="1">
      <c r="A6631" s="1989">
        <f>IF(D108="AL-4A",0.35,IF(D108="AL-5A",0.21,IF(D108="AL-1B",1.17,IF(D108="AL-2B",0.98,IF(D108="AL-3B",0.78,IF(D108="AL-4B",0.59,IF(D108="AL-5B",0.39,IF(D108="AL-6B",0.23,IF(D108="PH Classic",0.6*D105/D101*3.6,IF(D108="PH Low",1*D105/D101*3.6,IF(D108="PH+",0.1)))))))))))</f>
        <v>1.17</v>
      </c>
    </row>
    <row r="6632" spans="1:1" ht="11.75" customHeight="1">
      <c r="A6632" s="1989" t="b">
        <f>D108="AL-4A"</f>
        <v>0</v>
      </c>
    </row>
    <row r="6633" spans="1:1" ht="11.75" customHeight="1">
      <c r="A6633" s="1989">
        <f>IF(D108="AL-5A",0.21,IF(D108="AL-1B",1.17,IF(D108="AL-2B",0.98,IF(D108="AL-3B",0.78,IF(D108="AL-4B",0.59,IF(D108="AL-5B",0.39,IF(D108="AL-6B",0.23,IF(D108="PH Classic",0.6*D105/D101*3.6,IF(D108="PH Low",1*D105/D101*3.6,IF(D108="PH+",0.1))))))))))</f>
        <v>1.17</v>
      </c>
    </row>
    <row r="6634" spans="1:1" ht="11.75" customHeight="1">
      <c r="A6634" s="1989" t="b">
        <f>D108="AL-5A"</f>
        <v>0</v>
      </c>
    </row>
    <row r="6635" spans="1:1" ht="11.75" customHeight="1">
      <c r="A6635" s="1989">
        <f>IF(D108="AL-1B",1.17,IF(D108="AL-2B",0.98,IF(D108="AL-3B",0.78,IF(D108="AL-4B",0.59,IF(D108="AL-5B",0.39,IF(D108="AL-6B",0.23,IF(D108="PH Classic",0.6*D105/D101*3.6,IF(D108="PH Low",1*D105/D101*3.6,IF(D108="PH+",0.1)))))))))</f>
        <v>1.17</v>
      </c>
    </row>
    <row r="6636" spans="1:1" ht="11.75" customHeight="1">
      <c r="A6636" s="1989" t="b">
        <f>D108="AL-1B"</f>
        <v>1</v>
      </c>
    </row>
    <row r="6637" spans="1:1" ht="11.75" customHeight="1">
      <c r="A6637" s="1989" t="b">
        <f>IF(D108="AL-2B",0.98,IF(D108="AL-3B",0.78,IF(D108="AL-4B",0.59,IF(D108="AL-5B",0.39,IF(D108="AL-6B",0.23,IF(D108="PH Classic",0.6*D105/D101*3.6,IF(D108="PH Low",1*D105/D101*3.6,IF(D108="PH+",0.1))))))))</f>
        <v>0</v>
      </c>
    </row>
    <row r="6638" spans="1:1" ht="11.75" customHeight="1">
      <c r="A6638" s="1989" t="b">
        <f>D108="AL-2B"</f>
        <v>0</v>
      </c>
    </row>
    <row r="6639" spans="1:1" ht="11.75" customHeight="1">
      <c r="A6639" s="1989" t="b">
        <f>IF(D108="AL-3B",0.78,IF(D108="AL-4B",0.59,IF(D108="AL-5B",0.39,IF(D108="AL-6B",0.23,IF(D108="PH Classic",0.6*D105/D101*3.6,IF(D108="PH Low",1*D105/D101*3.6,IF(D108="PH+",0.1)))))))</f>
        <v>0</v>
      </c>
    </row>
    <row r="6640" spans="1:1" ht="11.75" customHeight="1">
      <c r="A6640" s="1989" t="b">
        <f>D108="AL-3B"</f>
        <v>0</v>
      </c>
    </row>
    <row r="6641" spans="1:1" ht="11.75" customHeight="1">
      <c r="A6641" s="1989" t="b">
        <f>IF(D108="AL-4B",0.59,IF(D108="AL-5B",0.39,IF(D108="AL-6B",0.23,IF(D108="PH Classic",0.6*D105/D101*3.6,IF(D108="PH Low",1*D105/D101*3.6,IF(D108="PH+",0.1))))))</f>
        <v>0</v>
      </c>
    </row>
    <row r="6642" spans="1:1" ht="11.75" customHeight="1">
      <c r="A6642" s="1989" t="b">
        <f>D108="AL-4B"</f>
        <v>0</v>
      </c>
    </row>
    <row r="6643" spans="1:1" ht="11.75" customHeight="1">
      <c r="A6643" s="1989" t="b">
        <f>IF(D108="AL-5B",0.39,IF(D108="AL-6B",0.23,IF(D108="PH Classic",0.6*D105/D101*3.6,IF(D108="PH Low",1*D105/D101*3.6,IF(D108="PH+",0.1)))))</f>
        <v>0</v>
      </c>
    </row>
    <row r="6644" spans="1:1" ht="11.75" customHeight="1">
      <c r="A6644" s="1989" t="b">
        <f>D108="AL-5B"</f>
        <v>0</v>
      </c>
    </row>
    <row r="6645" spans="1:1" ht="11.75" customHeight="1">
      <c r="A6645" s="1989" t="b">
        <f>IF(D108="AL-6B",0.23,IF(D108="PH Classic",0.6*D105/D101*3.6,IF(D108="PH Low",1*D105/D101*3.6,IF(D108="PH+",0.1))))</f>
        <v>0</v>
      </c>
    </row>
    <row r="6646" spans="1:1" ht="11.75" customHeight="1">
      <c r="A6646" s="1989" t="b">
        <f>D108="AL-6B"</f>
        <v>0</v>
      </c>
    </row>
    <row r="6647" spans="1:1" ht="11.75" customHeight="1">
      <c r="A6647" s="1989" t="b">
        <f>IF(D108="PH Classic",0.6*D105/D101*3.6,IF(D108="PH Low",1*D105/D101*3.6,IF(D108="PH+",0.1)))</f>
        <v>0</v>
      </c>
    </row>
    <row r="6648" spans="1:1" ht="11.75" customHeight="1">
      <c r="A6648" s="1989" t="b">
        <f>D108="PH Classic"</f>
        <v>0</v>
      </c>
    </row>
    <row r="6649" spans="1:1" ht="11.75" customHeight="1">
      <c r="A6649" s="1989">
        <f>0.6*D105/D101*3.6</f>
        <v>6.9772512537248366</v>
      </c>
    </row>
    <row r="6650" spans="1:1" ht="11.75" customHeight="1">
      <c r="A6650" s="1989">
        <f>0.6*D105</f>
        <v>4800</v>
      </c>
    </row>
    <row r="6651" spans="1:1" ht="11.75" customHeight="1">
      <c r="A6651" s="1989">
        <f>D101*3.6</f>
        <v>8915.8319999999985</v>
      </c>
    </row>
    <row r="6652" spans="1:1" ht="11.75" customHeight="1">
      <c r="A6652" s="1989" t="b">
        <f>IF(D108="PH Low",1*D105/D101*3.6,IF(D108="PH+",0.1))</f>
        <v>0</v>
      </c>
    </row>
    <row r="6653" spans="1:1" ht="11.75" customHeight="1">
      <c r="A6653" s="1989" t="b">
        <f>D108="PH Low"</f>
        <v>0</v>
      </c>
    </row>
    <row r="6654" spans="1:1" ht="11.75" customHeight="1">
      <c r="A6654" s="1989">
        <f>1*D105/D101*3.6</f>
        <v>11.628752089541393</v>
      </c>
    </row>
    <row r="6655" spans="1:1" ht="11.75" customHeight="1">
      <c r="A6655" s="1989">
        <f>1*D105</f>
        <v>8000</v>
      </c>
    </row>
    <row r="6656" spans="1:1" ht="11.75" customHeight="1">
      <c r="A6656" s="1989">
        <f>D101*3.6</f>
        <v>8915.8319999999985</v>
      </c>
    </row>
    <row r="6657" spans="1:1" ht="11.75" customHeight="1">
      <c r="A6657" s="1990">
        <f>H27-D43</f>
        <v>132765.64793897627</v>
      </c>
    </row>
    <row r="6658" spans="1:1" ht="11.75" customHeight="1">
      <c r="A6658" s="1989" t="b">
        <f>D113="Electricity"</f>
        <v>0</v>
      </c>
    </row>
    <row r="6659" spans="1:1" ht="11.75" customHeight="1">
      <c r="A6659" s="1990">
        <f>I103+K51+D117+M121+I101+I102+M43+SUM(H65:H67)</f>
        <v>265287.6445956853</v>
      </c>
    </row>
    <row r="6660" spans="1:1" ht="11.75" customHeight="1">
      <c r="A6660" s="1990">
        <f>I103+K51+D117+M121+I101+I102+M43</f>
        <v>180897.30859568529</v>
      </c>
    </row>
    <row r="6661" spans="1:1" ht="11.75" customHeight="1">
      <c r="A6661" s="1990">
        <f>I103+K51+D117+M121+I101+I102</f>
        <v>180897.30859568529</v>
      </c>
    </row>
    <row r="6662" spans="1:1" ht="11.75" customHeight="1">
      <c r="A6662" s="1990">
        <f>I103+K51+D117+M121+I101</f>
        <v>164109.06314703665</v>
      </c>
    </row>
    <row r="6663" spans="1:1" ht="11.75" customHeight="1">
      <c r="A6663" s="1990">
        <f>I103+K51+D117+M121</f>
        <v>88005.3704468098</v>
      </c>
    </row>
    <row r="6664" spans="1:1" ht="11.75" customHeight="1">
      <c r="A6664" s="1990">
        <f>I103+K51+D117</f>
        <v>39024.570446809812</v>
      </c>
    </row>
    <row r="6665" spans="1:1" ht="11.75" customHeight="1">
      <c r="A6665" s="1990">
        <f>I103+K51</f>
        <v>36006.531012790423</v>
      </c>
    </row>
    <row r="6666" spans="1:1" ht="11.75" customHeight="1">
      <c r="A6666" s="1989">
        <f>1.21*G108*D20*24/1000*D101</f>
        <v>387079.06311359996</v>
      </c>
    </row>
    <row r="6667" spans="1:1" ht="11.75" customHeight="1">
      <c r="A6667" s="1989">
        <f>1.21*G108*D20*24/1000</f>
        <v>156.29328000000001</v>
      </c>
    </row>
    <row r="6668" spans="1:1" ht="11.75" customHeight="1">
      <c r="A6668" s="1989">
        <f>1.21*G108*D20*24</f>
        <v>156293.28</v>
      </c>
    </row>
    <row r="6669" spans="1:1" ht="11.75" customHeight="1">
      <c r="A6669" s="1989">
        <f>1.21*G108*D20</f>
        <v>6512.22</v>
      </c>
    </row>
    <row r="6670" spans="1:1" ht="11.75" customHeight="1">
      <c r="A6670" s="1989">
        <f>1.21*G108</f>
        <v>1.4157</v>
      </c>
    </row>
    <row r="6671" spans="1:1" ht="11.75" customHeight="1">
      <c r="A6671" s="1989" t="b">
        <f>D108="Measured"</f>
        <v>0</v>
      </c>
    </row>
    <row r="6672" spans="1:1" ht="11.75" customHeight="1">
      <c r="A6672" s="1989">
        <f>G109*D105/D101*3.6</f>
        <v>17.44312813431209</v>
      </c>
    </row>
    <row r="6673" spans="1:1" ht="11.75" customHeight="1">
      <c r="A6673" s="1989">
        <f>G109*D105</f>
        <v>12000</v>
      </c>
    </row>
    <row r="6674" spans="1:1" ht="11.75" customHeight="1">
      <c r="A6674" s="1989">
        <f>D101*3.6</f>
        <v>8915.8319999999985</v>
      </c>
    </row>
    <row r="6675" spans="1:1" ht="11.75" customHeight="1">
      <c r="A6675" s="1989">
        <f>1*D105/D101*3.6</f>
        <v>11.628752089541393</v>
      </c>
    </row>
    <row r="6676" spans="1:1" ht="11.75" customHeight="1">
      <c r="A6676" s="1989">
        <f>1*D105</f>
        <v>8000</v>
      </c>
    </row>
    <row r="6677" spans="1:1" ht="11.75" customHeight="1">
      <c r="A6677" s="1989">
        <f>D101*3.6</f>
        <v>8915.8319999999985</v>
      </c>
    </row>
    <row r="6678" spans="1:1" ht="11.75" customHeight="1">
      <c r="A6678" s="1989" t="b">
        <f>IF(D108="PH+",0.1)</f>
        <v>0</v>
      </c>
    </row>
    <row r="6679" spans="1:1" ht="11.75" customHeight="1">
      <c r="A6679" s="1989" t="b">
        <f>D108="PH+"</f>
        <v>0</v>
      </c>
    </row>
    <row r="6680" spans="1:1" ht="11.75" customHeight="1">
      <c r="A6680" s="1989">
        <f>IF(H20="Present",VLOOKUP(H19,CANADA!A6:K699,9,FALSE),VLOOKUP(H19,CANADA!A6:K699,11,FALSE))</f>
        <v>4600</v>
      </c>
    </row>
    <row r="6681" spans="1:1" ht="11.75" customHeight="1">
      <c r="A6681" s="1989">
        <f>MATCH('NRL50-n-Factors'!D34,'NRL50-n-Factors'!C38:C49,0)</f>
        <v>5</v>
      </c>
    </row>
    <row r="6682" spans="1:1" ht="11.75" customHeight="1">
      <c r="A6682" s="1989">
        <f>MATCH(REPORT!D103,'NRL50-n-Factors'!D37:J37,0)</f>
        <v>2</v>
      </c>
    </row>
    <row r="6683" spans="1:1" ht="11.75" customHeight="1">
      <c r="A6683" s="1989" t="b">
        <f>D51="Gas"</f>
        <v>0</v>
      </c>
    </row>
    <row r="6684" spans="1:1" ht="11.75" customHeight="1">
      <c r="A6684" s="1989" t="b">
        <f>D49="By Engineer"</f>
        <v>0</v>
      </c>
    </row>
    <row r="6685" spans="1:1" ht="11.75" customHeight="1">
      <c r="A6685" s="1989">
        <f>H50*D63*0.0523*365</f>
        <v>38484.432000000001</v>
      </c>
    </row>
    <row r="6686" spans="1:1" ht="11.75" customHeight="1">
      <c r="A6686" s="1989">
        <f>D$20*G101*24</f>
        <v>30728.853316304834</v>
      </c>
    </row>
    <row r="6687" spans="1:1" ht="11.75" customHeight="1">
      <c r="A6687" s="1989">
        <f>SUM(H65:H67)</f>
        <v>84390.33600000001</v>
      </c>
    </row>
    <row r="6688" spans="1:1" ht="11.75" customHeight="1">
      <c r="A6688" s="1989">
        <f>IF(D113="Heatpump",K51+D117+D114+M43+H70,IF(D113="Gas",K51+D117+M43+H70))</f>
        <v>132765.64793897627</v>
      </c>
    </row>
    <row r="6689" spans="1:1" ht="11.75" customHeight="1">
      <c r="A6689" s="1989" t="b">
        <f>D113="Heatpump"</f>
        <v>1</v>
      </c>
    </row>
    <row r="6690" spans="1:1" ht="11.75" customHeight="1">
      <c r="A6690" s="1990">
        <f>K51+D117+D114+M43+H70</f>
        <v>132765.64793897627</v>
      </c>
    </row>
    <row r="6691" spans="1:1" ht="11.75" customHeight="1">
      <c r="A6691" s="1989" t="b">
        <f>IF(D113="Gas",K51+D117+M43+H70)</f>
        <v>0</v>
      </c>
    </row>
    <row r="6692" spans="1:1" ht="11.75" customHeight="1">
      <c r="A6692" s="1989">
        <f>SUM(D44:D46)</f>
        <v>0</v>
      </c>
    </row>
    <row r="6693" spans="1:1" ht="11.75" customHeight="1">
      <c r="A6693" s="1990">
        <f>I44+I45</f>
        <v>0</v>
      </c>
    </row>
    <row r="6694" spans="1:1" ht="11.75" customHeight="1">
      <c r="A6694" s="1989">
        <f>H28*0.0373</f>
        <v>0</v>
      </c>
    </row>
    <row r="6695" spans="1:1" ht="11.75" customHeight="1">
      <c r="A6695" s="1989">
        <f>H30*36.72</f>
        <v>0</v>
      </c>
    </row>
    <row r="6696" spans="1:1" ht="11.75" customHeight="1">
      <c r="A6696" s="1990">
        <f>H27-D43</f>
        <v>132765.64793897627</v>
      </c>
    </row>
    <row r="6697" spans="1:1" ht="11.75" customHeight="1">
      <c r="A6697" s="1989" t="b">
        <f>D113="Electricity"</f>
        <v>0</v>
      </c>
    </row>
    <row r="6698" spans="1:1" ht="11.75" customHeight="1">
      <c r="A6698" s="1990">
        <f>I103+K51+D117+M121+I101+I102+M43+SUM(H65:H67)</f>
        <v>265287.6445956853</v>
      </c>
    </row>
    <row r="6699" spans="1:1" ht="11.75" customHeight="1">
      <c r="A6699" s="1990">
        <f>I103+K51+D117+M121+I101+I102+M43</f>
        <v>180897.30859568529</v>
      </c>
    </row>
    <row r="6700" spans="1:1" ht="11.75" customHeight="1">
      <c r="A6700" s="1990">
        <f>I103+K51+D117+M121+I101+I102</f>
        <v>180897.30859568529</v>
      </c>
    </row>
    <row r="6701" spans="1:1" ht="11.75" customHeight="1">
      <c r="A6701" s="1990">
        <f>I103+K51+D117+M121+I101</f>
        <v>164109.06314703665</v>
      </c>
    </row>
    <row r="6702" spans="1:1" ht="11.75" customHeight="1">
      <c r="A6702" s="1990">
        <f>I103+K51+D117+M121</f>
        <v>88005.3704468098</v>
      </c>
    </row>
    <row r="6703" spans="1:1" ht="11.75" customHeight="1">
      <c r="A6703" s="1990">
        <f>I103+K51+D117</f>
        <v>39024.570446809812</v>
      </c>
    </row>
    <row r="6704" spans="1:1" ht="11.75" customHeight="1">
      <c r="A6704" s="1990">
        <f>I103+K51</f>
        <v>36006.531012790423</v>
      </c>
    </row>
    <row r="6705" spans="1:1" ht="11.75" customHeight="1">
      <c r="A6705" s="1989">
        <f>1.21*G108*D20*24/1000*D101</f>
        <v>387079.06311359996</v>
      </c>
    </row>
    <row r="6706" spans="1:1" ht="11.75" customHeight="1">
      <c r="A6706" s="1989">
        <f>1.21*G108*D20*24/1000</f>
        <v>156.29328000000001</v>
      </c>
    </row>
    <row r="6707" spans="1:1" ht="11.75" customHeight="1">
      <c r="A6707" s="1989">
        <f>1.21*G108*D20*24</f>
        <v>156293.28</v>
      </c>
    </row>
    <row r="6708" spans="1:1" ht="11.75" customHeight="1">
      <c r="A6708" s="1989">
        <f>1.21*G108*D20</f>
        <v>6512.22</v>
      </c>
    </row>
    <row r="6709" spans="1:1" ht="11.75" customHeight="1">
      <c r="A6709" s="1989">
        <f>1.21*G108</f>
        <v>1.4157</v>
      </c>
    </row>
    <row r="6710" spans="1:1" ht="11.75" customHeight="1">
      <c r="A6710" s="1989" t="b">
        <f>D108="Measured"</f>
        <v>0</v>
      </c>
    </row>
    <row r="6711" spans="1:1" ht="11.75" customHeight="1">
      <c r="A6711" s="1989">
        <f>G109*D105/D101*3.6</f>
        <v>17.44312813431209</v>
      </c>
    </row>
    <row r="6712" spans="1:1" ht="11.75" customHeight="1">
      <c r="A6712" s="1989">
        <f>G109*D105</f>
        <v>12000</v>
      </c>
    </row>
    <row r="6713" spans="1:1" ht="11.75" customHeight="1">
      <c r="A6713" s="1989">
        <f>D101*3.6</f>
        <v>8915.8319999999985</v>
      </c>
    </row>
    <row r="6714" spans="1:1" ht="11.75" customHeight="1">
      <c r="A6714" s="1989">
        <f>IF(D108="AL-1A",0.89,IF(D108="AL-2A",0.71,IF(D108="AL-3A",0.53,IF(D108="AL-4A",0.35,IF(D108="AL-5A",0.21,IF(D108="AL-1B",1.17,IF(D108="AL-2B",0.98,IF(D108="AL-3B",0.78,IF(D108="AL-4B",0.59,IF(D108="AL-5B",0.39,IF(D108="AL-6B",0.23,IF(D108="PH Classic",0.6*D105/D101*3.6,IF(D108="PH Low",1*D105/D101*3.6,IF(D108="PH+",0.1))))))))))))))</f>
        <v>1.17</v>
      </c>
    </row>
    <row r="6715" spans="1:1" ht="11.75" customHeight="1">
      <c r="A6715" s="1989" t="b">
        <f>D108="AL-1A"</f>
        <v>0</v>
      </c>
    </row>
    <row r="6716" spans="1:1" ht="11.75" customHeight="1">
      <c r="A6716" s="1989">
        <f>IF(D108="AL-2A",0.71,IF(D108="AL-3A",0.53,IF(D108="AL-4A",0.35,IF(D108="AL-5A",0.21,IF(D108="AL-1B",1.17,IF(D108="AL-2B",0.98,IF(D108="AL-3B",0.78,IF(D108="AL-4B",0.59,IF(D108="AL-5B",0.39,IF(D108="AL-6B",0.23,IF(D108="PH Classic",0.6*D105/D101*3.6,IF(D108="PH Low",1*D105/D101*3.6,IF(D108="PH+",0.1)))))))))))))</f>
        <v>1.17</v>
      </c>
    </row>
    <row r="6717" spans="1:1" ht="11.75" customHeight="1">
      <c r="A6717" s="1989">
        <f>1*D105/D101*3.6</f>
        <v>11.628752089541393</v>
      </c>
    </row>
    <row r="6718" spans="1:1" ht="11.75" customHeight="1">
      <c r="A6718" s="1989">
        <f>1*D105</f>
        <v>8000</v>
      </c>
    </row>
    <row r="6719" spans="1:1" ht="11.75" customHeight="1">
      <c r="A6719" s="1989">
        <f>D101*3.6</f>
        <v>8915.8319999999985</v>
      </c>
    </row>
    <row r="6720" spans="1:1" ht="11.75" customHeight="1">
      <c r="A6720" s="1989" t="b">
        <f>IF(D108="PH+",0.1)</f>
        <v>0</v>
      </c>
    </row>
    <row r="6721" spans="1:1" ht="11.75" customHeight="1">
      <c r="A6721" s="1989" t="b">
        <f>D108="PH+"</f>
        <v>0</v>
      </c>
    </row>
    <row r="6722" spans="1:1" ht="11.75" customHeight="1">
      <c r="A6722" s="1989">
        <f>IF(H20="Present",VLOOKUP(H19,CANADA!A6:K699,9,FALSE),VLOOKUP(H19,CANADA!A6:K699,11,FALSE))</f>
        <v>4600</v>
      </c>
    </row>
    <row r="6723" spans="1:1" ht="11.75" customHeight="1">
      <c r="A6723" s="1989">
        <f>MATCH('NRL50-n-Factors'!D34,'NRL50-n-Factors'!C38:C49,0)</f>
        <v>5</v>
      </c>
    </row>
    <row r="6724" spans="1:1" ht="11.75" customHeight="1">
      <c r="A6724" s="1989">
        <f>MATCH(REPORT!D103,'NRL50-n-Factors'!D37:J37,0)</f>
        <v>2</v>
      </c>
    </row>
    <row r="6725" spans="1:1" ht="11.75" customHeight="1">
      <c r="A6725" s="1989" t="b">
        <f>D51="Gas"</f>
        <v>0</v>
      </c>
    </row>
    <row r="6726" spans="1:1" ht="11.75" customHeight="1">
      <c r="A6726" s="1989" t="b">
        <f>D49="By Engineer"</f>
        <v>0</v>
      </c>
    </row>
    <row r="6727" spans="1:1" ht="11.75" customHeight="1">
      <c r="A6727" s="1989">
        <f>H50*D63*0.0523*365</f>
        <v>38484.432000000001</v>
      </c>
    </row>
    <row r="6728" spans="1:1" ht="11.75" customHeight="1">
      <c r="A6728" s="1989">
        <f>D$20*G101*24</f>
        <v>30728.853316304834</v>
      </c>
    </row>
    <row r="6729" spans="1:1" ht="11.75" customHeight="1">
      <c r="A6729" s="1989">
        <f>SUM(H65:H67)</f>
        <v>84390.33600000001</v>
      </c>
    </row>
    <row r="6730" spans="1:1" ht="11.75" customHeight="1">
      <c r="A6730" s="1989">
        <f>IF(D113="Heatpump",K51+D117+D114+M43+H70,IF(D113="Gas",K51+D117+M43+H70))</f>
        <v>132765.64793897627</v>
      </c>
    </row>
    <row r="6731" spans="1:1" ht="11.75" customHeight="1">
      <c r="A6731" s="1989" t="b">
        <f>D113="Heatpump"</f>
        <v>1</v>
      </c>
    </row>
    <row r="6732" spans="1:1" ht="11.75" customHeight="1">
      <c r="A6732" s="1990">
        <f>K51+D117+D114+M43+H70</f>
        <v>132765.64793897627</v>
      </c>
    </row>
    <row r="6733" spans="1:1" ht="11.75" customHeight="1">
      <c r="A6733" s="1989" t="b">
        <f>IF(D113="Gas",K51+D117+M43+H70)</f>
        <v>0</v>
      </c>
    </row>
    <row r="6734" spans="1:1" ht="11.75" customHeight="1">
      <c r="A6734" s="1989">
        <f>SUM(D44:D46)</f>
        <v>0</v>
      </c>
    </row>
    <row r="6735" spans="1:1" ht="11.75" customHeight="1">
      <c r="A6735" s="1990">
        <f>I44+I45</f>
        <v>0</v>
      </c>
    </row>
    <row r="6736" spans="1:1" ht="11.75" customHeight="1">
      <c r="A6736" s="1989">
        <f>H28*0.0373</f>
        <v>0</v>
      </c>
    </row>
    <row r="6737" spans="1:1" ht="11.75" customHeight="1">
      <c r="A6737" s="1990">
        <f>H27-D43</f>
        <v>132765.64793897627</v>
      </c>
    </row>
    <row r="6738" spans="1:1" ht="11.75" customHeight="1">
      <c r="A6738" s="1989" t="b">
        <f>D113="Electricity"</f>
        <v>0</v>
      </c>
    </row>
    <row r="6739" spans="1:1" ht="11.75" customHeight="1">
      <c r="A6739" s="1990">
        <f>I103+K51+D117+M121+I101+I102+M43+SUM(H65:H67)</f>
        <v>265287.6445956853</v>
      </c>
    </row>
    <row r="6740" spans="1:1" ht="11.75" customHeight="1">
      <c r="A6740" s="1990">
        <f>I103+K51+D117+M121+I101+I102+M43</f>
        <v>180897.30859568529</v>
      </c>
    </row>
    <row r="6741" spans="1:1" ht="11.75" customHeight="1">
      <c r="A6741" s="1990">
        <f>I103+K51+D117+M121+I101+I102</f>
        <v>180897.30859568529</v>
      </c>
    </row>
    <row r="6742" spans="1:1" ht="11.75" customHeight="1">
      <c r="A6742" s="1990">
        <f>I103+K51+D117+M121+I101</f>
        <v>164109.06314703665</v>
      </c>
    </row>
    <row r="6743" spans="1:1" ht="11.75" customHeight="1">
      <c r="A6743" s="1990">
        <f>I103+K51+D117+M121</f>
        <v>88005.3704468098</v>
      </c>
    </row>
    <row r="6744" spans="1:1" ht="11.75" customHeight="1">
      <c r="A6744" s="1990">
        <f>I103+K51+D117</f>
        <v>39024.570446809812</v>
      </c>
    </row>
    <row r="6745" spans="1:1" ht="11.75" customHeight="1">
      <c r="A6745" s="1990">
        <f>I103+K51</f>
        <v>36006.531012790423</v>
      </c>
    </row>
    <row r="6746" spans="1:1" ht="11.75" customHeight="1">
      <c r="A6746" s="1989">
        <f>1.21*G108*D20*24/1000*D101</f>
        <v>387079.06311359996</v>
      </c>
    </row>
    <row r="6747" spans="1:1" ht="11.75" customHeight="1">
      <c r="A6747" s="1989">
        <f>1.21*G108*D20*24/1000</f>
        <v>156.29328000000001</v>
      </c>
    </row>
    <row r="6748" spans="1:1" ht="11.75" customHeight="1">
      <c r="A6748" s="1989">
        <f>1.21*G108*D20*24</f>
        <v>156293.28</v>
      </c>
    </row>
    <row r="6749" spans="1:1" ht="11.75" customHeight="1">
      <c r="A6749" s="1989">
        <f>1.21*G108*D20</f>
        <v>6512.22</v>
      </c>
    </row>
    <row r="6750" spans="1:1" ht="11.75" customHeight="1">
      <c r="A6750" s="1989">
        <f>1.21*G108</f>
        <v>1.4157</v>
      </c>
    </row>
    <row r="6751" spans="1:1" ht="11.75" customHeight="1">
      <c r="A6751" s="1989" t="b">
        <f>D108="Measured"</f>
        <v>0</v>
      </c>
    </row>
    <row r="6752" spans="1:1" ht="11.75" customHeight="1">
      <c r="A6752" s="1989">
        <f>G109*D105/D101*3.6</f>
        <v>17.44312813431209</v>
      </c>
    </row>
    <row r="6753" spans="1:1" ht="11.75" customHeight="1">
      <c r="A6753" s="1989">
        <f>G109*D105</f>
        <v>12000</v>
      </c>
    </row>
    <row r="6754" spans="1:1" ht="11.75" customHeight="1">
      <c r="A6754" s="1989">
        <f>D101*3.6</f>
        <v>8915.8319999999985</v>
      </c>
    </row>
    <row r="6755" spans="1:1" ht="11.75" customHeight="1">
      <c r="A6755" s="1989">
        <f>IF(D108="AL-1A",0.89,IF(D108="AL-2A",0.71,IF(D108="AL-3A",0.53,IF(D108="AL-4A",0.35,IF(D108="AL-5A",0.21,IF(D108="AL-1B",1.17,IF(D108="AL-2B",0.98,IF(D108="AL-3B",0.78,IF(D108="AL-4B",0.59,IF(D108="AL-5B",0.39,IF(D108="AL-6B",0.23,IF(D108="PH Classic",0.6*D105/D101*3.6,IF(D108="PH Low",1*D105/D101*3.6,IF(D108="PH+",0.1))))))))))))))</f>
        <v>1.17</v>
      </c>
    </row>
    <row r="6756" spans="1:1" ht="11.75" customHeight="1">
      <c r="A6756" s="1989" t="b">
        <f>D108="AL-1A"</f>
        <v>0</v>
      </c>
    </row>
    <row r="6757" spans="1:1" ht="11.75" customHeight="1">
      <c r="A6757" s="1989">
        <f>IF(D108="AL-2A",0.71,IF(D108="AL-3A",0.53,IF(D108="AL-4A",0.35,IF(D108="AL-5A",0.21,IF(D108="AL-1B",1.17,IF(D108="AL-2B",0.98,IF(D108="AL-3B",0.78,IF(D108="AL-4B",0.59,IF(D108="AL-5B",0.39,IF(D108="AL-6B",0.23,IF(D108="PH Classic",0.6*D105/D101*3.6,IF(D108="PH Low",1*D105/D101*3.6,IF(D108="PH+",0.1)))))))))))))</f>
        <v>1.17</v>
      </c>
    </row>
    <row r="6758" spans="1:1" ht="11.75" customHeight="1">
      <c r="A6758" s="1989" t="b">
        <f>D108="AL-2A"</f>
        <v>0</v>
      </c>
    </row>
    <row r="6759" spans="1:1" ht="11.75" customHeight="1">
      <c r="A6759" s="1989">
        <f>IF(D108="AL-3A",0.53,IF(D108="AL-4A",0.35,IF(D108="AL-5A",0.21,IF(D108="AL-1B",1.17,IF(D108="AL-2B",0.98,IF(D108="AL-3B",0.78,IF(D108="AL-4B",0.59,IF(D108="AL-5B",0.39,IF(D108="AL-6B",0.23,IF(D108="PH Classic",0.6*D105/D101*3.6,IF(D108="PH Low",1*D105/D101*3.6,IF(D108="PH+",0.1))))))))))))</f>
        <v>1.17</v>
      </c>
    </row>
    <row r="6760" spans="1:1" ht="11.75" customHeight="1">
      <c r="A6760" s="1989" t="b">
        <f>D108="AL-3A"</f>
        <v>0</v>
      </c>
    </row>
    <row r="6761" spans="1:1" ht="11.75" customHeight="1">
      <c r="A6761" s="1989">
        <f>1*D105/D101*3.6</f>
        <v>11.628752089541393</v>
      </c>
    </row>
    <row r="6762" spans="1:1" ht="11.75" customHeight="1">
      <c r="A6762" s="1989">
        <f>1*D105</f>
        <v>8000</v>
      </c>
    </row>
    <row r="6763" spans="1:1" ht="11.75" customHeight="1">
      <c r="A6763" s="1989">
        <f>D101*3.6</f>
        <v>8915.8319999999985</v>
      </c>
    </row>
    <row r="6764" spans="1:1" ht="11.75" customHeight="1">
      <c r="A6764" s="1989" t="b">
        <f>IF(D108="PH+",0.1)</f>
        <v>0</v>
      </c>
    </row>
    <row r="6765" spans="1:1" ht="11.75" customHeight="1">
      <c r="A6765" s="1989" t="b">
        <f>D108="PH+"</f>
        <v>0</v>
      </c>
    </row>
    <row r="6766" spans="1:1" ht="11.75" customHeight="1">
      <c r="A6766" s="1989">
        <f>IF(H20="Present",VLOOKUP(H19,CANADA!A6:K699,9,FALSE),VLOOKUP(H19,CANADA!A6:K699,11,FALSE))</f>
        <v>4600</v>
      </c>
    </row>
    <row r="6767" spans="1:1" ht="11.75" customHeight="1">
      <c r="A6767" s="1989">
        <f>MATCH('NRL50-n-Factors'!D34,'NRL50-n-Factors'!C38:C49,0)</f>
        <v>5</v>
      </c>
    </row>
    <row r="6768" spans="1:1" ht="11.75" customHeight="1">
      <c r="A6768" s="1989">
        <f>MATCH(REPORT!D103,'NRL50-n-Factors'!D37:J37,0)</f>
        <v>2</v>
      </c>
    </row>
    <row r="6769" spans="1:1" ht="11.75" customHeight="1">
      <c r="A6769" s="1989" t="b">
        <f>D51="Gas"</f>
        <v>0</v>
      </c>
    </row>
    <row r="6770" spans="1:1" ht="11.75" customHeight="1">
      <c r="A6770" s="1989" t="b">
        <f>D49="By Engineer"</f>
        <v>0</v>
      </c>
    </row>
    <row r="6771" spans="1:1" ht="11.75" customHeight="1">
      <c r="A6771" s="1989">
        <f>H50*D63*0.0523*365</f>
        <v>38484.432000000001</v>
      </c>
    </row>
    <row r="6772" spans="1:1" ht="11.75" customHeight="1">
      <c r="A6772" s="1989">
        <f>D$20*G101*24</f>
        <v>30728.853316304834</v>
      </c>
    </row>
    <row r="6773" spans="1:1" ht="11.75" customHeight="1">
      <c r="A6773" s="1989">
        <f>SUM(H65:H67)</f>
        <v>84390.33600000001</v>
      </c>
    </row>
    <row r="6774" spans="1:1" ht="11.75" customHeight="1">
      <c r="A6774" s="1989">
        <f>IF(D113="Heatpump",K51+D117+D114+M43+H70,IF(D113="Gas",K51+D117+M43+H70))</f>
        <v>132765.64793897627</v>
      </c>
    </row>
    <row r="6775" spans="1:1" ht="11.75" customHeight="1">
      <c r="A6775" s="1989" t="b">
        <f>D113="Heatpump"</f>
        <v>1</v>
      </c>
    </row>
    <row r="6776" spans="1:1" ht="11.75" customHeight="1">
      <c r="A6776" s="1990">
        <f>K51+D117+D114+M43+H70</f>
        <v>132765.64793897627</v>
      </c>
    </row>
    <row r="6777" spans="1:1" ht="11.75" customHeight="1">
      <c r="A6777" s="1989" t="b">
        <f>IF(D113="Gas",K51+D117+M43+H70)</f>
        <v>0</v>
      </c>
    </row>
    <row r="6778" spans="1:1" ht="11.75" customHeight="1">
      <c r="A6778" s="1989">
        <f>SUM(D44:D46)</f>
        <v>0</v>
      </c>
    </row>
    <row r="6779" spans="1:1" ht="11.75" customHeight="1">
      <c r="A6779" s="1990">
        <f>H27-D43</f>
        <v>132765.64793897627</v>
      </c>
    </row>
    <row r="6780" spans="1:1" ht="11.75" customHeight="1">
      <c r="A6780" s="1989" t="b">
        <f>D113="Electricity"</f>
        <v>0</v>
      </c>
    </row>
    <row r="6781" spans="1:1" ht="11.75" customHeight="1">
      <c r="A6781" s="1990">
        <f>I103+K51+D117+M121+I101+I102+M43+SUM(H65:H67)</f>
        <v>265287.6445956853</v>
      </c>
    </row>
    <row r="6782" spans="1:1" ht="11.75" customHeight="1">
      <c r="A6782" s="1990">
        <f>I103+K51+D117+M121+I101+I102+M43</f>
        <v>180897.30859568529</v>
      </c>
    </row>
    <row r="6783" spans="1:1" ht="11.75" customHeight="1">
      <c r="A6783" s="1990">
        <f>I103+K51+D117+M121+I101+I102</f>
        <v>180897.30859568529</v>
      </c>
    </row>
    <row r="6784" spans="1:1" ht="11.75" customHeight="1">
      <c r="A6784" s="1990">
        <f>I103+K51+D117+M121+I101</f>
        <v>164109.06314703665</v>
      </c>
    </row>
    <row r="6785" spans="1:1" ht="11.75" customHeight="1">
      <c r="A6785" s="1990">
        <f>I103+K51+D117+M121</f>
        <v>88005.3704468098</v>
      </c>
    </row>
    <row r="6786" spans="1:1" ht="11.75" customHeight="1">
      <c r="A6786" s="1990">
        <f>I103+K51+D117</f>
        <v>39024.570446809812</v>
      </c>
    </row>
    <row r="6787" spans="1:1" ht="11.75" customHeight="1">
      <c r="A6787" s="1990">
        <f>I103+K51</f>
        <v>36006.531012790423</v>
      </c>
    </row>
    <row r="6788" spans="1:1" ht="11.75" customHeight="1">
      <c r="A6788" s="1989">
        <f>1.21*G108*D20*24/1000*D101</f>
        <v>387079.06311359996</v>
      </c>
    </row>
    <row r="6789" spans="1:1" ht="11.75" customHeight="1">
      <c r="A6789" s="1989">
        <f>1.21*G108*D20*24/1000</f>
        <v>156.29328000000001</v>
      </c>
    </row>
    <row r="6790" spans="1:1" ht="11.75" customHeight="1">
      <c r="A6790" s="1989">
        <f>1.21*G108*D20*24</f>
        <v>156293.28</v>
      </c>
    </row>
    <row r="6791" spans="1:1" ht="11.75" customHeight="1">
      <c r="A6791" s="1989">
        <f>1.21*G108*D20</f>
        <v>6512.22</v>
      </c>
    </row>
    <row r="6792" spans="1:1" ht="11.75" customHeight="1">
      <c r="A6792" s="1989">
        <f>1.21*G108</f>
        <v>1.4157</v>
      </c>
    </row>
    <row r="6793" spans="1:1" ht="11.75" customHeight="1">
      <c r="A6793" s="1989" t="b">
        <f>D108="Measured"</f>
        <v>0</v>
      </c>
    </row>
    <row r="6794" spans="1:1" ht="11.75" customHeight="1">
      <c r="A6794" s="1989">
        <f>G109*D105/D101*3.6</f>
        <v>17.44312813431209</v>
      </c>
    </row>
    <row r="6795" spans="1:1" ht="11.75" customHeight="1">
      <c r="A6795" s="1989">
        <f>G109*D105</f>
        <v>12000</v>
      </c>
    </row>
    <row r="6796" spans="1:1" ht="11.75" customHeight="1">
      <c r="A6796" s="1989">
        <f>D101*3.6</f>
        <v>8915.8319999999985</v>
      </c>
    </row>
    <row r="6797" spans="1:1" ht="11.75" customHeight="1">
      <c r="A6797" s="1989">
        <f>IF(D108="AL-1A",0.89,IF(D108="AL-2A",0.71,IF(D108="AL-3A",0.53,IF(D108="AL-4A",0.35,IF(D108="AL-5A",0.21,IF(D108="AL-1B",1.17,IF(D108="AL-2B",0.98,IF(D108="AL-3B",0.78,IF(D108="AL-4B",0.59,IF(D108="AL-5B",0.39,IF(D108="AL-6B",0.23,IF(D108="PH Classic",0.6*D105/D101*3.6,IF(D108="PH Low",1*D105/D101*3.6,IF(D108="PH+",0.1))))))))))))))</f>
        <v>1.17</v>
      </c>
    </row>
    <row r="6798" spans="1:1" ht="11.75" customHeight="1">
      <c r="A6798" s="1989" t="b">
        <f>D108="AL-1A"</f>
        <v>0</v>
      </c>
    </row>
    <row r="6799" spans="1:1" ht="11.75" customHeight="1">
      <c r="A6799" s="1989">
        <f>IF(D108="AL-2A",0.71,IF(D108="AL-3A",0.53,IF(D108="AL-4A",0.35,IF(D108="AL-5A",0.21,IF(D108="AL-1B",1.17,IF(D108="AL-2B",0.98,IF(D108="AL-3B",0.78,IF(D108="AL-4B",0.59,IF(D108="AL-5B",0.39,IF(D108="AL-6B",0.23,IF(D108="PH Classic",0.6*D105/D101*3.6,IF(D108="PH Low",1*D105/D101*3.6,IF(D108="PH+",0.1)))))))))))))</f>
        <v>1.17</v>
      </c>
    </row>
    <row r="6800" spans="1:1" ht="11.75" customHeight="1">
      <c r="A6800" s="1989" t="b">
        <f>D108="AL-2A"</f>
        <v>0</v>
      </c>
    </row>
    <row r="6801" spans="1:1" ht="11.75" customHeight="1">
      <c r="A6801" s="1989">
        <f>IF(D108="AL-3A",0.53,IF(D108="AL-4A",0.35,IF(D108="AL-5A",0.21,IF(D108="AL-1B",1.17,IF(D108="AL-2B",0.98,IF(D108="AL-3B",0.78,IF(D108="AL-4B",0.59,IF(D108="AL-5B",0.39,IF(D108="AL-6B",0.23,IF(D108="PH Classic",0.6*D105/D101*3.6,IF(D108="PH Low",1*D105/D101*3.6,IF(D108="PH+",0.1))))))))))))</f>
        <v>1.17</v>
      </c>
    </row>
    <row r="6802" spans="1:1" ht="11.75" customHeight="1">
      <c r="A6802" s="1989" t="b">
        <f>D108="AL-3A"</f>
        <v>0</v>
      </c>
    </row>
    <row r="6803" spans="1:1" ht="11.75" customHeight="1">
      <c r="A6803" s="1989">
        <f>IF(D108="AL-4A",0.35,IF(D108="AL-5A",0.21,IF(D108="AL-1B",1.17,IF(D108="AL-2B",0.98,IF(D108="AL-3B",0.78,IF(D108="AL-4B",0.59,IF(D108="AL-5B",0.39,IF(D108="AL-6B",0.23,IF(D108="PH Classic",0.6*D105/D101*3.6,IF(D108="PH Low",1*D105/D101*3.6,IF(D108="PH+",0.1)))))))))))</f>
        <v>1.17</v>
      </c>
    </row>
    <row r="6804" spans="1:1" ht="11.75" customHeight="1">
      <c r="A6804" s="1989" t="b">
        <f>D108="AL-4A"</f>
        <v>0</v>
      </c>
    </row>
    <row r="6805" spans="1:1" ht="11.75" customHeight="1">
      <c r="A6805" s="1989">
        <f>IF(D108="AL-5A",0.21,IF(D108="AL-1B",1.17,IF(D108="AL-2B",0.98,IF(D108="AL-3B",0.78,IF(D108="AL-4B",0.59,IF(D108="AL-5B",0.39,IF(D108="AL-6B",0.23,IF(D108="PH Classic",0.6*D105/D101*3.6,IF(D108="PH Low",1*D105/D101*3.6,IF(D108="PH+",0.1))))))))))</f>
        <v>1.17</v>
      </c>
    </row>
    <row r="6806" spans="1:1" ht="11.75" customHeight="1">
      <c r="A6806" s="1989" t="b">
        <f>D108="AL-5A"</f>
        <v>0</v>
      </c>
    </row>
    <row r="6807" spans="1:1" ht="11.75" customHeight="1">
      <c r="A6807" s="1989">
        <f>IF(D108="AL-1B",1.17,IF(D108="AL-2B",0.98,IF(D108="AL-3B",0.78,IF(D108="AL-4B",0.59,IF(D108="AL-5B",0.39,IF(D108="AL-6B",0.23,IF(D108="PH Classic",0.6*D105/D101*3.6,IF(D108="PH Low",1*D105/D101*3.6,IF(D108="PH+",0.1)))))))))</f>
        <v>1.17</v>
      </c>
    </row>
    <row r="6808" spans="1:1" ht="11.75" customHeight="1">
      <c r="A6808" s="1989" t="b">
        <f>D108="AL-1B"</f>
        <v>1</v>
      </c>
    </row>
    <row r="6809" spans="1:1" ht="11.75" customHeight="1">
      <c r="A6809" s="1989" t="b">
        <f>IF(D108="AL-2B",0.98,IF(D108="AL-3B",0.78,IF(D108="AL-4B",0.59,IF(D108="AL-5B",0.39,IF(D108="AL-6B",0.23,IF(D108="PH Classic",0.6*D105/D101*3.6,IF(D108="PH Low",1*D105/D101*3.6,IF(D108="PH+",0.1))))))))</f>
        <v>0</v>
      </c>
    </row>
    <row r="6810" spans="1:1" ht="11.75" customHeight="1">
      <c r="A6810" s="1989" t="b">
        <f>D108="AL-2B"</f>
        <v>0</v>
      </c>
    </row>
    <row r="6811" spans="1:1" ht="11.75" customHeight="1">
      <c r="A6811" s="1989" t="b">
        <f>IF(D108="AL-3B",0.78,IF(D108="AL-4B",0.59,IF(D108="AL-5B",0.39,IF(D108="AL-6B",0.23,IF(D108="PH Classic",0.6*D105/D101*3.6,IF(D108="PH Low",1*D105/D101*3.6,IF(D108="PH+",0.1)))))))</f>
        <v>0</v>
      </c>
    </row>
    <row r="6812" spans="1:1" ht="11.75" customHeight="1">
      <c r="A6812" s="1989" t="b">
        <f>D108="AL-3B"</f>
        <v>0</v>
      </c>
    </row>
    <row r="6813" spans="1:1" ht="11.75" customHeight="1">
      <c r="A6813" s="1989" t="b">
        <f>IF(D108="AL-4B",0.59,IF(D108="AL-5B",0.39,IF(D108="AL-6B",0.23,IF(D108="PH Classic",0.6*D105/D101*3.6,IF(D108="PH Low",1*D105/D101*3.6,IF(D108="PH+",0.1))))))</f>
        <v>0</v>
      </c>
    </row>
    <row r="6814" spans="1:1" ht="11.75" customHeight="1">
      <c r="A6814" s="1989" t="b">
        <f>D108="AL-4B"</f>
        <v>0</v>
      </c>
    </row>
    <row r="6815" spans="1:1" ht="11.75" customHeight="1">
      <c r="A6815" s="1989" t="b">
        <f>IF(D108="AL-5B",0.39,IF(D108="AL-6B",0.23,IF(D108="PH Classic",0.6*D105/D101*3.6,IF(D108="PH Low",1*D105/D101*3.6,IF(D108="PH+",0.1)))))</f>
        <v>0</v>
      </c>
    </row>
    <row r="6816" spans="1:1" ht="11.75" customHeight="1">
      <c r="A6816" s="1989" t="b">
        <f>D108="AL-5B"</f>
        <v>0</v>
      </c>
    </row>
    <row r="6817" spans="1:1" ht="11.75" customHeight="1">
      <c r="A6817" s="1989" t="b">
        <f>IF(D108="AL-6B",0.23,IF(D108="PH Classic",0.6*D105/D101*3.6,IF(D108="PH Low",1*D105/D101*3.6,IF(D108="PH+",0.1))))</f>
        <v>0</v>
      </c>
    </row>
    <row r="6818" spans="1:1" ht="11.75" customHeight="1">
      <c r="A6818" s="1989" t="b">
        <f>D108="AL-6B"</f>
        <v>0</v>
      </c>
    </row>
    <row r="6819" spans="1:1" ht="11.75" customHeight="1">
      <c r="A6819" s="1989" t="b">
        <f>IF(D108="PH Classic",0.6*D105/D101*3.6,IF(D108="PH Low",1*D105/D101*3.6,IF(D108="PH+",0.1)))</f>
        <v>0</v>
      </c>
    </row>
    <row r="6820" spans="1:1" ht="11.75" customHeight="1">
      <c r="A6820" s="1989" t="b">
        <f>D108="PH Classic"</f>
        <v>0</v>
      </c>
    </row>
    <row r="6821" spans="1:1" ht="11.75" customHeight="1">
      <c r="A6821" s="1989">
        <f>0.6*D105/D101*3.6</f>
        <v>6.9772512537248366</v>
      </c>
    </row>
    <row r="6822" spans="1:1" ht="11.75" customHeight="1">
      <c r="A6822" s="1989">
        <f>0.6*D105</f>
        <v>4800</v>
      </c>
    </row>
    <row r="6823" spans="1:1" ht="11.75" customHeight="1">
      <c r="A6823" s="1989">
        <f>D101*3.6</f>
        <v>8915.8319999999985</v>
      </c>
    </row>
    <row r="6824" spans="1:1" ht="11.75" customHeight="1">
      <c r="A6824" s="1989" t="b">
        <f>IF(D108="PH Low",1*D105/D101*3.6,IF(D108="PH+",0.1))</f>
        <v>0</v>
      </c>
    </row>
    <row r="6825" spans="1:1" ht="11.75" customHeight="1">
      <c r="A6825" s="1989" t="b">
        <f>D108="PH Low"</f>
        <v>0</v>
      </c>
    </row>
    <row r="6826" spans="1:1" ht="11.75" customHeight="1">
      <c r="A6826" s="1989">
        <f>1*D105/D101*3.6</f>
        <v>11.628752089541393</v>
      </c>
    </row>
    <row r="6827" spans="1:1" ht="11.75" customHeight="1">
      <c r="A6827" s="1989">
        <f>1*D105</f>
        <v>8000</v>
      </c>
    </row>
    <row r="6828" spans="1:1" ht="11.75" customHeight="1">
      <c r="A6828" s="1989">
        <f>D101*3.6</f>
        <v>8915.8319999999985</v>
      </c>
    </row>
    <row r="6829" spans="1:1" ht="11.75" customHeight="1">
      <c r="A6829" s="1989" t="b">
        <f>IF(D108="PH+",0.1)</f>
        <v>0</v>
      </c>
    </row>
    <row r="6830" spans="1:1" ht="11.75" customHeight="1">
      <c r="A6830" s="1989" t="b">
        <f>D108="PH+"</f>
        <v>0</v>
      </c>
    </row>
    <row r="6831" spans="1:1" ht="11.75" customHeight="1">
      <c r="A6831" s="1990">
        <f>H27-D43</f>
        <v>132765.64793897627</v>
      </c>
    </row>
    <row r="6832" spans="1:1" ht="11.75" customHeight="1">
      <c r="A6832" s="1989" t="b">
        <f>D113="Electricity"</f>
        <v>0</v>
      </c>
    </row>
    <row r="6833" spans="1:1" ht="11.75" customHeight="1">
      <c r="A6833" s="1990">
        <f>I103+K51+D117+M121+I101+I102+M43+SUM(H65:H67)</f>
        <v>265287.6445956853</v>
      </c>
    </row>
    <row r="6834" spans="1:1" ht="11.75" customHeight="1">
      <c r="A6834" s="1990">
        <f>I103+K51+D117+M121+I101+I102+M43</f>
        <v>180897.30859568529</v>
      </c>
    </row>
    <row r="6835" spans="1:1" ht="11.75" customHeight="1">
      <c r="A6835" s="1990">
        <f>I103+K51+D117+M121+I101+I102</f>
        <v>180897.30859568529</v>
      </c>
    </row>
    <row r="6836" spans="1:1" ht="11.75" customHeight="1">
      <c r="A6836" s="1990">
        <f>I103+K51+D117+M121+I101</f>
        <v>164109.06314703665</v>
      </c>
    </row>
    <row r="6837" spans="1:1" ht="11.75" customHeight="1">
      <c r="A6837" s="1990">
        <f>I103+K51+D117+M121</f>
        <v>88005.3704468098</v>
      </c>
    </row>
    <row r="6838" spans="1:1" ht="11.75" customHeight="1">
      <c r="A6838" s="1990">
        <f>I103+K51+D117</f>
        <v>39024.570446809812</v>
      </c>
    </row>
    <row r="6839" spans="1:1" ht="11.75" customHeight="1">
      <c r="A6839" s="1990">
        <f>I103+K51</f>
        <v>36006.531012790423</v>
      </c>
    </row>
    <row r="6840" spans="1:1" ht="11.75" customHeight="1">
      <c r="A6840" s="1989">
        <f>1.21*G108*D20*24/1000*D101</f>
        <v>387079.06311359996</v>
      </c>
    </row>
    <row r="6841" spans="1:1" ht="11.75" customHeight="1">
      <c r="A6841" s="1989">
        <f>1.21*G108*D20*24/1000</f>
        <v>156.29328000000001</v>
      </c>
    </row>
    <row r="6842" spans="1:1" ht="11.75" customHeight="1">
      <c r="A6842" s="1989">
        <f>1.21*G108*D20*24</f>
        <v>156293.28</v>
      </c>
    </row>
    <row r="6843" spans="1:1" ht="11.75" customHeight="1">
      <c r="A6843" s="1989">
        <f>1.21*G108*D20</f>
        <v>6512.22</v>
      </c>
    </row>
    <row r="6844" spans="1:1" ht="11.75" customHeight="1">
      <c r="A6844" s="1989">
        <f>1.21*G108</f>
        <v>1.4157</v>
      </c>
    </row>
    <row r="6845" spans="1:1" ht="11.75" customHeight="1">
      <c r="A6845" s="1989" t="b">
        <f>D108="Measured"</f>
        <v>0</v>
      </c>
    </row>
    <row r="6846" spans="1:1" ht="11.75" customHeight="1">
      <c r="A6846" s="1989">
        <f>G109*D105/D101*3.6</f>
        <v>17.44312813431209</v>
      </c>
    </row>
    <row r="6847" spans="1:1" ht="11.75" customHeight="1">
      <c r="A6847" s="1989">
        <f>G109*D105</f>
        <v>12000</v>
      </c>
    </row>
    <row r="6848" spans="1:1" ht="11.75" customHeight="1">
      <c r="A6848" s="1989">
        <f>D101*3.6</f>
        <v>8915.8319999999985</v>
      </c>
    </row>
    <row r="6849" spans="1:1" ht="11.75" customHeight="1">
      <c r="A6849" s="1989">
        <f>IF(D108="AL-1A",0.89,IF(D108="AL-2A",0.71,IF(D108="AL-3A",0.53,IF(D108="AL-4A",0.35,IF(D108="AL-5A",0.21,IF(D108="AL-1B",1.17,IF(D108="AL-2B",0.98,IF(D108="AL-3B",0.78,IF(D108="AL-4B",0.59,IF(D108="AL-5B",0.39,IF(D108="AL-6B",0.23,IF(D108="PH Classic",0.6*D105/D101*3.6,IF(D108="PH Low",1*D105/D101*3.6,IF(D108="PH+",0.1))))))))))))))</f>
        <v>1.17</v>
      </c>
    </row>
    <row r="6850" spans="1:1" ht="11.75" customHeight="1">
      <c r="A6850" s="1989" t="b">
        <f>D108="AL-1A"</f>
        <v>0</v>
      </c>
    </row>
    <row r="6851" spans="1:1" ht="11.75" customHeight="1">
      <c r="A6851" s="1989">
        <f>IF(D108="AL-2A",0.71,IF(D108="AL-3A",0.53,IF(D108="AL-4A",0.35,IF(D108="AL-5A",0.21,IF(D108="AL-1B",1.17,IF(D108="AL-2B",0.98,IF(D108="AL-3B",0.78,IF(D108="AL-4B",0.59,IF(D108="AL-5B",0.39,IF(D108="AL-6B",0.23,IF(D108="PH Classic",0.6*D105/D101*3.6,IF(D108="PH Low",1*D105/D101*3.6,IF(D108="PH+",0.1)))))))))))))</f>
        <v>1.17</v>
      </c>
    </row>
    <row r="6852" spans="1:1" ht="11.75" customHeight="1">
      <c r="A6852" s="1989" t="b">
        <f>D108="AL-2A"</f>
        <v>0</v>
      </c>
    </row>
    <row r="6853" spans="1:1" ht="11.75" customHeight="1">
      <c r="A6853" s="1989">
        <f>IF(D108="AL-3A",0.53,IF(D108="AL-4A",0.35,IF(D108="AL-5A",0.21,IF(D108="AL-1B",1.17,IF(D108="AL-2B",0.98,IF(D108="AL-3B",0.78,IF(D108="AL-4B",0.59,IF(D108="AL-5B",0.39,IF(D108="AL-6B",0.23,IF(D108="PH Classic",0.6*D105/D101*3.6,IF(D108="PH Low",1*D105/D101*3.6,IF(D108="PH+",0.1))))))))))))</f>
        <v>1.17</v>
      </c>
    </row>
    <row r="6854" spans="1:1" ht="11.75" customHeight="1">
      <c r="A6854" s="1989" t="b">
        <f>D108="AL-3A"</f>
        <v>0</v>
      </c>
    </row>
    <row r="6855" spans="1:1" ht="11.75" customHeight="1">
      <c r="A6855" s="1989">
        <f>IF(D108="AL-4A",0.35,IF(D108="AL-5A",0.21,IF(D108="AL-1B",1.17,IF(D108="AL-2B",0.98,IF(D108="AL-3B",0.78,IF(D108="AL-4B",0.59,IF(D108="AL-5B",0.39,IF(D108="AL-6B",0.23,IF(D108="PH Classic",0.6*D105/D101*3.6,IF(D108="PH Low",1*D105/D101*3.6,IF(D108="PH+",0.1)))))))))))</f>
        <v>1.17</v>
      </c>
    </row>
    <row r="6856" spans="1:1" ht="11.75" customHeight="1">
      <c r="A6856" s="1989" t="b">
        <f>D108="AL-4A"</f>
        <v>0</v>
      </c>
    </row>
    <row r="6857" spans="1:1" ht="11.75" customHeight="1">
      <c r="A6857" s="1989">
        <f>IF(D108="AL-5A",0.21,IF(D108="AL-1B",1.17,IF(D108="AL-2B",0.98,IF(D108="AL-3B",0.78,IF(D108="AL-4B",0.59,IF(D108="AL-5B",0.39,IF(D108="AL-6B",0.23,IF(D108="PH Classic",0.6*D105/D101*3.6,IF(D108="PH Low",1*D105/D101*3.6,IF(D108="PH+",0.1))))))))))</f>
        <v>1.17</v>
      </c>
    </row>
    <row r="6858" spans="1:1" ht="11.75" customHeight="1">
      <c r="A6858" s="1989" t="b">
        <f>D108="AL-5A"</f>
        <v>0</v>
      </c>
    </row>
    <row r="6859" spans="1:1" ht="11.75" customHeight="1">
      <c r="A6859" s="1989">
        <f>IF(D108="AL-1B",1.17,IF(D108="AL-2B",0.98,IF(D108="AL-3B",0.78,IF(D108="AL-4B",0.59,IF(D108="AL-5B",0.39,IF(D108="AL-6B",0.23,IF(D108="PH Classic",0.6*D105/D101*3.6,IF(D108="PH Low",1*D105/D101*3.6,IF(D108="PH+",0.1)))))))))</f>
        <v>1.17</v>
      </c>
    </row>
    <row r="6860" spans="1:1" ht="11.75" customHeight="1">
      <c r="A6860" s="1989" t="b">
        <f>D108="AL-1B"</f>
        <v>1</v>
      </c>
    </row>
    <row r="6861" spans="1:1" ht="11.75" customHeight="1">
      <c r="A6861" s="1989" t="b">
        <f>IF(D108="AL-2B",0.98,IF(D108="AL-3B",0.78,IF(D108="AL-4B",0.59,IF(D108="AL-5B",0.39,IF(D108="AL-6B",0.23,IF(D108="PH Classic",0.6*D105/D101*3.6,IF(D108="PH Low",1*D105/D101*3.6,IF(D108="PH+",0.1))))))))</f>
        <v>0</v>
      </c>
    </row>
    <row r="6862" spans="1:1" ht="11.75" customHeight="1">
      <c r="A6862" s="1989" t="b">
        <f>D108="AL-2B"</f>
        <v>0</v>
      </c>
    </row>
    <row r="6863" spans="1:1" ht="11.75" customHeight="1">
      <c r="A6863" s="1989" t="b">
        <f>IF(D108="AL-3B",0.78,IF(D108="AL-4B",0.59,IF(D108="AL-5B",0.39,IF(D108="AL-6B",0.23,IF(D108="PH Classic",0.6*D105/D101*3.6,IF(D108="PH Low",1*D105/D101*3.6,IF(D108="PH+",0.1)))))))</f>
        <v>0</v>
      </c>
    </row>
    <row r="6864" spans="1:1" ht="11.75" customHeight="1">
      <c r="A6864" s="1989" t="b">
        <f>D108="AL-3B"</f>
        <v>0</v>
      </c>
    </row>
    <row r="6865" spans="1:1" ht="11.75" customHeight="1">
      <c r="A6865" s="1989" t="b">
        <f>IF(D108="AL-4B",0.59,IF(D108="AL-5B",0.39,IF(D108="AL-6B",0.23,IF(D108="PH Classic",0.6*D105/D101*3.6,IF(D108="PH Low",1*D105/D101*3.6,IF(D108="PH+",0.1))))))</f>
        <v>0</v>
      </c>
    </row>
    <row r="6866" spans="1:1" ht="11.75" customHeight="1">
      <c r="A6866" s="1989" t="b">
        <f>D108="AL-4B"</f>
        <v>0</v>
      </c>
    </row>
    <row r="6867" spans="1:1" ht="11.75" customHeight="1">
      <c r="A6867" s="1989" t="b">
        <f>IF(D108="AL-5B",0.39,IF(D108="AL-6B",0.23,IF(D108="PH Classic",0.6*D105/D101*3.6,IF(D108="PH Low",1*D105/D101*3.6,IF(D108="PH+",0.1)))))</f>
        <v>0</v>
      </c>
    </row>
    <row r="6868" spans="1:1" ht="11.75" customHeight="1">
      <c r="A6868" s="1989" t="b">
        <f>D108="AL-5B"</f>
        <v>0</v>
      </c>
    </row>
    <row r="6869" spans="1:1" ht="11.75" customHeight="1">
      <c r="A6869" s="1989" t="b">
        <f>IF(D108="AL-6B",0.23,IF(D108="PH Classic",0.6*D105/D101*3.6,IF(D108="PH Low",1*D105/D101*3.6,IF(D108="PH+",0.1))))</f>
        <v>0</v>
      </c>
    </row>
    <row r="6870" spans="1:1" ht="11.75" customHeight="1">
      <c r="A6870" s="1989" t="b">
        <f>D108="AL-6B"</f>
        <v>0</v>
      </c>
    </row>
    <row r="6871" spans="1:1" ht="11.75" customHeight="1">
      <c r="A6871" s="1989" t="b">
        <f>IF(D108="PH Classic",0.6*D105/D101*3.6,IF(D108="PH Low",1*D105/D101*3.6,IF(D108="PH+",0.1)))</f>
        <v>0</v>
      </c>
    </row>
    <row r="6872" spans="1:1" ht="11.75" customHeight="1">
      <c r="A6872" s="1989" t="b">
        <f>D108="PH Classic"</f>
        <v>0</v>
      </c>
    </row>
    <row r="6873" spans="1:1" ht="11.75" customHeight="1">
      <c r="A6873" s="1989">
        <f>0.6*D105/D101*3.6</f>
        <v>6.9772512537248366</v>
      </c>
    </row>
    <row r="6874" spans="1:1" ht="11.75" customHeight="1">
      <c r="A6874" s="1989">
        <f>0.6*D105</f>
        <v>4800</v>
      </c>
    </row>
    <row r="6875" spans="1:1" ht="11.75" customHeight="1">
      <c r="A6875" s="1989">
        <f>D101*3.6</f>
        <v>8915.8319999999985</v>
      </c>
    </row>
    <row r="6876" spans="1:1" ht="11.75" customHeight="1">
      <c r="A6876" s="1989" t="b">
        <f>IF(D108="PH Low",1*D105/D101*3.6,IF(D108="PH+",0.1))</f>
        <v>0</v>
      </c>
    </row>
    <row r="6877" spans="1:1" ht="11.75" customHeight="1">
      <c r="A6877" s="1989" t="b">
        <f>D108="PH Low"</f>
        <v>0</v>
      </c>
    </row>
    <row r="6878" spans="1:1" ht="11.75" customHeight="1">
      <c r="A6878" s="1989">
        <f>1*D105/D101*3.6</f>
        <v>11.628752089541393</v>
      </c>
    </row>
    <row r="6879" spans="1:1" ht="11.75" customHeight="1">
      <c r="A6879" s="1989">
        <f>1*D105</f>
        <v>8000</v>
      </c>
    </row>
    <row r="6880" spans="1:1" ht="11.75" customHeight="1">
      <c r="A6880" s="1989">
        <f>D101*3.6</f>
        <v>8915.8319999999985</v>
      </c>
    </row>
    <row r="6881" spans="1:1" ht="11.75" customHeight="1">
      <c r="A6881" s="1989" t="b">
        <f>IF(D108="PH+",0.1)</f>
        <v>0</v>
      </c>
    </row>
    <row r="6882" spans="1:1" ht="11.75" customHeight="1">
      <c r="A6882" s="1989" t="b">
        <f>D108="PH+"</f>
        <v>0</v>
      </c>
    </row>
    <row r="6883" spans="1:1" ht="11.75" customHeight="1">
      <c r="A6883" s="1989">
        <f>IF(H20="Present",VLOOKUP(H19,CANADA!A6:K699,9,FALSE),VLOOKUP(H19,CANADA!A6:K699,11,FALSE))</f>
        <v>4600</v>
      </c>
    </row>
    <row r="6884" spans="1:1" ht="11.75" customHeight="1">
      <c r="A6884" s="1989">
        <f>MATCH('NRL50-n-Factors'!D34,'NRL50-n-Factors'!C38:C49,0)</f>
        <v>5</v>
      </c>
    </row>
    <row r="6885" spans="1:1" ht="11.75" customHeight="1">
      <c r="A6885" s="1990">
        <f>H27-D43</f>
        <v>132765.64793897627</v>
      </c>
    </row>
    <row r="6886" spans="1:1" ht="11.75" customHeight="1">
      <c r="A6886" s="1989" t="b">
        <f>D113="Electricity"</f>
        <v>0</v>
      </c>
    </row>
    <row r="6887" spans="1:1" ht="11.75" customHeight="1">
      <c r="A6887" s="1990">
        <f>I103+K51+D117+M121+I101+I102+M43+SUM(H65:H67)</f>
        <v>265287.6445956853</v>
      </c>
    </row>
    <row r="6888" spans="1:1" ht="11.75" customHeight="1">
      <c r="A6888" s="1990">
        <f>I103+K51+D117+M121+I101+I102+M43</f>
        <v>180897.30859568529</v>
      </c>
    </row>
    <row r="6889" spans="1:1" ht="11.75" customHeight="1">
      <c r="A6889" s="1990">
        <f>I103+K51+D117+M121+I101+I102</f>
        <v>180897.30859568529</v>
      </c>
    </row>
    <row r="6890" spans="1:1" ht="11.75" customHeight="1">
      <c r="A6890" s="1990">
        <f>I103+K51+D117+M121+I101</f>
        <v>164109.06314703665</v>
      </c>
    </row>
    <row r="6891" spans="1:1" ht="11.75" customHeight="1">
      <c r="A6891" s="1990">
        <f>I103+K51+D117+M121</f>
        <v>88005.3704468098</v>
      </c>
    </row>
    <row r="6892" spans="1:1" ht="11.75" customHeight="1">
      <c r="A6892" s="1990">
        <f>I103+K51+D117</f>
        <v>39024.570446809812</v>
      </c>
    </row>
    <row r="6893" spans="1:1" ht="11.75" customHeight="1">
      <c r="A6893" s="1990">
        <f>I103+K51</f>
        <v>36006.531012790423</v>
      </c>
    </row>
    <row r="6894" spans="1:1" ht="11.75" customHeight="1">
      <c r="A6894" s="1989">
        <f>1.21*G108*D20*24/1000*D101</f>
        <v>387079.06311359996</v>
      </c>
    </row>
    <row r="6895" spans="1:1" ht="11.75" customHeight="1">
      <c r="A6895" s="1989">
        <f>1.21*G108*D20*24/1000</f>
        <v>156.29328000000001</v>
      </c>
    </row>
    <row r="6896" spans="1:1" ht="11.75" customHeight="1">
      <c r="A6896" s="1989">
        <f>1.21*G108*D20*24</f>
        <v>156293.28</v>
      </c>
    </row>
    <row r="6897" spans="1:1" ht="11.75" customHeight="1">
      <c r="A6897" s="1989">
        <f>1.21*G108*D20</f>
        <v>6512.22</v>
      </c>
    </row>
    <row r="6898" spans="1:1" ht="11.75" customHeight="1">
      <c r="A6898" s="1989">
        <f>1.21*G108</f>
        <v>1.4157</v>
      </c>
    </row>
    <row r="6899" spans="1:1" ht="11.75" customHeight="1">
      <c r="A6899" s="1989" t="b">
        <f>D108="Measured"</f>
        <v>0</v>
      </c>
    </row>
    <row r="6900" spans="1:1" ht="11.75" customHeight="1">
      <c r="A6900" s="1989">
        <f>G109*D105/D101*3.6</f>
        <v>17.44312813431209</v>
      </c>
    </row>
    <row r="6901" spans="1:1" ht="11.75" customHeight="1">
      <c r="A6901" s="1989">
        <f>G109*D105</f>
        <v>12000</v>
      </c>
    </row>
    <row r="6902" spans="1:1" ht="11.75" customHeight="1">
      <c r="A6902" s="1989">
        <f>D101*3.6</f>
        <v>8915.8319999999985</v>
      </c>
    </row>
    <row r="6903" spans="1:1" ht="11.75" customHeight="1">
      <c r="A6903" s="1989">
        <f>IF(D108="AL-1A",0.89,IF(D108="AL-2A",0.71,IF(D108="AL-3A",0.53,IF(D108="AL-4A",0.35,IF(D108="AL-5A",0.21,IF(D108="AL-1B",1.17,IF(D108="AL-2B",0.98,IF(D108="AL-3B",0.78,IF(D108="AL-4B",0.59,IF(D108="AL-5B",0.39,IF(D108="AL-6B",0.23,IF(D108="PH Classic",0.6*D105/D101*3.6,IF(D108="PH Low",1*D105/D101*3.6,IF(D108="PH+",0.1))))))))))))))</f>
        <v>1.17</v>
      </c>
    </row>
    <row r="6904" spans="1:1" ht="11.75" customHeight="1">
      <c r="A6904" s="1989" t="b">
        <f>D108="AL-1A"</f>
        <v>0</v>
      </c>
    </row>
    <row r="6905" spans="1:1" ht="11.75" customHeight="1">
      <c r="A6905" s="1989">
        <f>IF(D108="AL-2A",0.71,IF(D108="AL-3A",0.53,IF(D108="AL-4A",0.35,IF(D108="AL-5A",0.21,IF(D108="AL-1B",1.17,IF(D108="AL-2B",0.98,IF(D108="AL-3B",0.78,IF(D108="AL-4B",0.59,IF(D108="AL-5B",0.39,IF(D108="AL-6B",0.23,IF(D108="PH Classic",0.6*D105/D101*3.6,IF(D108="PH Low",1*D105/D101*3.6,IF(D108="PH+",0.1)))))))))))))</f>
        <v>1.17</v>
      </c>
    </row>
    <row r="6906" spans="1:1" ht="11.75" customHeight="1">
      <c r="A6906" s="1989" t="b">
        <f>D108="AL-2A"</f>
        <v>0</v>
      </c>
    </row>
    <row r="6907" spans="1:1" ht="11.75" customHeight="1">
      <c r="A6907" s="1989">
        <f>IF(D108="AL-3A",0.53,IF(D108="AL-4A",0.35,IF(D108="AL-5A",0.21,IF(D108="AL-1B",1.17,IF(D108="AL-2B",0.98,IF(D108="AL-3B",0.78,IF(D108="AL-4B",0.59,IF(D108="AL-5B",0.39,IF(D108="AL-6B",0.23,IF(D108="PH Classic",0.6*D105/D101*3.6,IF(D108="PH Low",1*D105/D101*3.6,IF(D108="PH+",0.1))))))))))))</f>
        <v>1.17</v>
      </c>
    </row>
    <row r="6908" spans="1:1" ht="11.75" customHeight="1">
      <c r="A6908" s="1989" t="b">
        <f>D108="AL-3A"</f>
        <v>0</v>
      </c>
    </row>
    <row r="6909" spans="1:1" ht="11.75" customHeight="1">
      <c r="A6909" s="1989">
        <f>IF(D108="AL-4A",0.35,IF(D108="AL-5A",0.21,IF(D108="AL-1B",1.17,IF(D108="AL-2B",0.98,IF(D108="AL-3B",0.78,IF(D108="AL-4B",0.59,IF(D108="AL-5B",0.39,IF(D108="AL-6B",0.23,IF(D108="PH Classic",0.6*D105/D101*3.6,IF(D108="PH Low",1*D105/D101*3.6,IF(D108="PH+",0.1)))))))))))</f>
        <v>1.17</v>
      </c>
    </row>
    <row r="6910" spans="1:1" ht="11.75" customHeight="1">
      <c r="A6910" s="1989" t="b">
        <f>D108="AL-4A"</f>
        <v>0</v>
      </c>
    </row>
    <row r="6911" spans="1:1" ht="11.75" customHeight="1">
      <c r="A6911" s="1989">
        <f>IF(D108="AL-5A",0.21,IF(D108="AL-1B",1.17,IF(D108="AL-2B",0.98,IF(D108="AL-3B",0.78,IF(D108="AL-4B",0.59,IF(D108="AL-5B",0.39,IF(D108="AL-6B",0.23,IF(D108="PH Classic",0.6*D105/D101*3.6,IF(D108="PH Low",1*D105/D101*3.6,IF(D108="PH+",0.1))))))))))</f>
        <v>1.17</v>
      </c>
    </row>
    <row r="6912" spans="1:1" ht="11.75" customHeight="1">
      <c r="A6912" s="1989" t="b">
        <f>D108="AL-5A"</f>
        <v>0</v>
      </c>
    </row>
    <row r="6913" spans="1:1" ht="11.75" customHeight="1">
      <c r="A6913" s="1989">
        <f>IF(D108="AL-1B",1.17,IF(D108="AL-2B",0.98,IF(D108="AL-3B",0.78,IF(D108="AL-4B",0.59,IF(D108="AL-5B",0.39,IF(D108="AL-6B",0.23,IF(D108="PH Classic",0.6*D105/D101*3.6,IF(D108="PH Low",1*D105/D101*3.6,IF(D108="PH+",0.1)))))))))</f>
        <v>1.17</v>
      </c>
    </row>
    <row r="6914" spans="1:1" ht="11.75" customHeight="1">
      <c r="A6914" s="1989" t="b">
        <f>D108="AL-1B"</f>
        <v>1</v>
      </c>
    </row>
    <row r="6915" spans="1:1" ht="11.75" customHeight="1">
      <c r="A6915" s="1989" t="b">
        <f>IF(D108="AL-2B",0.98,IF(D108="AL-3B",0.78,IF(D108="AL-4B",0.59,IF(D108="AL-5B",0.39,IF(D108="AL-6B",0.23,IF(D108="PH Classic",0.6*D105/D101*3.6,IF(D108="PH Low",1*D105/D101*3.6,IF(D108="PH+",0.1))))))))</f>
        <v>0</v>
      </c>
    </row>
    <row r="6916" spans="1:1" ht="11.75" customHeight="1">
      <c r="A6916" s="1989" t="b">
        <f>D108="AL-2B"</f>
        <v>0</v>
      </c>
    </row>
    <row r="6917" spans="1:1" ht="11.75" customHeight="1">
      <c r="A6917" s="1989" t="b">
        <f>IF(D108="AL-3B",0.78,IF(D108="AL-4B",0.59,IF(D108="AL-5B",0.39,IF(D108="AL-6B",0.23,IF(D108="PH Classic",0.6*D105/D101*3.6,IF(D108="PH Low",1*D105/D101*3.6,IF(D108="PH+",0.1)))))))</f>
        <v>0</v>
      </c>
    </row>
    <row r="6918" spans="1:1" ht="11.75" customHeight="1">
      <c r="A6918" s="1989" t="b">
        <f>D108="AL-3B"</f>
        <v>0</v>
      </c>
    </row>
    <row r="6919" spans="1:1" ht="11.75" customHeight="1">
      <c r="A6919" s="1989" t="b">
        <f>IF(D108="AL-4B",0.59,IF(D108="AL-5B",0.39,IF(D108="AL-6B",0.23,IF(D108="PH Classic",0.6*D105/D101*3.6,IF(D108="PH Low",1*D105/D101*3.6,IF(D108="PH+",0.1))))))</f>
        <v>0</v>
      </c>
    </row>
    <row r="6920" spans="1:1" ht="11.75" customHeight="1">
      <c r="A6920" s="1989" t="b">
        <f>D108="AL-4B"</f>
        <v>0</v>
      </c>
    </row>
    <row r="6921" spans="1:1" ht="11.75" customHeight="1">
      <c r="A6921" s="1989" t="b">
        <f>IF(D108="AL-5B",0.39,IF(D108="AL-6B",0.23,IF(D108="PH Classic",0.6*D105/D101*3.6,IF(D108="PH Low",1*D105/D101*3.6,IF(D108="PH+",0.1)))))</f>
        <v>0</v>
      </c>
    </row>
    <row r="6922" spans="1:1" ht="11.75" customHeight="1">
      <c r="A6922" s="1989" t="b">
        <f>D108="AL-5B"</f>
        <v>0</v>
      </c>
    </row>
    <row r="6923" spans="1:1" ht="11.75" customHeight="1">
      <c r="A6923" s="1989" t="b">
        <f>IF(D108="AL-6B",0.23,IF(D108="PH Classic",0.6*D105/D101*3.6,IF(D108="PH Low",1*D105/D101*3.6,IF(D108="PH+",0.1))))</f>
        <v>0</v>
      </c>
    </row>
    <row r="6924" spans="1:1" ht="11.75" customHeight="1">
      <c r="A6924" s="1989" t="b">
        <f>D108="AL-6B"</f>
        <v>0</v>
      </c>
    </row>
    <row r="6925" spans="1:1" ht="11.75" customHeight="1">
      <c r="A6925" s="1989" t="b">
        <f>IF(D108="PH Classic",0.6*D105/D101*3.6,IF(D108="PH Low",1*D105/D101*3.6,IF(D108="PH+",0.1)))</f>
        <v>0</v>
      </c>
    </row>
    <row r="6926" spans="1:1" ht="11.75" customHeight="1">
      <c r="A6926" s="1989" t="b">
        <f>D108="PH Classic"</f>
        <v>0</v>
      </c>
    </row>
    <row r="6927" spans="1:1" ht="11.75" customHeight="1">
      <c r="A6927" s="1989">
        <f>0.6*D105/D101*3.6</f>
        <v>6.9772512537248366</v>
      </c>
    </row>
    <row r="6928" spans="1:1" ht="11.75" customHeight="1">
      <c r="A6928" s="1989">
        <f>0.6*D105</f>
        <v>4800</v>
      </c>
    </row>
    <row r="6929" spans="1:1" ht="11.75" customHeight="1">
      <c r="A6929" s="1989">
        <f>D101*3.6</f>
        <v>8915.8319999999985</v>
      </c>
    </row>
    <row r="6930" spans="1:1" ht="11.75" customHeight="1">
      <c r="A6930" s="1989" t="b">
        <f>IF(D108="PH Low",1*D105/D101*3.6,IF(D108="PH+",0.1))</f>
        <v>0</v>
      </c>
    </row>
    <row r="6931" spans="1:1" ht="11.75" customHeight="1">
      <c r="A6931" s="1989" t="b">
        <f>D108="PH Low"</f>
        <v>0</v>
      </c>
    </row>
    <row r="6932" spans="1:1" ht="11.75" customHeight="1">
      <c r="A6932" s="1989">
        <f>1*D105/D101*3.6</f>
        <v>11.628752089541393</v>
      </c>
    </row>
    <row r="6933" spans="1:1" ht="11.75" customHeight="1">
      <c r="A6933" s="1989">
        <f>1*D105</f>
        <v>8000</v>
      </c>
    </row>
    <row r="6934" spans="1:1" ht="11.75" customHeight="1">
      <c r="A6934" s="1989">
        <f>D101*3.6</f>
        <v>8915.8319999999985</v>
      </c>
    </row>
    <row r="6935" spans="1:1" ht="11.75" customHeight="1">
      <c r="A6935" s="1989" t="b">
        <f>IF(D108="PH+",0.1)</f>
        <v>0</v>
      </c>
    </row>
    <row r="6936" spans="1:1" ht="11.75" customHeight="1">
      <c r="A6936" s="1990">
        <f>H27-D43</f>
        <v>132765.64793897627</v>
      </c>
    </row>
    <row r="6937" spans="1:1" ht="11.75" customHeight="1">
      <c r="A6937" s="1989" t="b">
        <f>D113="Electricity"</f>
        <v>0</v>
      </c>
    </row>
    <row r="6938" spans="1:1" ht="11.75" customHeight="1">
      <c r="A6938" s="1990">
        <f>I103+K51+D117+M121+I101+I102+M43+SUM(H65:H67)</f>
        <v>265287.6445956853</v>
      </c>
    </row>
    <row r="6939" spans="1:1" ht="11.75" customHeight="1">
      <c r="A6939" s="1990">
        <f>I103+K51+D117+M121+I101+I102+M43</f>
        <v>180897.30859568529</v>
      </c>
    </row>
    <row r="6940" spans="1:1" ht="11.75" customHeight="1">
      <c r="A6940" s="1990">
        <f>I103+K51+D117+M121+I101+I102</f>
        <v>180897.30859568529</v>
      </c>
    </row>
    <row r="6941" spans="1:1" ht="11.75" customHeight="1">
      <c r="A6941" s="1990">
        <f>I103+K51+D117+M121+I101</f>
        <v>164109.06314703665</v>
      </c>
    </row>
    <row r="6942" spans="1:1" ht="11.75" customHeight="1">
      <c r="A6942" s="1990">
        <f>I103+K51+D117+M121</f>
        <v>88005.3704468098</v>
      </c>
    </row>
    <row r="6943" spans="1:1" ht="11.75" customHeight="1">
      <c r="A6943" s="1990">
        <f>I103+K51+D117</f>
        <v>39024.570446809812</v>
      </c>
    </row>
    <row r="6944" spans="1:1" ht="11.75" customHeight="1">
      <c r="A6944" s="1990">
        <f>I103+K51</f>
        <v>36006.531012790423</v>
      </c>
    </row>
    <row r="6945" spans="1:1" ht="11.75" customHeight="1">
      <c r="A6945" s="1989">
        <f>1.21*G108*D20*24/1000*D101</f>
        <v>387079.06311359996</v>
      </c>
    </row>
    <row r="6946" spans="1:1" ht="11.75" customHeight="1">
      <c r="A6946" s="1989">
        <f>1.21*G108*D20*24/1000</f>
        <v>156.29328000000001</v>
      </c>
    </row>
    <row r="6947" spans="1:1" ht="11.75" customHeight="1">
      <c r="A6947" s="1989">
        <f>1.21*G108*D20*24</f>
        <v>156293.28</v>
      </c>
    </row>
    <row r="6948" spans="1:1" ht="11.75" customHeight="1">
      <c r="A6948" s="1989">
        <f>1.21*G108*D20</f>
        <v>6512.22</v>
      </c>
    </row>
    <row r="6949" spans="1:1" ht="11.75" customHeight="1">
      <c r="A6949" s="1989">
        <f>1.21*G108</f>
        <v>1.4157</v>
      </c>
    </row>
    <row r="6950" spans="1:1" ht="11.75" customHeight="1">
      <c r="A6950" s="1989" t="b">
        <f>D108="Measured"</f>
        <v>0</v>
      </c>
    </row>
    <row r="6951" spans="1:1" ht="11.75" customHeight="1">
      <c r="A6951" s="1989">
        <f>G109*D105/D101*3.6</f>
        <v>17.44312813431209</v>
      </c>
    </row>
    <row r="6952" spans="1:1" ht="11.75" customHeight="1">
      <c r="A6952" s="1989">
        <f>G109*D105</f>
        <v>12000</v>
      </c>
    </row>
    <row r="6953" spans="1:1" ht="11.75" customHeight="1">
      <c r="A6953" s="1989">
        <f>D101*3.6</f>
        <v>8915.8319999999985</v>
      </c>
    </row>
    <row r="6954" spans="1:1" ht="11.75" customHeight="1">
      <c r="A6954" s="1989">
        <f>IF(D108="AL-1A",0.89,IF(D108="AL-2A",0.71,IF(D108="AL-3A",0.53,IF(D108="AL-4A",0.35,IF(D108="AL-5A",0.21,IF(D108="AL-1B",1.17,IF(D108="AL-2B",0.98,IF(D108="AL-3B",0.78,IF(D108="AL-4B",0.59,IF(D108="AL-5B",0.39,IF(D108="AL-6B",0.23,IF(D108="PH Classic",0.6*D105/D101*3.6,IF(D108="PH Low",1*D105/D101*3.6,IF(D108="PH+",0.1))))))))))))))</f>
        <v>1.17</v>
      </c>
    </row>
    <row r="6955" spans="1:1" ht="11.75" customHeight="1">
      <c r="A6955" s="1989" t="b">
        <f>D108="AL-1A"</f>
        <v>0</v>
      </c>
    </row>
    <row r="6956" spans="1:1" ht="11.75" customHeight="1">
      <c r="A6956" s="1989">
        <f>IF(D108="AL-2A",0.71,IF(D108="AL-3A",0.53,IF(D108="AL-4A",0.35,IF(D108="AL-5A",0.21,IF(D108="AL-1B",1.17,IF(D108="AL-2B",0.98,IF(D108="AL-3B",0.78,IF(D108="AL-4B",0.59,IF(D108="AL-5B",0.39,IF(D108="AL-6B",0.23,IF(D108="PH Classic",0.6*D105/D101*3.6,IF(D108="PH Low",1*D105/D101*3.6,IF(D108="PH+",0.1)))))))))))))</f>
        <v>1.17</v>
      </c>
    </row>
    <row r="6957" spans="1:1" ht="11.75" customHeight="1">
      <c r="A6957" s="1989" t="b">
        <f>D108="AL-2A"</f>
        <v>0</v>
      </c>
    </row>
    <row r="6958" spans="1:1" ht="11.75" customHeight="1">
      <c r="A6958" s="1989">
        <f>IF(D108="AL-3A",0.53,IF(D108="AL-4A",0.35,IF(D108="AL-5A",0.21,IF(D108="AL-1B",1.17,IF(D108="AL-2B",0.98,IF(D108="AL-3B",0.78,IF(D108="AL-4B",0.59,IF(D108="AL-5B",0.39,IF(D108="AL-6B",0.23,IF(D108="PH Classic",0.6*D105/D101*3.6,IF(D108="PH Low",1*D105/D101*3.6,IF(D108="PH+",0.1))))))))))))</f>
        <v>1.17</v>
      </c>
    </row>
    <row r="6959" spans="1:1" ht="11.75" customHeight="1">
      <c r="A6959" s="1989" t="b">
        <f>D108="AL-3A"</f>
        <v>0</v>
      </c>
    </row>
    <row r="6960" spans="1:1" ht="11.75" customHeight="1">
      <c r="A6960" s="1989">
        <f>IF(D108="AL-4A",0.35,IF(D108="AL-5A",0.21,IF(D108="AL-1B",1.17,IF(D108="AL-2B",0.98,IF(D108="AL-3B",0.78,IF(D108="AL-4B",0.59,IF(D108="AL-5B",0.39,IF(D108="AL-6B",0.23,IF(D108="PH Classic",0.6*D105/D101*3.6,IF(D108="PH Low",1*D105/D101*3.6,IF(D108="PH+",0.1)))))))))))</f>
        <v>1.17</v>
      </c>
    </row>
    <row r="6961" spans="1:1" ht="11.75" customHeight="1">
      <c r="A6961" s="1989" t="b">
        <f>D108="AL-4A"</f>
        <v>0</v>
      </c>
    </row>
    <row r="6962" spans="1:1" ht="11.75" customHeight="1">
      <c r="A6962" s="1989">
        <f>IF(D108="AL-5A",0.21,IF(D108="AL-1B",1.17,IF(D108="AL-2B",0.98,IF(D108="AL-3B",0.78,IF(D108="AL-4B",0.59,IF(D108="AL-5B",0.39,IF(D108="AL-6B",0.23,IF(D108="PH Classic",0.6*D105/D101*3.6,IF(D108="PH Low",1*D105/D101*3.6,IF(D108="PH+",0.1))))))))))</f>
        <v>1.17</v>
      </c>
    </row>
    <row r="6963" spans="1:1" ht="11.75" customHeight="1">
      <c r="A6963" s="1989" t="b">
        <f>D108="AL-5A"</f>
        <v>0</v>
      </c>
    </row>
    <row r="6964" spans="1:1" ht="11.75" customHeight="1">
      <c r="A6964" s="1989">
        <f>IF(D108="AL-1B",1.17,IF(D108="AL-2B",0.98,IF(D108="AL-3B",0.78,IF(D108="AL-4B",0.59,IF(D108="AL-5B",0.39,IF(D108="AL-6B",0.23,IF(D108="PH Classic",0.6*D105/D101*3.6,IF(D108="PH Low",1*D105/D101*3.6,IF(D108="PH+",0.1)))))))))</f>
        <v>1.17</v>
      </c>
    </row>
    <row r="6965" spans="1:1" ht="11.75" customHeight="1">
      <c r="A6965" s="1989" t="b">
        <f>D108="AL-1B"</f>
        <v>1</v>
      </c>
    </row>
    <row r="6966" spans="1:1" ht="11.75" customHeight="1">
      <c r="A6966" s="1989" t="b">
        <f>IF(D108="AL-2B",0.98,IF(D108="AL-3B",0.78,IF(D108="AL-4B",0.59,IF(D108="AL-5B",0.39,IF(D108="AL-6B",0.23,IF(D108="PH Classic",0.6*D105/D101*3.6,IF(D108="PH Low",1*D105/D101*3.6,IF(D108="PH+",0.1))))))))</f>
        <v>0</v>
      </c>
    </row>
    <row r="6967" spans="1:1" ht="11.75" customHeight="1">
      <c r="A6967" s="1989" t="b">
        <f>D108="AL-2B"</f>
        <v>0</v>
      </c>
    </row>
    <row r="6968" spans="1:1" ht="11.75" customHeight="1">
      <c r="A6968" s="1989" t="b">
        <f>IF(D108="AL-3B",0.78,IF(D108="AL-4B",0.59,IF(D108="AL-5B",0.39,IF(D108="AL-6B",0.23,IF(D108="PH Classic",0.6*D105/D101*3.6,IF(D108="PH Low",1*D105/D101*3.6,IF(D108="PH+",0.1)))))))</f>
        <v>0</v>
      </c>
    </row>
    <row r="6969" spans="1:1" ht="11.75" customHeight="1">
      <c r="A6969" s="1989" t="b">
        <f>D108="AL-3B"</f>
        <v>0</v>
      </c>
    </row>
    <row r="6970" spans="1:1" ht="11.75" customHeight="1">
      <c r="A6970" s="1989" t="b">
        <f>IF(D108="AL-4B",0.59,IF(D108="AL-5B",0.39,IF(D108="AL-6B",0.23,IF(D108="PH Classic",0.6*D105/D101*3.6,IF(D108="PH Low",1*D105/D101*3.6,IF(D108="PH+",0.1))))))</f>
        <v>0</v>
      </c>
    </row>
    <row r="6971" spans="1:1" ht="11.75" customHeight="1">
      <c r="A6971" s="1989" t="b">
        <f>D108="AL-4B"</f>
        <v>0</v>
      </c>
    </row>
    <row r="6972" spans="1:1" ht="11.75" customHeight="1">
      <c r="A6972" s="1989" t="b">
        <f>IF(D108="AL-5B",0.39,IF(D108="AL-6B",0.23,IF(D108="PH Classic",0.6*D105/D101*3.6,IF(D108="PH Low",1*D105/D101*3.6,IF(D108="PH+",0.1)))))</f>
        <v>0</v>
      </c>
    </row>
    <row r="6973" spans="1:1" ht="11.75" customHeight="1">
      <c r="A6973" s="1989" t="b">
        <f>D108="AL-5B"</f>
        <v>0</v>
      </c>
    </row>
    <row r="6974" spans="1:1" ht="11.75" customHeight="1">
      <c r="A6974" s="1989" t="b">
        <f>IF(D108="AL-6B",0.23,IF(D108="PH Classic",0.6*D105/D101*3.6,IF(D108="PH Low",1*D105/D101*3.6,IF(D108="PH+",0.1))))</f>
        <v>0</v>
      </c>
    </row>
    <row r="6975" spans="1:1" ht="11.75" customHeight="1">
      <c r="A6975" s="1989" t="b">
        <f>D108="AL-6B"</f>
        <v>0</v>
      </c>
    </row>
    <row r="6976" spans="1:1" ht="11.75" customHeight="1">
      <c r="A6976" s="1989" t="b">
        <f>IF(D108="PH Classic",0.6*D105/D101*3.6,IF(D108="PH Low",1*D105/D101*3.6,IF(D108="PH+",0.1)))</f>
        <v>0</v>
      </c>
    </row>
    <row r="6977" spans="1:1" ht="11.75" customHeight="1">
      <c r="A6977" s="1989" t="b">
        <f>D108="PH Classic"</f>
        <v>0</v>
      </c>
    </row>
    <row r="6978" spans="1:1" ht="11.75" customHeight="1">
      <c r="A6978" s="1989">
        <f>0.6*D105/D101*3.6</f>
        <v>6.9772512537248366</v>
      </c>
    </row>
    <row r="6979" spans="1:1" ht="11.75" customHeight="1">
      <c r="A6979" s="1989">
        <f>0.6*D105</f>
        <v>4800</v>
      </c>
    </row>
    <row r="6980" spans="1:1" ht="11.75" customHeight="1">
      <c r="A6980" s="1989">
        <f>D101*3.6</f>
        <v>8915.8319999999985</v>
      </c>
    </row>
    <row r="6981" spans="1:1" ht="11.75" customHeight="1">
      <c r="A6981" s="1989" t="b">
        <f>IF(D108="PH Low",1*D105/D101*3.6,IF(D108="PH+",0.1))</f>
        <v>0</v>
      </c>
    </row>
    <row r="6982" spans="1:1" ht="11.75" customHeight="1">
      <c r="A6982" s="1989" t="b">
        <f>D108="PH Low"</f>
        <v>0</v>
      </c>
    </row>
    <row r="6983" spans="1:1" ht="11.75" customHeight="1">
      <c r="A6983" s="1989">
        <f>1*D105/D101*3.6</f>
        <v>11.628752089541393</v>
      </c>
    </row>
    <row r="6984" spans="1:1" ht="11.75" customHeight="1">
      <c r="A6984" s="1989">
        <f>1*D105</f>
        <v>8000</v>
      </c>
    </row>
    <row r="6985" spans="1:1" ht="11.75" customHeight="1">
      <c r="A6985" s="1989">
        <f>D101*3.6</f>
        <v>8915.8319999999985</v>
      </c>
    </row>
    <row r="6986" spans="1:1" ht="11.75" customHeight="1">
      <c r="A6986" s="1989" t="b">
        <f>IF(D108="PH+",0.1)</f>
        <v>0</v>
      </c>
    </row>
    <row r="6987" spans="1:1" ht="11.75" customHeight="1">
      <c r="A6987" s="1989" t="b">
        <f>D108="PH+"</f>
        <v>0</v>
      </c>
    </row>
    <row r="6988" spans="1:1" ht="11.75" customHeight="1">
      <c r="A6988" s="1989">
        <f>IF(H20="Present",VLOOKUP(H19,CANADA!A6:K699,9,FALSE),VLOOKUP(H19,CANADA!A6:K699,11,FALSE))</f>
        <v>4600</v>
      </c>
    </row>
    <row r="6989" spans="1:1" ht="11.75" customHeight="1">
      <c r="A6989" s="1989">
        <f>MATCH('NRL50-n-Factors'!D34,'NRL50-n-Factors'!C38:C49,0)</f>
        <v>5</v>
      </c>
    </row>
    <row r="6990" spans="1:1" ht="11.75" customHeight="1">
      <c r="A6990" s="1989">
        <f>MATCH(REPORT!D103,'NRL50-n-Factors'!D37:J37,0)</f>
        <v>2</v>
      </c>
    </row>
    <row r="6991" spans="1:1" ht="11.75" customHeight="1">
      <c r="A6991" s="1989" t="b">
        <f>D51="Gas"</f>
        <v>0</v>
      </c>
    </row>
    <row r="6992" spans="1:1" ht="11.75" customHeight="1">
      <c r="A6992" s="1990">
        <f>H27-D43</f>
        <v>132765.64793897627</v>
      </c>
    </row>
    <row r="6993" spans="1:1" ht="11.75" customHeight="1">
      <c r="A6993" s="1989" t="b">
        <f>D113="Electricity"</f>
        <v>0</v>
      </c>
    </row>
    <row r="6994" spans="1:1" ht="11.75" customHeight="1">
      <c r="A6994" s="1990">
        <f>I103+K51+D117+M121+I101+I102+M43+SUM(H65:H67)</f>
        <v>265287.6445956853</v>
      </c>
    </row>
    <row r="6995" spans="1:1" ht="11.75" customHeight="1">
      <c r="A6995" s="1990">
        <f>I103+K51+D117+M121+I101+I102+M43</f>
        <v>180897.30859568529</v>
      </c>
    </row>
    <row r="6996" spans="1:1" ht="11.75" customHeight="1">
      <c r="A6996" s="1990">
        <f>I103+K51+D117+M121+I101+I102</f>
        <v>180897.30859568529</v>
      </c>
    </row>
    <row r="6997" spans="1:1" ht="11.75" customHeight="1">
      <c r="A6997" s="1990">
        <f>I103+K51+D117+M121+I101</f>
        <v>164109.06314703665</v>
      </c>
    </row>
    <row r="6998" spans="1:1" ht="11.75" customHeight="1">
      <c r="A6998" s="1990">
        <f>I103+K51+D117+M121</f>
        <v>88005.3704468098</v>
      </c>
    </row>
    <row r="6999" spans="1:1" ht="11.75" customHeight="1">
      <c r="A6999" s="1990">
        <f>I103+K51+D117</f>
        <v>39024.570446809812</v>
      </c>
    </row>
    <row r="7000" spans="1:1" ht="11.75" customHeight="1">
      <c r="A7000" s="1990">
        <f>I103+K51</f>
        <v>36006.531012790423</v>
      </c>
    </row>
    <row r="7001" spans="1:1" ht="11.75" customHeight="1">
      <c r="A7001" s="1989">
        <f>1.21*G108*D20*24/1000*D101</f>
        <v>387079.06311359996</v>
      </c>
    </row>
    <row r="7002" spans="1:1" ht="11.75" customHeight="1">
      <c r="A7002" s="1989">
        <f>1.21*G108*D20*24/1000</f>
        <v>156.29328000000001</v>
      </c>
    </row>
    <row r="7003" spans="1:1" ht="11.75" customHeight="1">
      <c r="A7003" s="1989">
        <f>1.21*G108*D20*24</f>
        <v>156293.28</v>
      </c>
    </row>
    <row r="7004" spans="1:1" ht="11.75" customHeight="1">
      <c r="A7004" s="1989">
        <f>1.21*G108*D20</f>
        <v>6512.22</v>
      </c>
    </row>
    <row r="7005" spans="1:1" ht="11.75" customHeight="1">
      <c r="A7005" s="1989">
        <f>1.21*G108</f>
        <v>1.4157</v>
      </c>
    </row>
    <row r="7006" spans="1:1" ht="11.75" customHeight="1">
      <c r="A7006" s="1989" t="b">
        <f>D108="Measured"</f>
        <v>0</v>
      </c>
    </row>
    <row r="7007" spans="1:1" ht="11.75" customHeight="1">
      <c r="A7007" s="1989">
        <f>G109*D105/D101*3.6</f>
        <v>17.44312813431209</v>
      </c>
    </row>
    <row r="7008" spans="1:1" ht="11.75" customHeight="1">
      <c r="A7008" s="1989">
        <f>G109*D105</f>
        <v>12000</v>
      </c>
    </row>
    <row r="7009" spans="1:1" ht="11.75" customHeight="1">
      <c r="A7009" s="1989">
        <f>D101*3.6</f>
        <v>8915.8319999999985</v>
      </c>
    </row>
    <row r="7010" spans="1:1" ht="11.75" customHeight="1">
      <c r="A7010" s="1989">
        <f>IF(D108="AL-1A",0.89,IF(D108="AL-2A",0.71,IF(D108="AL-3A",0.53,IF(D108="AL-4A",0.35,IF(D108="AL-5A",0.21,IF(D108="AL-1B",1.17,IF(D108="AL-2B",0.98,IF(D108="AL-3B",0.78,IF(D108="AL-4B",0.59,IF(D108="AL-5B",0.39,IF(D108="AL-6B",0.23,IF(D108="PH Classic",0.6*D105/D101*3.6,IF(D108="PH Low",1*D105/D101*3.6,IF(D108="PH+",0.1))))))))))))))</f>
        <v>1.17</v>
      </c>
    </row>
    <row r="7011" spans="1:1" ht="11.75" customHeight="1">
      <c r="A7011" s="1989" t="b">
        <f>D108="AL-1A"</f>
        <v>0</v>
      </c>
    </row>
    <row r="7012" spans="1:1" ht="11.75" customHeight="1">
      <c r="A7012" s="1989">
        <f>IF(D108="AL-2A",0.71,IF(D108="AL-3A",0.53,IF(D108="AL-4A",0.35,IF(D108="AL-5A",0.21,IF(D108="AL-1B",1.17,IF(D108="AL-2B",0.98,IF(D108="AL-3B",0.78,IF(D108="AL-4B",0.59,IF(D108="AL-5B",0.39,IF(D108="AL-6B",0.23,IF(D108="PH Classic",0.6*D105/D101*3.6,IF(D108="PH Low",1*D105/D101*3.6,IF(D108="PH+",0.1)))))))))))))</f>
        <v>1.17</v>
      </c>
    </row>
    <row r="7013" spans="1:1" ht="11.75" customHeight="1">
      <c r="A7013" s="1989" t="b">
        <f>D108="AL-2A"</f>
        <v>0</v>
      </c>
    </row>
    <row r="7014" spans="1:1" ht="11.75" customHeight="1">
      <c r="A7014" s="1989">
        <f>IF(D108="AL-3A",0.53,IF(D108="AL-4A",0.35,IF(D108="AL-5A",0.21,IF(D108="AL-1B",1.17,IF(D108="AL-2B",0.98,IF(D108="AL-3B",0.78,IF(D108="AL-4B",0.59,IF(D108="AL-5B",0.39,IF(D108="AL-6B",0.23,IF(D108="PH Classic",0.6*D105/D101*3.6,IF(D108="PH Low",1*D105/D101*3.6,IF(D108="PH+",0.1))))))))))))</f>
        <v>1.17</v>
      </c>
    </row>
    <row r="7015" spans="1:1" ht="11.75" customHeight="1">
      <c r="A7015" s="1989" t="b">
        <f>D108="AL-3A"</f>
        <v>0</v>
      </c>
    </row>
    <row r="7016" spans="1:1" ht="11.75" customHeight="1">
      <c r="A7016" s="1989">
        <f>IF(D108="AL-4A",0.35,IF(D108="AL-5A",0.21,IF(D108="AL-1B",1.17,IF(D108="AL-2B",0.98,IF(D108="AL-3B",0.78,IF(D108="AL-4B",0.59,IF(D108="AL-5B",0.39,IF(D108="AL-6B",0.23,IF(D108="PH Classic",0.6*D105/D101*3.6,IF(D108="PH Low",1*D105/D101*3.6,IF(D108="PH+",0.1)))))))))))</f>
        <v>1.17</v>
      </c>
    </row>
    <row r="7017" spans="1:1" ht="11.75" customHeight="1">
      <c r="A7017" s="1989" t="b">
        <f>D108="AL-4A"</f>
        <v>0</v>
      </c>
    </row>
    <row r="7018" spans="1:1" ht="11.75" customHeight="1">
      <c r="A7018" s="1989">
        <f>IF(D108="AL-5A",0.21,IF(D108="AL-1B",1.17,IF(D108="AL-2B",0.98,IF(D108="AL-3B",0.78,IF(D108="AL-4B",0.59,IF(D108="AL-5B",0.39,IF(D108="AL-6B",0.23,IF(D108="PH Classic",0.6*D105/D101*3.6,IF(D108="PH Low",1*D105/D101*3.6,IF(D108="PH+",0.1))))))))))</f>
        <v>1.17</v>
      </c>
    </row>
    <row r="7019" spans="1:1" ht="11.75" customHeight="1">
      <c r="A7019" s="1989" t="b">
        <f>D108="AL-5A"</f>
        <v>0</v>
      </c>
    </row>
    <row r="7020" spans="1:1" ht="11.75" customHeight="1">
      <c r="A7020" s="1989">
        <f>IF(D108="AL-1B",1.17,IF(D108="AL-2B",0.98,IF(D108="AL-3B",0.78,IF(D108="AL-4B",0.59,IF(D108="AL-5B",0.39,IF(D108="AL-6B",0.23,IF(D108="PH Classic",0.6*D105/D101*3.6,IF(D108="PH Low",1*D105/D101*3.6,IF(D108="PH+",0.1)))))))))</f>
        <v>1.17</v>
      </c>
    </row>
    <row r="7021" spans="1:1" ht="11.75" customHeight="1">
      <c r="A7021" s="1989" t="b">
        <f>D108="AL-1B"</f>
        <v>1</v>
      </c>
    </row>
    <row r="7022" spans="1:1" ht="11.75" customHeight="1">
      <c r="A7022" s="1989" t="b">
        <f>IF(D108="AL-2B",0.98,IF(D108="AL-3B",0.78,IF(D108="AL-4B",0.59,IF(D108="AL-5B",0.39,IF(D108="AL-6B",0.23,IF(D108="PH Classic",0.6*D105/D101*3.6,IF(D108="PH Low",1*D105/D101*3.6,IF(D108="PH+",0.1))))))))</f>
        <v>0</v>
      </c>
    </row>
    <row r="7023" spans="1:1" ht="11.75" customHeight="1">
      <c r="A7023" s="1989" t="b">
        <f>D108="AL-2B"</f>
        <v>0</v>
      </c>
    </row>
    <row r="7024" spans="1:1" ht="11.75" customHeight="1">
      <c r="A7024" s="1989" t="b">
        <f>IF(D108="AL-3B",0.78,IF(D108="AL-4B",0.59,IF(D108="AL-5B",0.39,IF(D108="AL-6B",0.23,IF(D108="PH Classic",0.6*D105/D101*3.6,IF(D108="PH Low",1*D105/D101*3.6,IF(D108="PH+",0.1)))))))</f>
        <v>0</v>
      </c>
    </row>
    <row r="7025" spans="1:1" ht="11.75" customHeight="1">
      <c r="A7025" s="1989" t="b">
        <f>D108="AL-3B"</f>
        <v>0</v>
      </c>
    </row>
    <row r="7026" spans="1:1" ht="11.75" customHeight="1">
      <c r="A7026" s="1989" t="b">
        <f>IF(D108="AL-4B",0.59,IF(D108="AL-5B",0.39,IF(D108="AL-6B",0.23,IF(D108="PH Classic",0.6*D105/D101*3.6,IF(D108="PH Low",1*D105/D101*3.6,IF(D108="PH+",0.1))))))</f>
        <v>0</v>
      </c>
    </row>
    <row r="7027" spans="1:1" ht="11.75" customHeight="1">
      <c r="A7027" s="1989" t="b">
        <f>D108="AL-4B"</f>
        <v>0</v>
      </c>
    </row>
    <row r="7028" spans="1:1" ht="11.75" customHeight="1">
      <c r="A7028" s="1989" t="b">
        <f>IF(D108="AL-5B",0.39,IF(D108="AL-6B",0.23,IF(D108="PH Classic",0.6*D105/D101*3.6,IF(D108="PH Low",1*D105/D101*3.6,IF(D108="PH+",0.1)))))</f>
        <v>0</v>
      </c>
    </row>
    <row r="7029" spans="1:1" ht="11.75" customHeight="1">
      <c r="A7029" s="1989" t="b">
        <f>D108="AL-5B"</f>
        <v>0</v>
      </c>
    </row>
    <row r="7030" spans="1:1" ht="11.75" customHeight="1">
      <c r="A7030" s="1989" t="b">
        <f>IF(D108="AL-6B",0.23,IF(D108="PH Classic",0.6*D105/D101*3.6,IF(D108="PH Low",1*D105/D101*3.6,IF(D108="PH+",0.1))))</f>
        <v>0</v>
      </c>
    </row>
    <row r="7031" spans="1:1" ht="11.75" customHeight="1">
      <c r="A7031" s="1989" t="b">
        <f>D108="AL-6B"</f>
        <v>0</v>
      </c>
    </row>
    <row r="7032" spans="1:1" ht="11.75" customHeight="1">
      <c r="A7032" s="1989" t="b">
        <f>IF(D108="PH Classic",0.6*D105/D101*3.6,IF(D108="PH Low",1*D105/D101*3.6,IF(D108="PH+",0.1)))</f>
        <v>0</v>
      </c>
    </row>
    <row r="7033" spans="1:1" ht="11.75" customHeight="1">
      <c r="A7033" s="1989" t="b">
        <f>D108="PH Classic"</f>
        <v>0</v>
      </c>
    </row>
    <row r="7034" spans="1:1" ht="11.75" customHeight="1">
      <c r="A7034" s="1989">
        <f>0.6*D105/D101*3.6</f>
        <v>6.9772512537248366</v>
      </c>
    </row>
    <row r="7035" spans="1:1" ht="11.75" customHeight="1">
      <c r="A7035" s="1989">
        <f>0.6*D105</f>
        <v>4800</v>
      </c>
    </row>
    <row r="7036" spans="1:1" ht="11.75" customHeight="1">
      <c r="A7036" s="1989">
        <f>D101*3.6</f>
        <v>8915.8319999999985</v>
      </c>
    </row>
    <row r="7037" spans="1:1" ht="11.75" customHeight="1">
      <c r="A7037" s="1989" t="b">
        <f>IF(D108="PH Low",1*D105/D101*3.6,IF(D108="PH+",0.1))</f>
        <v>0</v>
      </c>
    </row>
    <row r="7038" spans="1:1" ht="11.75" customHeight="1">
      <c r="A7038" s="1989" t="b">
        <f>D108="PH Low"</f>
        <v>0</v>
      </c>
    </row>
    <row r="7039" spans="1:1" ht="11.75" customHeight="1">
      <c r="A7039" s="1989">
        <f>1*D105/D101*3.6</f>
        <v>11.628752089541393</v>
      </c>
    </row>
    <row r="7040" spans="1:1" ht="11.75" customHeight="1">
      <c r="A7040" s="1989">
        <f>1*D105</f>
        <v>8000</v>
      </c>
    </row>
    <row r="7041" spans="1:1" ht="11.75" customHeight="1">
      <c r="A7041" s="1989">
        <f>D101*3.6</f>
        <v>8915.8319999999985</v>
      </c>
    </row>
    <row r="7042" spans="1:1" ht="11.75" customHeight="1">
      <c r="A7042" s="1989" t="b">
        <f>IF(D108="PH+",0.1)</f>
        <v>0</v>
      </c>
    </row>
    <row r="7043" spans="1:1" ht="11.75" customHeight="1">
      <c r="A7043" s="1989" t="b">
        <f>D108="PH+"</f>
        <v>0</v>
      </c>
    </row>
    <row r="7044" spans="1:1" ht="11.75" customHeight="1">
      <c r="A7044" s="1989">
        <f>IF(H20="Present",VLOOKUP(H19,CANADA!A6:K699,9,FALSE),VLOOKUP(H19,CANADA!A6:K699,11,FALSE))</f>
        <v>4600</v>
      </c>
    </row>
    <row r="7045" spans="1:1" ht="11.75" customHeight="1">
      <c r="A7045" s="1989">
        <f>MATCH('NRL50-n-Factors'!D34,'NRL50-n-Factors'!C38:C49,0)</f>
        <v>5</v>
      </c>
    </row>
    <row r="7046" spans="1:1" ht="11.75" customHeight="1">
      <c r="A7046" s="1989">
        <f>MATCH(REPORT!D103,'NRL50-n-Factors'!D37:J37,0)</f>
        <v>2</v>
      </c>
    </row>
    <row r="7047" spans="1:1" ht="11.75" customHeight="1">
      <c r="A7047" s="1989" t="b">
        <f>D51="Gas"</f>
        <v>0</v>
      </c>
    </row>
    <row r="7048" spans="1:1" ht="11.75" customHeight="1">
      <c r="A7048" s="1989" t="b">
        <f>D49="By Engineer"</f>
        <v>0</v>
      </c>
    </row>
    <row r="7049" spans="1:1" ht="11.75" customHeight="1">
      <c r="A7049" s="1990">
        <f>H27-D43</f>
        <v>132765.64793897627</v>
      </c>
    </row>
    <row r="7050" spans="1:1" ht="11.75" customHeight="1">
      <c r="A7050" s="1989" t="b">
        <f>D113="Electricity"</f>
        <v>0</v>
      </c>
    </row>
    <row r="7051" spans="1:1" ht="11.75" customHeight="1">
      <c r="A7051" s="1990">
        <f>I103+K51+D117+M121+I101+I102+M43+SUM(H65:H67)</f>
        <v>265287.6445956853</v>
      </c>
    </row>
    <row r="7052" spans="1:1" ht="11.75" customHeight="1">
      <c r="A7052" s="1990">
        <f>I103+K51+D117+M121+I101+I102+M43</f>
        <v>180897.30859568529</v>
      </c>
    </row>
    <row r="7053" spans="1:1" ht="11.75" customHeight="1">
      <c r="A7053" s="1990">
        <f>I103+K51+D117+M121+I101+I102</f>
        <v>180897.30859568529</v>
      </c>
    </row>
    <row r="7054" spans="1:1" ht="11.75" customHeight="1">
      <c r="A7054" s="1990">
        <f>I103+K51+D117+M121+I101</f>
        <v>164109.06314703665</v>
      </c>
    </row>
    <row r="7055" spans="1:1" ht="11.75" customHeight="1">
      <c r="A7055" s="1990">
        <f>I103+K51+D117+M121</f>
        <v>88005.3704468098</v>
      </c>
    </row>
    <row r="7056" spans="1:1" ht="11.75" customHeight="1">
      <c r="A7056" s="1990">
        <f>I103+K51+D117</f>
        <v>39024.570446809812</v>
      </c>
    </row>
    <row r="7057" spans="1:1" ht="11.75" customHeight="1">
      <c r="A7057" s="1990">
        <f>I103+K51</f>
        <v>36006.531012790423</v>
      </c>
    </row>
    <row r="7058" spans="1:1" ht="11.75" customHeight="1">
      <c r="A7058" s="1989">
        <f>1.21*G108*D20*24/1000*D101</f>
        <v>387079.06311359996</v>
      </c>
    </row>
    <row r="7059" spans="1:1" ht="11.75" customHeight="1">
      <c r="A7059" s="1989">
        <f>1.21*G108*D20*24/1000</f>
        <v>156.29328000000001</v>
      </c>
    </row>
    <row r="7060" spans="1:1" ht="11.75" customHeight="1">
      <c r="A7060" s="1989">
        <f>1.21*G108*D20*24</f>
        <v>156293.28</v>
      </c>
    </row>
    <row r="7061" spans="1:1" ht="11.75" customHeight="1">
      <c r="A7061" s="1989">
        <f>1.21*G108*D20</f>
        <v>6512.22</v>
      </c>
    </row>
    <row r="7062" spans="1:1" ht="11.75" customHeight="1">
      <c r="A7062" s="1989">
        <f>1.21*G108</f>
        <v>1.4157</v>
      </c>
    </row>
    <row r="7063" spans="1:1" ht="11.75" customHeight="1">
      <c r="A7063" s="1989" t="b">
        <f>D108="Measured"</f>
        <v>0</v>
      </c>
    </row>
    <row r="7064" spans="1:1" ht="11.75" customHeight="1">
      <c r="A7064" s="1989">
        <f>G109*D105/D101*3.6</f>
        <v>17.44312813431209</v>
      </c>
    </row>
    <row r="7065" spans="1:1" ht="11.75" customHeight="1">
      <c r="A7065" s="1989">
        <f>G109*D105</f>
        <v>12000</v>
      </c>
    </row>
    <row r="7066" spans="1:1" ht="11.75" customHeight="1">
      <c r="A7066" s="1989">
        <f>D101*3.6</f>
        <v>8915.8319999999985</v>
      </c>
    </row>
    <row r="7067" spans="1:1" ht="11.75" customHeight="1">
      <c r="A7067" s="1989">
        <f>IF(D108="AL-1A",0.89,IF(D108="AL-2A",0.71,IF(D108="AL-3A",0.53,IF(D108="AL-4A",0.35,IF(D108="AL-5A",0.21,IF(D108="AL-1B",1.17,IF(D108="AL-2B",0.98,IF(D108="AL-3B",0.78,IF(D108="AL-4B",0.59,IF(D108="AL-5B",0.39,IF(D108="AL-6B",0.23,IF(D108="PH Classic",0.6*D105/D101*3.6,IF(D108="PH Low",1*D105/D101*3.6,IF(D108="PH+",0.1))))))))))))))</f>
        <v>1.17</v>
      </c>
    </row>
    <row r="7068" spans="1:1" ht="11.75" customHeight="1">
      <c r="A7068" s="1989" t="b">
        <f>D108="AL-1A"</f>
        <v>0</v>
      </c>
    </row>
    <row r="7069" spans="1:1" ht="11.75" customHeight="1">
      <c r="A7069" s="1989">
        <f>IF(D108="AL-2A",0.71,IF(D108="AL-3A",0.53,IF(D108="AL-4A",0.35,IF(D108="AL-5A",0.21,IF(D108="AL-1B",1.17,IF(D108="AL-2B",0.98,IF(D108="AL-3B",0.78,IF(D108="AL-4B",0.59,IF(D108="AL-5B",0.39,IF(D108="AL-6B",0.23,IF(D108="PH Classic",0.6*D105/D101*3.6,IF(D108="PH Low",1*D105/D101*3.6,IF(D108="PH+",0.1)))))))))))))</f>
        <v>1.17</v>
      </c>
    </row>
    <row r="7070" spans="1:1" ht="11.75" customHeight="1">
      <c r="A7070" s="1989" t="b">
        <f>D108="AL-2A"</f>
        <v>0</v>
      </c>
    </row>
    <row r="7071" spans="1:1" ht="11.75" customHeight="1">
      <c r="A7071" s="1989">
        <f>IF(D108="AL-3A",0.53,IF(D108="AL-4A",0.35,IF(D108="AL-5A",0.21,IF(D108="AL-1B",1.17,IF(D108="AL-2B",0.98,IF(D108="AL-3B",0.78,IF(D108="AL-4B",0.59,IF(D108="AL-5B",0.39,IF(D108="AL-6B",0.23,IF(D108="PH Classic",0.6*D105/D101*3.6,IF(D108="PH Low",1*D105/D101*3.6,IF(D108="PH+",0.1))))))))))))</f>
        <v>1.17</v>
      </c>
    </row>
    <row r="7072" spans="1:1" ht="11.75" customHeight="1">
      <c r="A7072" s="1989" t="b">
        <f>D108="AL-3A"</f>
        <v>0</v>
      </c>
    </row>
    <row r="7073" spans="1:1" ht="11.75" customHeight="1">
      <c r="A7073" s="1989">
        <f>IF(D108="AL-4A",0.35,IF(D108="AL-5A",0.21,IF(D108="AL-1B",1.17,IF(D108="AL-2B",0.98,IF(D108="AL-3B",0.78,IF(D108="AL-4B",0.59,IF(D108="AL-5B",0.39,IF(D108="AL-6B",0.23,IF(D108="PH Classic",0.6*D105/D101*3.6,IF(D108="PH Low",1*D105/D101*3.6,IF(D108="PH+",0.1)))))))))))</f>
        <v>1.17</v>
      </c>
    </row>
    <row r="7074" spans="1:1" ht="11.75" customHeight="1">
      <c r="A7074" s="1989" t="b">
        <f>D108="AL-4A"</f>
        <v>0</v>
      </c>
    </row>
    <row r="7075" spans="1:1" ht="11.75" customHeight="1">
      <c r="A7075" s="1989">
        <f>IF(D108="AL-5A",0.21,IF(D108="AL-1B",1.17,IF(D108="AL-2B",0.98,IF(D108="AL-3B",0.78,IF(D108="AL-4B",0.59,IF(D108="AL-5B",0.39,IF(D108="AL-6B",0.23,IF(D108="PH Classic",0.6*D105/D101*3.6,IF(D108="PH Low",1*D105/D101*3.6,IF(D108="PH+",0.1))))))))))</f>
        <v>1.17</v>
      </c>
    </row>
    <row r="7076" spans="1:1" ht="11.75" customHeight="1">
      <c r="A7076" s="1989" t="b">
        <f>D108="AL-5A"</f>
        <v>0</v>
      </c>
    </row>
    <row r="7077" spans="1:1" ht="11.75" customHeight="1">
      <c r="A7077" s="1989">
        <f>IF(D108="AL-1B",1.17,IF(D108="AL-2B",0.98,IF(D108="AL-3B",0.78,IF(D108="AL-4B",0.59,IF(D108="AL-5B",0.39,IF(D108="AL-6B",0.23,IF(D108="PH Classic",0.6*D105/D101*3.6,IF(D108="PH Low",1*D105/D101*3.6,IF(D108="PH+",0.1)))))))))</f>
        <v>1.17</v>
      </c>
    </row>
    <row r="7078" spans="1:1" ht="11.75" customHeight="1">
      <c r="A7078" s="1989" t="b">
        <f>D108="AL-1B"</f>
        <v>1</v>
      </c>
    </row>
    <row r="7079" spans="1:1" ht="11.75" customHeight="1">
      <c r="A7079" s="1989" t="b">
        <f>IF(D108="AL-2B",0.98,IF(D108="AL-3B",0.78,IF(D108="AL-4B",0.59,IF(D108="AL-5B",0.39,IF(D108="AL-6B",0.23,IF(D108="PH Classic",0.6*D105/D101*3.6,IF(D108="PH Low",1*D105/D101*3.6,IF(D108="PH+",0.1))))))))</f>
        <v>0</v>
      </c>
    </row>
    <row r="7080" spans="1:1" ht="11.75" customHeight="1">
      <c r="A7080" s="1989" t="b">
        <f>D108="AL-2B"</f>
        <v>0</v>
      </c>
    </row>
    <row r="7081" spans="1:1" ht="11.75" customHeight="1">
      <c r="A7081" s="1989" t="b">
        <f>IF(D108="AL-3B",0.78,IF(D108="AL-4B",0.59,IF(D108="AL-5B",0.39,IF(D108="AL-6B",0.23,IF(D108="PH Classic",0.6*D105/D101*3.6,IF(D108="PH Low",1*D105/D101*3.6,IF(D108="PH+",0.1)))))))</f>
        <v>0</v>
      </c>
    </row>
    <row r="7082" spans="1:1" ht="11.75" customHeight="1">
      <c r="A7082" s="1989" t="b">
        <f>D108="AL-3B"</f>
        <v>0</v>
      </c>
    </row>
    <row r="7083" spans="1:1" ht="11.75" customHeight="1">
      <c r="A7083" s="1989" t="b">
        <f>IF(D108="AL-4B",0.59,IF(D108="AL-5B",0.39,IF(D108="AL-6B",0.23,IF(D108="PH Classic",0.6*D105/D101*3.6,IF(D108="PH Low",1*D105/D101*3.6,IF(D108="PH+",0.1))))))</f>
        <v>0</v>
      </c>
    </row>
    <row r="7084" spans="1:1" ht="11.75" customHeight="1">
      <c r="A7084" s="1989" t="b">
        <f>D108="AL-4B"</f>
        <v>0</v>
      </c>
    </row>
    <row r="7085" spans="1:1" ht="11.75" customHeight="1">
      <c r="A7085" s="1989" t="b">
        <f>IF(D108="AL-5B",0.39,IF(D108="AL-6B",0.23,IF(D108="PH Classic",0.6*D105/D101*3.6,IF(D108="PH Low",1*D105/D101*3.6,IF(D108="PH+",0.1)))))</f>
        <v>0</v>
      </c>
    </row>
    <row r="7086" spans="1:1" ht="11.75" customHeight="1">
      <c r="A7086" s="1989" t="b">
        <f>D108="AL-5B"</f>
        <v>0</v>
      </c>
    </row>
    <row r="7087" spans="1:1" ht="11.75" customHeight="1">
      <c r="A7087" s="1989" t="b">
        <f>IF(D108="AL-6B",0.23,IF(D108="PH Classic",0.6*D105/D101*3.6,IF(D108="PH Low",1*D105/D101*3.6,IF(D108="PH+",0.1))))</f>
        <v>0</v>
      </c>
    </row>
    <row r="7088" spans="1:1" ht="11.75" customHeight="1">
      <c r="A7088" s="1989" t="b">
        <f>D108="AL-6B"</f>
        <v>0</v>
      </c>
    </row>
    <row r="7089" spans="1:1" ht="11.75" customHeight="1">
      <c r="A7089" s="1989" t="b">
        <f>IF(D108="PH Classic",0.6*D105/D101*3.6,IF(D108="PH Low",1*D105/D101*3.6,IF(D108="PH+",0.1)))</f>
        <v>0</v>
      </c>
    </row>
    <row r="7090" spans="1:1" ht="11.75" customHeight="1">
      <c r="A7090" s="1989" t="b">
        <f>D108="PH Classic"</f>
        <v>0</v>
      </c>
    </row>
    <row r="7091" spans="1:1" ht="11.75" customHeight="1">
      <c r="A7091" s="1989">
        <f>0.6*D105/D101*3.6</f>
        <v>6.9772512537248366</v>
      </c>
    </row>
    <row r="7092" spans="1:1" ht="11.75" customHeight="1">
      <c r="A7092" s="1989">
        <f>0.6*D105</f>
        <v>4800</v>
      </c>
    </row>
    <row r="7093" spans="1:1" ht="11.75" customHeight="1">
      <c r="A7093" s="1989">
        <f>D101*3.6</f>
        <v>8915.8319999999985</v>
      </c>
    </row>
    <row r="7094" spans="1:1" ht="11.75" customHeight="1">
      <c r="A7094" s="1989" t="b">
        <f>IF(D108="PH Low",1*D105/D101*3.6,IF(D108="PH+",0.1))</f>
        <v>0</v>
      </c>
    </row>
    <row r="7095" spans="1:1" ht="11.75" customHeight="1">
      <c r="A7095" s="1989" t="b">
        <f>D108="PH Low"</f>
        <v>0</v>
      </c>
    </row>
    <row r="7096" spans="1:1" ht="11.75" customHeight="1">
      <c r="A7096" s="1989">
        <f>1*D105/D101*3.6</f>
        <v>11.628752089541393</v>
      </c>
    </row>
    <row r="7097" spans="1:1" ht="11.75" customHeight="1">
      <c r="A7097" s="1989">
        <f>1*D105</f>
        <v>8000</v>
      </c>
    </row>
    <row r="7098" spans="1:1" ht="11.75" customHeight="1">
      <c r="A7098" s="1989">
        <f>D101*3.6</f>
        <v>8915.8319999999985</v>
      </c>
    </row>
    <row r="7099" spans="1:1" ht="11.75" customHeight="1">
      <c r="A7099" s="1989" t="b">
        <f>IF(D108="PH+",0.1)</f>
        <v>0</v>
      </c>
    </row>
    <row r="7100" spans="1:1" ht="11.75" customHeight="1">
      <c r="A7100" s="1989">
        <f>MATCH('NRL50-n-Factors'!D34,'NRL50-n-Factors'!C38:C49,0)</f>
        <v>5</v>
      </c>
    </row>
    <row r="7101" spans="1:1" ht="11.75" customHeight="1">
      <c r="A7101" s="1989">
        <f>MATCH(REPORT!D103,'NRL50-n-Factors'!D37:J37,0)</f>
        <v>2</v>
      </c>
    </row>
    <row r="7102" spans="1:1" ht="11.75" customHeight="1">
      <c r="A7102" s="1989" t="b">
        <f>D51="Gas"</f>
        <v>0</v>
      </c>
    </row>
    <row r="7103" spans="1:1" ht="11.75" customHeight="1">
      <c r="A7103" s="1989" t="b">
        <f>D49="By Engineer"</f>
        <v>0</v>
      </c>
    </row>
    <row r="7104" spans="1:1" ht="11.75" customHeight="1">
      <c r="A7104" s="1989">
        <f>H50*D63*0.0523*365</f>
        <v>38484.432000000001</v>
      </c>
    </row>
    <row r="7105" spans="1:1" ht="11.75" customHeight="1">
      <c r="A7105" s="1989">
        <f>D$20*G101*24</f>
        <v>30728.853316304834</v>
      </c>
    </row>
    <row r="7106" spans="1:1" ht="11.75" customHeight="1">
      <c r="A7106" s="1989">
        <f>SUM(H65:H67)</f>
        <v>84390.33600000001</v>
      </c>
    </row>
    <row r="7107" spans="1:1" ht="11.75" customHeight="1">
      <c r="A7107" s="1989">
        <f>D65*I$63*H15*SCHEDULES!I6</f>
        <v>29371776</v>
      </c>
    </row>
    <row r="7108" spans="1:1" ht="11.75" customHeight="1">
      <c r="A7108" s="1989">
        <f>D65*I$63*H15</f>
        <v>43757952</v>
      </c>
    </row>
    <row r="7109" spans="1:1" ht="11.75" customHeight="1">
      <c r="A7109" s="1989">
        <f>D65*I$63</f>
        <v>30660</v>
      </c>
    </row>
    <row r="7110" spans="1:1" ht="11.75" customHeight="1">
      <c r="A7110" s="1989">
        <f>D65*I$63*H15*SCHEDULES!I4</f>
        <v>14386176</v>
      </c>
    </row>
    <row r="7111" spans="1:1" ht="11.75" customHeight="1">
      <c r="A7111" s="1989">
        <f>IF(D113="Heatpump",K51+D117+D114+M43+H70,IF(D113="Gas",K51+D117+M43+H70))</f>
        <v>132765.64793897627</v>
      </c>
    </row>
    <row r="7112" spans="1:1" ht="11.75" customHeight="1">
      <c r="A7112" s="1989" t="b">
        <f>D113="Heatpump"</f>
        <v>1</v>
      </c>
    </row>
    <row r="7113" spans="1:1" ht="11.75" customHeight="1">
      <c r="A7113" s="1990">
        <f>K51+D117+D114+M43+H70</f>
        <v>132765.64793897627</v>
      </c>
    </row>
    <row r="7114" spans="1:1" ht="11.75" customHeight="1">
      <c r="A7114" s="1989" t="b">
        <f>IF(D113="Gas",K51+D117+M43+H70)</f>
        <v>0</v>
      </c>
    </row>
    <row r="7115" spans="1:1" ht="11.75" customHeight="1">
      <c r="A7115" s="1989">
        <f>SUM(D44:D46)</f>
        <v>0</v>
      </c>
    </row>
    <row r="7116" spans="1:1" ht="11.75" customHeight="1">
      <c r="A7116" s="1990">
        <f>I44+I45</f>
        <v>0</v>
      </c>
    </row>
    <row r="7117" spans="1:1" ht="11.75" customHeight="1">
      <c r="A7117" s="1989">
        <f>H28*0.0373</f>
        <v>0</v>
      </c>
    </row>
    <row r="7118" spans="1:1" ht="11.75" customHeight="1">
      <c r="A7118" s="1989">
        <f>H30*36.72</f>
        <v>0</v>
      </c>
    </row>
    <row r="7119" spans="1:1" ht="11.75" customHeight="1">
      <c r="A7119" s="1989">
        <f>D101*3.6</f>
        <v>8915.8319999999985</v>
      </c>
    </row>
    <row r="7120" spans="1:1" ht="11.75" customHeight="1">
      <c r="A7120" s="1989" t="b">
        <f>IF(D108="PH+",0.1)</f>
        <v>0</v>
      </c>
    </row>
    <row r="7121" spans="1:1" ht="11.75" customHeight="1">
      <c r="A7121" s="1989" t="b">
        <f>D108="PH+"</f>
        <v>0</v>
      </c>
    </row>
    <row r="7122" spans="1:1" ht="11.75" customHeight="1">
      <c r="A7122" s="1989">
        <f>IF(H20="Present",VLOOKUP(H19,CANADA!A6:K699,9,FALSE),VLOOKUP(H19,CANADA!A6:K699,11,FALSE))</f>
        <v>4600</v>
      </c>
    </row>
    <row r="7123" spans="1:1" ht="11.75" customHeight="1">
      <c r="A7123" s="1989">
        <f>MATCH('NRL50-n-Factors'!D34,'NRL50-n-Factors'!C38:C49,0)</f>
        <v>5</v>
      </c>
    </row>
    <row r="7124" spans="1:1" ht="11.75" customHeight="1">
      <c r="A7124" s="1989">
        <f>MATCH(REPORT!D103,'NRL50-n-Factors'!D37:J37,0)</f>
        <v>2</v>
      </c>
    </row>
    <row r="7125" spans="1:1" ht="11.75" customHeight="1">
      <c r="A7125" s="1989" t="b">
        <f>D51="Gas"</f>
        <v>0</v>
      </c>
    </row>
    <row r="7126" spans="1:1" ht="11.75" customHeight="1">
      <c r="A7126" s="1989" t="b">
        <f>D49="By Engineer"</f>
        <v>0</v>
      </c>
    </row>
    <row r="7127" spans="1:1" ht="11.75" customHeight="1">
      <c r="A7127" s="1989">
        <f>H50*D63*0.0523*365</f>
        <v>38484.432000000001</v>
      </c>
    </row>
    <row r="7128" spans="1:1" ht="11.75" customHeight="1">
      <c r="A7128" s="1989">
        <f>D$20*G101*24</f>
        <v>30728.853316304834</v>
      </c>
    </row>
    <row r="7129" spans="1:1" ht="11.75" customHeight="1">
      <c r="A7129" s="1989">
        <f>SUM(H65:H67)</f>
        <v>84390.33600000001</v>
      </c>
    </row>
    <row r="7130" spans="1:1" ht="11.75" customHeight="1">
      <c r="A7130" s="1989">
        <f>D65*I$63*H15*SCHEDULES!I6</f>
        <v>29371776</v>
      </c>
    </row>
    <row r="7131" spans="1:1" ht="11.75" customHeight="1">
      <c r="A7131" s="1989">
        <f>D65*I$63*H15</f>
        <v>43757952</v>
      </c>
    </row>
    <row r="7132" spans="1:1" ht="11.75" customHeight="1">
      <c r="A7132" s="1989">
        <f>D65*I$63</f>
        <v>30660</v>
      </c>
    </row>
    <row r="7133" spans="1:1" ht="11.75" customHeight="1">
      <c r="A7133" s="1989">
        <f>D65*I$63*H15*SCHEDULES!I4</f>
        <v>14386176</v>
      </c>
    </row>
    <row r="7134" spans="1:1" ht="11.75" customHeight="1">
      <c r="A7134" s="1989">
        <f>IF(D113="Heatpump",K51+D117+D114+M43+H70,IF(D113="Gas",K51+D117+M43+H70))</f>
        <v>132765.64793897627</v>
      </c>
    </row>
    <row r="7135" spans="1:1" ht="11.75" customHeight="1">
      <c r="A7135" s="1989" t="b">
        <f>D113="Heatpump"</f>
        <v>1</v>
      </c>
    </row>
    <row r="7136" spans="1:1" ht="11.75" customHeight="1">
      <c r="A7136" s="1990">
        <f>K51+D117+D114+M43+H70</f>
        <v>132765.64793897627</v>
      </c>
    </row>
    <row r="7137" spans="1:1" ht="11.75" customHeight="1">
      <c r="A7137" s="1989" t="b">
        <f>IF(D113="Gas",K51+D117+M43+H70)</f>
        <v>0</v>
      </c>
    </row>
    <row r="7138" spans="1:1" ht="11.75" customHeight="1">
      <c r="A7138" s="1989">
        <f>SUM(D44:D46)</f>
        <v>0</v>
      </c>
    </row>
    <row r="7139" spans="1:1" ht="11.75" customHeight="1">
      <c r="A7139" s="1990">
        <f>I44+I45</f>
        <v>0</v>
      </c>
    </row>
    <row r="7140" spans="1:1" ht="11.75" customHeight="1">
      <c r="A7140" s="1989">
        <f>H28*0.0373</f>
        <v>0</v>
      </c>
    </row>
    <row r="7141" spans="1:1" ht="11.75" customHeight="1">
      <c r="A7141" s="1989">
        <f>H30*36.72</f>
        <v>0</v>
      </c>
    </row>
    <row r="7142" spans="1:1" ht="11.75" customHeight="1">
      <c r="A7142" s="1990">
        <f>H27-D43</f>
        <v>132765.64793897627</v>
      </c>
    </row>
    <row r="7143" spans="1:1" ht="11.75" customHeight="1">
      <c r="A7143" s="1989" t="b">
        <f>D113="Electricity"</f>
        <v>0</v>
      </c>
    </row>
    <row r="7144" spans="1:1" ht="11.75" customHeight="1">
      <c r="A7144" s="1990">
        <f>I103+K51+D117+M121+I101+I102+M43+SUM(H65:H67)</f>
        <v>265287.6445956853</v>
      </c>
    </row>
    <row r="7145" spans="1:1" ht="11.75" customHeight="1">
      <c r="A7145" s="1990">
        <f>I103+K51+D117+M121+I101+I102+M43</f>
        <v>180897.30859568529</v>
      </c>
    </row>
    <row r="7146" spans="1:1" ht="11.75" customHeight="1">
      <c r="A7146" s="1990">
        <f>I103+K51+D117+M121+I101+I102</f>
        <v>180897.30859568529</v>
      </c>
    </row>
    <row r="7147" spans="1:1" ht="11.75" customHeight="1">
      <c r="A7147" s="1990">
        <f>I103+K51+D117+M121+I101</f>
        <v>164109.06314703665</v>
      </c>
    </row>
    <row r="7148" spans="1:1" ht="11.75" customHeight="1">
      <c r="A7148" s="1990">
        <f>I103+K51+D117+M121</f>
        <v>88005.3704468098</v>
      </c>
    </row>
    <row r="7149" spans="1:1" ht="11.75" customHeight="1">
      <c r="A7149" s="1990">
        <f>I103+K51+D117</f>
        <v>39024.570446809812</v>
      </c>
    </row>
    <row r="7150" spans="1:1" ht="11.75" customHeight="1">
      <c r="A7150" s="1990">
        <f>I103+K51</f>
        <v>36006.531012790423</v>
      </c>
    </row>
    <row r="7151" spans="1:1" ht="11.75" customHeight="1">
      <c r="A7151" s="1989">
        <f>1.21*G108*D20*24/1000*D101</f>
        <v>387079.06311359996</v>
      </c>
    </row>
    <row r="7152" spans="1:1" ht="11.75" customHeight="1">
      <c r="A7152" s="1989">
        <f>1.21*G108*D20*24/1000</f>
        <v>156.29328000000001</v>
      </c>
    </row>
    <row r="7153" spans="1:1" ht="11.75" customHeight="1">
      <c r="A7153" s="1989">
        <f>1.21*G108*D20*24</f>
        <v>156293.28</v>
      </c>
    </row>
    <row r="7154" spans="1:1" ht="11.75" customHeight="1">
      <c r="A7154" s="1989">
        <f>1.21*G108*D20</f>
        <v>6512.22</v>
      </c>
    </row>
    <row r="7155" spans="1:1" ht="11.75" customHeight="1">
      <c r="A7155" s="1989">
        <f>1.21*G108</f>
        <v>1.4157</v>
      </c>
    </row>
    <row r="7156" spans="1:1" ht="11.75" customHeight="1">
      <c r="A7156" s="1989" t="b">
        <f>D108="Measured"</f>
        <v>0</v>
      </c>
    </row>
    <row r="7157" spans="1:1" ht="11.75" customHeight="1">
      <c r="A7157" s="1989">
        <f>G109*D105/D101*3.6</f>
        <v>17.44312813431209</v>
      </c>
    </row>
    <row r="7158" spans="1:1" ht="11.75" customHeight="1">
      <c r="A7158" s="1989">
        <f>G109*D105</f>
        <v>12000</v>
      </c>
    </row>
    <row r="7159" spans="1:1" ht="11.75" customHeight="1">
      <c r="A7159" s="1989">
        <f>D101*3.6</f>
        <v>8915.8319999999985</v>
      </c>
    </row>
    <row r="7160" spans="1:1" ht="11.75" customHeight="1">
      <c r="A7160" s="1989">
        <f>IF(D108="AL-1A",0.89,IF(D108="AL-2A",0.71,IF(D108="AL-3A",0.53,IF(D108="AL-4A",0.35,IF(D108="AL-5A",0.21,IF(D108="AL-1B",1.17,IF(D108="AL-2B",0.98,IF(D108="AL-3B",0.78,IF(D108="AL-4B",0.59,IF(D108="AL-5B",0.39,IF(D108="AL-6B",0.23,IF(D108="PH Classic",0.6*D105/D101*3.6,IF(D108="PH Low",1*D105/D101*3.6,IF(D108="PH+",0.1))))))))))))))</f>
        <v>1.17</v>
      </c>
    </row>
    <row r="7161" spans="1:1" ht="11.75" customHeight="1">
      <c r="A7161" s="1989" t="b">
        <f>D108="AL-1A"</f>
        <v>0</v>
      </c>
    </row>
    <row r="7162" spans="1:1" ht="11.75" customHeight="1">
      <c r="A7162" s="1989">
        <f>IF(D108="AL-2A",0.71,IF(D108="AL-3A",0.53,IF(D108="AL-4A",0.35,IF(D108="AL-5A",0.21,IF(D108="AL-1B",1.17,IF(D108="AL-2B",0.98,IF(D108="AL-3B",0.78,IF(D108="AL-4B",0.59,IF(D108="AL-5B",0.39,IF(D108="AL-6B",0.23,IF(D108="PH Classic",0.6*D105/D101*3.6,IF(D108="PH Low",1*D105/D101*3.6,IF(D108="PH+",0.1)))))))))))))</f>
        <v>1.17</v>
      </c>
    </row>
    <row r="7163" spans="1:1" ht="11.75" customHeight="1">
      <c r="A7163" s="1989" t="b">
        <f>D108="AL-2A"</f>
        <v>0</v>
      </c>
    </row>
    <row r="7164" spans="1:1" ht="11.75" customHeight="1">
      <c r="A7164" s="1989">
        <f>IF(D108="AL-3A",0.53,IF(D108="AL-4A",0.35,IF(D108="AL-5A",0.21,IF(D108="AL-1B",1.17,IF(D108="AL-2B",0.98,IF(D108="AL-3B",0.78,IF(D108="AL-4B",0.59,IF(D108="AL-5B",0.39,IF(D108="AL-6B",0.23,IF(D108="PH Classic",0.6*D105/D101*3.6,IF(D108="PH Low",1*D105/D101*3.6,IF(D108="PH+",0.1))))))))))))</f>
        <v>1.17</v>
      </c>
    </row>
    <row r="7165" spans="1:1" ht="11.75" customHeight="1">
      <c r="A7165" s="1989" t="b">
        <f>D108="AL-3A"</f>
        <v>0</v>
      </c>
    </row>
    <row r="7166" spans="1:1" ht="11.75" customHeight="1">
      <c r="A7166" s="1989">
        <f>IF(D108="AL-4A",0.35,IF(D108="AL-5A",0.21,IF(D108="AL-1B",1.17,IF(D108="AL-2B",0.98,IF(D108="AL-3B",0.78,IF(D108="AL-4B",0.59,IF(D108="AL-5B",0.39,IF(D108="AL-6B",0.23,IF(D108="PH Classic",0.6*D105/D101*3.6,IF(D108="PH Low",1*D105/D101*3.6,IF(D108="PH+",0.1)))))))))))</f>
        <v>1.17</v>
      </c>
    </row>
    <row r="7167" spans="1:1" ht="11.75" customHeight="1">
      <c r="A7167" s="1989" t="b">
        <f>D108="AL-4A"</f>
        <v>0</v>
      </c>
    </row>
    <row r="7168" spans="1:1" ht="11.75" customHeight="1">
      <c r="A7168" s="1989">
        <f>IF(D108="AL-5A",0.21,IF(D108="AL-1B",1.17,IF(D108="AL-2B",0.98,IF(D108="AL-3B",0.78,IF(D108="AL-4B",0.59,IF(D108="AL-5B",0.39,IF(D108="AL-6B",0.23,IF(D108="PH Classic",0.6*D105/D101*3.6,IF(D108="PH Low",1*D105/D101*3.6,IF(D108="PH+",0.1))))))))))</f>
        <v>1.17</v>
      </c>
    </row>
    <row r="7169" spans="1:1" ht="11.75" customHeight="1">
      <c r="A7169" s="1989" t="b">
        <f>D108="AL-5A"</f>
        <v>0</v>
      </c>
    </row>
    <row r="7170" spans="1:1" ht="11.75" customHeight="1">
      <c r="A7170" s="1989">
        <f>IF(D108="AL-1B",1.17,IF(D108="AL-2B",0.98,IF(D108="AL-3B",0.78,IF(D108="AL-4B",0.59,IF(D108="AL-5B",0.39,IF(D108="AL-6B",0.23,IF(D108="PH Classic",0.6*D105/D101*3.6,IF(D108="PH Low",1*D105/D101*3.6,IF(D108="PH+",0.1)))))))))</f>
        <v>1.17</v>
      </c>
    </row>
    <row r="7171" spans="1:1" ht="11.75" customHeight="1">
      <c r="A7171" s="1989" t="b">
        <f>D108="AL-1B"</f>
        <v>1</v>
      </c>
    </row>
    <row r="7172" spans="1:1" ht="11.75" customHeight="1">
      <c r="A7172" s="1989" t="b">
        <f>IF(D108="AL-2B",0.98,IF(D108="AL-3B",0.78,IF(D108="AL-4B",0.59,IF(D108="AL-5B",0.39,IF(D108="AL-6B",0.23,IF(D108="PH Classic",0.6*D105/D101*3.6,IF(D108="PH Low",1*D105/D101*3.6,IF(D108="PH+",0.1))))))))</f>
        <v>0</v>
      </c>
    </row>
    <row r="7173" spans="1:1" ht="11.75" customHeight="1">
      <c r="A7173" s="1989" t="b">
        <f>D108="AL-2B"</f>
        <v>0</v>
      </c>
    </row>
    <row r="7174" spans="1:1" ht="11.75" customHeight="1">
      <c r="A7174" s="1989" t="b">
        <f>IF(D108="AL-3B",0.78,IF(D108="AL-4B",0.59,IF(D108="AL-5B",0.39,IF(D108="AL-6B",0.23,IF(D108="PH Classic",0.6*D105/D101*3.6,IF(D108="PH Low",1*D105/D101*3.6,IF(D108="PH+",0.1)))))))</f>
        <v>0</v>
      </c>
    </row>
    <row r="7175" spans="1:1" ht="11.75" customHeight="1">
      <c r="A7175" s="1989" t="b">
        <f>D108="AL-3B"</f>
        <v>0</v>
      </c>
    </row>
    <row r="7176" spans="1:1" ht="11.75" customHeight="1">
      <c r="A7176" s="1989" t="b">
        <f>IF(D108="AL-4B",0.59,IF(D108="AL-5B",0.39,IF(D108="AL-6B",0.23,IF(D108="PH Classic",0.6*D105/D101*3.6,IF(D108="PH Low",1*D105/D101*3.6,IF(D108="PH+",0.1))))))</f>
        <v>0</v>
      </c>
    </row>
    <row r="7177" spans="1:1" ht="11.75" customHeight="1">
      <c r="A7177" s="1989" t="b">
        <f>D108="AL-4B"</f>
        <v>0</v>
      </c>
    </row>
    <row r="7178" spans="1:1" ht="11.75" customHeight="1">
      <c r="A7178" s="1989" t="b">
        <f>IF(D108="AL-5B",0.39,IF(D108="AL-6B",0.23,IF(D108="PH Classic",0.6*D105/D101*3.6,IF(D108="PH Low",1*D105/D101*3.6,IF(D108="PH+",0.1)))))</f>
        <v>0</v>
      </c>
    </row>
    <row r="7179" spans="1:1" ht="11.75" customHeight="1">
      <c r="A7179" s="1989" t="b">
        <f>D108="AL-5B"</f>
        <v>0</v>
      </c>
    </row>
    <row r="7180" spans="1:1" ht="11.75" customHeight="1">
      <c r="A7180" s="1989" t="b">
        <f>IF(D108="AL-6B",0.23,IF(D108="PH Classic",0.6*D105/D101*3.6,IF(D108="PH Low",1*D105/D101*3.6,IF(D108="PH+",0.1))))</f>
        <v>0</v>
      </c>
    </row>
    <row r="7181" spans="1:1" ht="11.75" customHeight="1">
      <c r="A7181" s="1989" t="b">
        <f>D108="AL-6B"</f>
        <v>0</v>
      </c>
    </row>
    <row r="7182" spans="1:1" ht="11.75" customHeight="1">
      <c r="A7182" s="1989" t="b">
        <f>IF(D108="PH Classic",0.6*D105/D101*3.6,IF(D108="PH Low",1*D105/D101*3.6,IF(D108="PH+",0.1)))</f>
        <v>0</v>
      </c>
    </row>
    <row r="7183" spans="1:1" ht="11.75" customHeight="1">
      <c r="A7183" s="1989" t="b">
        <f>D108="PH Classic"</f>
        <v>0</v>
      </c>
    </row>
    <row r="7184" spans="1:1" ht="11.75" customHeight="1">
      <c r="A7184" s="1989">
        <f>0.6*D105/D101*3.6</f>
        <v>6.9772512537248366</v>
      </c>
    </row>
    <row r="7185" spans="1:1" ht="11.75" customHeight="1">
      <c r="A7185" s="1989">
        <f>0.6*D105</f>
        <v>4800</v>
      </c>
    </row>
    <row r="7186" spans="1:1" ht="11.75" customHeight="1">
      <c r="A7186" s="1989">
        <f>D101*3.6</f>
        <v>8915.8319999999985</v>
      </c>
    </row>
    <row r="7187" spans="1:1" ht="11.75" customHeight="1">
      <c r="A7187" s="1989" t="b">
        <f>IF(D108="PH Low",1*D105/D101*3.6,IF(D108="PH+",0.1))</f>
        <v>0</v>
      </c>
    </row>
    <row r="7188" spans="1:1" ht="11.75" customHeight="1">
      <c r="A7188" s="1989" t="b">
        <f>D108="PH Low"</f>
        <v>0</v>
      </c>
    </row>
    <row r="7189" spans="1:1" ht="11.75" customHeight="1">
      <c r="A7189" s="1989">
        <f>1*D105/D101*3.6</f>
        <v>11.628752089541393</v>
      </c>
    </row>
    <row r="7190" spans="1:1" ht="11.75" customHeight="1">
      <c r="A7190" s="1989">
        <f>1*D105</f>
        <v>8000</v>
      </c>
    </row>
    <row r="7191" spans="1:1" ht="11.75" customHeight="1">
      <c r="A7191" s="1989">
        <f>D101*3.6</f>
        <v>8915.8319999999985</v>
      </c>
    </row>
    <row r="7192" spans="1:1" ht="11.75" customHeight="1">
      <c r="A7192" s="1989" t="b">
        <f>IF(D108="PH+",0.1)</f>
        <v>0</v>
      </c>
    </row>
    <row r="7193" spans="1:1" ht="11.75" customHeight="1">
      <c r="A7193" s="1989" t="b">
        <f>D108="PH+"</f>
        <v>0</v>
      </c>
    </row>
    <row r="7194" spans="1:1" ht="11.75" customHeight="1">
      <c r="A7194" s="1989">
        <f>IF(H20="Present",VLOOKUP(H19,CANADA!A6:K699,9,FALSE),VLOOKUP(H19,CANADA!A6:K699,11,FALSE))</f>
        <v>4600</v>
      </c>
    </row>
    <row r="7195" spans="1:1" ht="11.75" customHeight="1">
      <c r="A7195" s="1989">
        <f>MATCH('NRL50-n-Factors'!D34,'NRL50-n-Factors'!C38:C49,0)</f>
        <v>5</v>
      </c>
    </row>
    <row r="7196" spans="1:1" ht="11.75" customHeight="1">
      <c r="A7196" s="1989">
        <f>MATCH(REPORT!D103,'NRL50-n-Factors'!D37:J37,0)</f>
        <v>2</v>
      </c>
    </row>
    <row r="7197" spans="1:1" ht="11.75" customHeight="1">
      <c r="A7197" s="1989" t="b">
        <f>D51="Gas"</f>
        <v>0</v>
      </c>
    </row>
    <row r="7198" spans="1:1" ht="11.75" customHeight="1">
      <c r="A7198" s="1989" t="b">
        <f>D49="By Engineer"</f>
        <v>0</v>
      </c>
    </row>
    <row r="7199" spans="1:1" ht="11.75" customHeight="1">
      <c r="A7199" s="1989">
        <f>H50*D63*0.0523*365</f>
        <v>38484.432000000001</v>
      </c>
    </row>
    <row r="7200" spans="1:1" ht="11.75" customHeight="1">
      <c r="A7200" s="1990">
        <f>H27-D43</f>
        <v>132765.64793897627</v>
      </c>
    </row>
    <row r="7201" spans="1:1" ht="11.75" customHeight="1">
      <c r="A7201" s="1989" t="b">
        <f>D113="Electricity"</f>
        <v>0</v>
      </c>
    </row>
    <row r="7202" spans="1:1" ht="11.75" customHeight="1">
      <c r="A7202" s="1990">
        <f>I103+K51+D117+M121+I101+I102+M43+SUM(H65:H67)</f>
        <v>265287.6445956853</v>
      </c>
    </row>
    <row r="7203" spans="1:1" ht="11.75" customHeight="1">
      <c r="A7203" s="1990">
        <f>I103+K51+D117+M121+I101+I102+M43</f>
        <v>180897.30859568529</v>
      </c>
    </row>
    <row r="7204" spans="1:1" ht="11.75" customHeight="1">
      <c r="A7204" s="1990">
        <f>I103+K51+D117+M121+I101+I102</f>
        <v>180897.30859568529</v>
      </c>
    </row>
    <row r="7205" spans="1:1" ht="11.75" customHeight="1">
      <c r="A7205" s="1990">
        <f>I103+K51+D117+M121+I101</f>
        <v>164109.06314703665</v>
      </c>
    </row>
    <row r="7206" spans="1:1" ht="11.75" customHeight="1">
      <c r="A7206" s="1990">
        <f>I103+K51+D117+M121</f>
        <v>88005.3704468098</v>
      </c>
    </row>
    <row r="7207" spans="1:1" ht="11.75" customHeight="1">
      <c r="A7207" s="1990">
        <f>I103+K51+D117</f>
        <v>39024.570446809812</v>
      </c>
    </row>
    <row r="7208" spans="1:1" ht="11.75" customHeight="1">
      <c r="A7208" s="1990">
        <f>I103+K51</f>
        <v>36006.531012790423</v>
      </c>
    </row>
    <row r="7209" spans="1:1" ht="11.75" customHeight="1">
      <c r="A7209" s="1989">
        <f>1.21*G108*D20*24/1000*D101</f>
        <v>387079.06311359996</v>
      </c>
    </row>
    <row r="7210" spans="1:1" ht="11.75" customHeight="1">
      <c r="A7210" s="1989">
        <f>1.21*G108*D20*24/1000</f>
        <v>156.29328000000001</v>
      </c>
    </row>
    <row r="7211" spans="1:1" ht="11.75" customHeight="1">
      <c r="A7211" s="1989">
        <f>1.21*G108*D20*24</f>
        <v>156293.28</v>
      </c>
    </row>
    <row r="7212" spans="1:1" ht="11.75" customHeight="1">
      <c r="A7212" s="1989">
        <f>1.21*G108*D20</f>
        <v>6512.22</v>
      </c>
    </row>
    <row r="7213" spans="1:1" ht="11.75" customHeight="1">
      <c r="A7213" s="1989">
        <f>1.21*G108</f>
        <v>1.4157</v>
      </c>
    </row>
    <row r="7214" spans="1:1" ht="11.75" customHeight="1">
      <c r="A7214" s="1989" t="b">
        <f>D108="Measured"</f>
        <v>0</v>
      </c>
    </row>
    <row r="7215" spans="1:1" ht="11.75" customHeight="1">
      <c r="A7215" s="1989">
        <f>G109*D105/D101*3.6</f>
        <v>17.44312813431209</v>
      </c>
    </row>
    <row r="7216" spans="1:1" ht="11.75" customHeight="1">
      <c r="A7216" s="1989">
        <f>G109*D105</f>
        <v>12000</v>
      </c>
    </row>
    <row r="7217" spans="1:1" ht="11.75" customHeight="1">
      <c r="A7217" s="1989">
        <f>D101*3.6</f>
        <v>8915.8319999999985</v>
      </c>
    </row>
    <row r="7218" spans="1:1" ht="11.75" customHeight="1">
      <c r="A7218" s="1989">
        <f>IF(D108="AL-1A",0.89,IF(D108="AL-2A",0.71,IF(D108="AL-3A",0.53,IF(D108="AL-4A",0.35,IF(D108="AL-5A",0.21,IF(D108="AL-1B",1.17,IF(D108="AL-2B",0.98,IF(D108="AL-3B",0.78,IF(D108="AL-4B",0.59,IF(D108="AL-5B",0.39,IF(D108="AL-6B",0.23,IF(D108="PH Classic",0.6*D105/D101*3.6,IF(D108="PH Low",1*D105/D101*3.6,IF(D108="PH+",0.1))))))))))))))</f>
        <v>1.17</v>
      </c>
    </row>
    <row r="7219" spans="1:1" ht="11.75" customHeight="1">
      <c r="A7219" s="1989" t="b">
        <f>D108="AL-1A"</f>
        <v>0</v>
      </c>
    </row>
    <row r="7220" spans="1:1" ht="11.75" customHeight="1">
      <c r="A7220" s="1989">
        <f>IF(D108="AL-2A",0.71,IF(D108="AL-3A",0.53,IF(D108="AL-4A",0.35,IF(D108="AL-5A",0.21,IF(D108="AL-1B",1.17,IF(D108="AL-2B",0.98,IF(D108="AL-3B",0.78,IF(D108="AL-4B",0.59,IF(D108="AL-5B",0.39,IF(D108="AL-6B",0.23,IF(D108="PH Classic",0.6*D105/D101*3.6,IF(D108="PH Low",1*D105/D101*3.6,IF(D108="PH+",0.1)))))))))))))</f>
        <v>1.17</v>
      </c>
    </row>
    <row r="7221" spans="1:1" ht="11.75" customHeight="1">
      <c r="A7221" s="1989" t="b">
        <f>D108="AL-2A"</f>
        <v>0</v>
      </c>
    </row>
    <row r="7222" spans="1:1" ht="11.75" customHeight="1">
      <c r="A7222" s="1989">
        <f>IF(D108="AL-3A",0.53,IF(D108="AL-4A",0.35,IF(D108="AL-5A",0.21,IF(D108="AL-1B",1.17,IF(D108="AL-2B",0.98,IF(D108="AL-3B",0.78,IF(D108="AL-4B",0.59,IF(D108="AL-5B",0.39,IF(D108="AL-6B",0.23,IF(D108="PH Classic",0.6*D105/D101*3.6,IF(D108="PH Low",1*D105/D101*3.6,IF(D108="PH+",0.1))))))))))))</f>
        <v>1.17</v>
      </c>
    </row>
    <row r="7223" spans="1:1" ht="11.75" customHeight="1">
      <c r="A7223" s="1989" t="b">
        <f>D108="AL-3A"</f>
        <v>0</v>
      </c>
    </row>
    <row r="7224" spans="1:1" ht="11.75" customHeight="1">
      <c r="A7224" s="1989">
        <f>IF(D108="AL-4A",0.35,IF(D108="AL-5A",0.21,IF(D108="AL-1B",1.17,IF(D108="AL-2B",0.98,IF(D108="AL-3B",0.78,IF(D108="AL-4B",0.59,IF(D108="AL-5B",0.39,IF(D108="AL-6B",0.23,IF(D108="PH Classic",0.6*D105/D101*3.6,IF(D108="PH Low",1*D105/D101*3.6,IF(D108="PH+",0.1)))))))))))</f>
        <v>1.17</v>
      </c>
    </row>
    <row r="7225" spans="1:1" ht="11.75" customHeight="1">
      <c r="A7225" s="1989" t="b">
        <f>D108="AL-4A"</f>
        <v>0</v>
      </c>
    </row>
    <row r="7226" spans="1:1" ht="11.75" customHeight="1">
      <c r="A7226" s="1989">
        <f>IF(D108="AL-5A",0.21,IF(D108="AL-1B",1.17,IF(D108="AL-2B",0.98,IF(D108="AL-3B",0.78,IF(D108="AL-4B",0.59,IF(D108="AL-5B",0.39,IF(D108="AL-6B",0.23,IF(D108="PH Classic",0.6*D105/D101*3.6,IF(D108="PH Low",1*D105/D101*3.6,IF(D108="PH+",0.1))))))))))</f>
        <v>1.17</v>
      </c>
    </row>
    <row r="7227" spans="1:1" ht="11.75" customHeight="1">
      <c r="A7227" s="1989" t="b">
        <f>D108="AL-5A"</f>
        <v>0</v>
      </c>
    </row>
    <row r="7228" spans="1:1" ht="11.75" customHeight="1">
      <c r="A7228" s="1989">
        <f>IF(D108="AL-1B",1.17,IF(D108="AL-2B",0.98,IF(D108="AL-3B",0.78,IF(D108="AL-4B",0.59,IF(D108="AL-5B",0.39,IF(D108="AL-6B",0.23,IF(D108="PH Classic",0.6*D105/D101*3.6,IF(D108="PH Low",1*D105/D101*3.6,IF(D108="PH+",0.1)))))))))</f>
        <v>1.17</v>
      </c>
    </row>
    <row r="7229" spans="1:1" ht="11.75" customHeight="1">
      <c r="A7229" s="1989" t="b">
        <f>D108="AL-1B"</f>
        <v>1</v>
      </c>
    </row>
    <row r="7230" spans="1:1" ht="11.75" customHeight="1">
      <c r="A7230" s="1989" t="b">
        <f>IF(D108="AL-2B",0.98,IF(D108="AL-3B",0.78,IF(D108="AL-4B",0.59,IF(D108="AL-5B",0.39,IF(D108="AL-6B",0.23,IF(D108="PH Classic",0.6*D105/D101*3.6,IF(D108="PH Low",1*D105/D101*3.6,IF(D108="PH+",0.1))))))))</f>
        <v>0</v>
      </c>
    </row>
    <row r="7231" spans="1:1" ht="11.75" customHeight="1">
      <c r="A7231" s="1989" t="b">
        <f>D108="AL-2B"</f>
        <v>0</v>
      </c>
    </row>
    <row r="7232" spans="1:1" ht="11.75" customHeight="1">
      <c r="A7232" s="1989" t="b">
        <f>IF(D108="AL-3B",0.78,IF(D108="AL-4B",0.59,IF(D108="AL-5B",0.39,IF(D108="AL-6B",0.23,IF(D108="PH Classic",0.6*D105/D101*3.6,IF(D108="PH Low",1*D105/D101*3.6,IF(D108="PH+",0.1)))))))</f>
        <v>0</v>
      </c>
    </row>
    <row r="7233" spans="1:1" ht="11.75" customHeight="1">
      <c r="A7233" s="1989" t="b">
        <f>D108="AL-3B"</f>
        <v>0</v>
      </c>
    </row>
    <row r="7234" spans="1:1" ht="11.75" customHeight="1">
      <c r="A7234" s="1989" t="b">
        <f>IF(D108="AL-4B",0.59,IF(D108="AL-5B",0.39,IF(D108="AL-6B",0.23,IF(D108="PH Classic",0.6*D105/D101*3.6,IF(D108="PH Low",1*D105/D101*3.6,IF(D108="PH+",0.1))))))</f>
        <v>0</v>
      </c>
    </row>
    <row r="7235" spans="1:1" ht="11.75" customHeight="1">
      <c r="A7235" s="1989" t="b">
        <f>D108="AL-4B"</f>
        <v>0</v>
      </c>
    </row>
    <row r="7236" spans="1:1" ht="11.75" customHeight="1">
      <c r="A7236" s="1989" t="b">
        <f>IF(D108="AL-5B",0.39,IF(D108="AL-6B",0.23,IF(D108="PH Classic",0.6*D105/D101*3.6,IF(D108="PH Low",1*D105/D101*3.6,IF(D108="PH+",0.1)))))</f>
        <v>0</v>
      </c>
    </row>
    <row r="7237" spans="1:1" ht="11.75" customHeight="1">
      <c r="A7237" s="1989" t="b">
        <f>D108="AL-5B"</f>
        <v>0</v>
      </c>
    </row>
    <row r="7238" spans="1:1" ht="11.75" customHeight="1">
      <c r="A7238" s="1989" t="b">
        <f>IF(D108="AL-6B",0.23,IF(D108="PH Classic",0.6*D105/D101*3.6,IF(D108="PH Low",1*D105/D101*3.6,IF(D108="PH+",0.1))))</f>
        <v>0</v>
      </c>
    </row>
    <row r="7239" spans="1:1" ht="11.75" customHeight="1">
      <c r="A7239" s="1989" t="b">
        <f>D108="AL-6B"</f>
        <v>0</v>
      </c>
    </row>
    <row r="7240" spans="1:1" ht="11.75" customHeight="1">
      <c r="A7240" s="1989" t="b">
        <f>IF(D108="PH Classic",0.6*D105/D101*3.6,IF(D108="PH Low",1*D105/D101*3.6,IF(D108="PH+",0.1)))</f>
        <v>0</v>
      </c>
    </row>
    <row r="7241" spans="1:1" ht="11.75" customHeight="1">
      <c r="A7241" s="1989" t="b">
        <f>D108="PH Classic"</f>
        <v>0</v>
      </c>
    </row>
    <row r="7242" spans="1:1" ht="11.75" customHeight="1">
      <c r="A7242" s="1989">
        <f>0.6*D105/D101*3.6</f>
        <v>6.9772512537248366</v>
      </c>
    </row>
    <row r="7243" spans="1:1" ht="11.75" customHeight="1">
      <c r="A7243" s="1989">
        <f>0.6*D105</f>
        <v>4800</v>
      </c>
    </row>
    <row r="7244" spans="1:1" ht="11.75" customHeight="1">
      <c r="A7244" s="1989">
        <f>D101*3.6</f>
        <v>8915.8319999999985</v>
      </c>
    </row>
    <row r="7245" spans="1:1" ht="11.75" customHeight="1">
      <c r="A7245" s="1989" t="b">
        <f>IF(D108="PH Low",1*D105/D101*3.6,IF(D108="PH+",0.1))</f>
        <v>0</v>
      </c>
    </row>
    <row r="7246" spans="1:1" ht="11.75" customHeight="1">
      <c r="A7246" s="1989" t="b">
        <f>D108="PH Low"</f>
        <v>0</v>
      </c>
    </row>
    <row r="7247" spans="1:1" ht="11.75" customHeight="1">
      <c r="A7247" s="1989">
        <f>1*D105/D101*3.6</f>
        <v>11.628752089541393</v>
      </c>
    </row>
    <row r="7248" spans="1:1" ht="11.75" customHeight="1">
      <c r="A7248" s="1989">
        <f>1*D105</f>
        <v>8000</v>
      </c>
    </row>
    <row r="7249" spans="1:1" ht="11.75" customHeight="1">
      <c r="A7249" s="1989">
        <f>D101*3.6</f>
        <v>8915.8319999999985</v>
      </c>
    </row>
    <row r="7250" spans="1:1" ht="11.75" customHeight="1">
      <c r="A7250" s="1989" t="b">
        <f>IF(D108="PH+",0.1)</f>
        <v>0</v>
      </c>
    </row>
    <row r="7251" spans="1:1" ht="11.75" customHeight="1">
      <c r="A7251" s="1989" t="b">
        <f>D108="PH+"</f>
        <v>0</v>
      </c>
    </row>
    <row r="7252" spans="1:1" ht="11.75" customHeight="1">
      <c r="A7252" s="1990">
        <f>H27-D43</f>
        <v>132765.64793897627</v>
      </c>
    </row>
    <row r="7253" spans="1:1" ht="11.75" customHeight="1">
      <c r="A7253" s="1989" t="b">
        <f>D113="Electricity"</f>
        <v>0</v>
      </c>
    </row>
    <row r="7254" spans="1:1" ht="11.75" customHeight="1">
      <c r="A7254" s="1990">
        <f>I103+K51+D117+M121+I101+I102+M43+SUM(H65:H67)</f>
        <v>265287.6445956853</v>
      </c>
    </row>
    <row r="7255" spans="1:1" ht="11.75" customHeight="1">
      <c r="A7255" s="1990">
        <f>I103+K51+D117+M121+I101+I102+M43</f>
        <v>180897.30859568529</v>
      </c>
    </row>
    <row r="7256" spans="1:1" ht="11.75" customHeight="1">
      <c r="A7256" s="1990">
        <f>I103+K51+D117+M121+I101+I102</f>
        <v>180897.30859568529</v>
      </c>
    </row>
    <row r="7257" spans="1:1" ht="11.75" customHeight="1">
      <c r="A7257" s="1990">
        <f>I103+K51+D117+M121+I101</f>
        <v>164109.06314703665</v>
      </c>
    </row>
    <row r="7258" spans="1:1" ht="11.75" customHeight="1">
      <c r="A7258" s="1990">
        <f>I103+K51+D117+M121</f>
        <v>88005.3704468098</v>
      </c>
    </row>
    <row r="7259" spans="1:1" ht="11.75" customHeight="1">
      <c r="A7259" s="1990">
        <f>I103+K51+D117</f>
        <v>39024.570446809812</v>
      </c>
    </row>
    <row r="7260" spans="1:1" ht="11.75" customHeight="1">
      <c r="A7260" s="1990">
        <f>I103+K51</f>
        <v>36006.531012790423</v>
      </c>
    </row>
    <row r="7261" spans="1:1" ht="11.75" customHeight="1">
      <c r="A7261" s="1989">
        <f>1.21*G108*D20*24/1000*D101</f>
        <v>387079.06311359996</v>
      </c>
    </row>
    <row r="7262" spans="1:1" ht="11.75" customHeight="1">
      <c r="A7262" s="1989">
        <f>1.21*G108*D20*24/1000</f>
        <v>156.29328000000001</v>
      </c>
    </row>
    <row r="7263" spans="1:1" ht="11.75" customHeight="1">
      <c r="A7263" s="1989">
        <f>1.21*G108*D20*24</f>
        <v>156293.28</v>
      </c>
    </row>
    <row r="7264" spans="1:1" ht="11.75" customHeight="1">
      <c r="A7264" s="1989">
        <f>1.21*G108*D20</f>
        <v>6512.22</v>
      </c>
    </row>
    <row r="7265" spans="1:1" ht="11.75" customHeight="1">
      <c r="A7265" s="1989">
        <f>1.21*G108</f>
        <v>1.4157</v>
      </c>
    </row>
    <row r="7266" spans="1:1" ht="11.75" customHeight="1">
      <c r="A7266" s="1989" t="b">
        <f>D108="Measured"</f>
        <v>0</v>
      </c>
    </row>
    <row r="7267" spans="1:1" ht="11.75" customHeight="1">
      <c r="A7267" s="1989">
        <f>G109*D105/D101*3.6</f>
        <v>17.44312813431209</v>
      </c>
    </row>
    <row r="7268" spans="1:1" ht="11.75" customHeight="1">
      <c r="A7268" s="1989">
        <f>G109*D105</f>
        <v>12000</v>
      </c>
    </row>
    <row r="7269" spans="1:1" ht="11.75" customHeight="1">
      <c r="A7269" s="1989">
        <f>D101*3.6</f>
        <v>8915.8319999999985</v>
      </c>
    </row>
    <row r="7270" spans="1:1" ht="11.75" customHeight="1">
      <c r="A7270" s="1989">
        <f>IF(D108="AL-1A",0.89,IF(D108="AL-2A",0.71,IF(D108="AL-3A",0.53,IF(D108="AL-4A",0.35,IF(D108="AL-5A",0.21,IF(D108="AL-1B",1.17,IF(D108="AL-2B",0.98,IF(D108="AL-3B",0.78,IF(D108="AL-4B",0.59,IF(D108="AL-5B",0.39,IF(D108="AL-6B",0.23,IF(D108="PH Classic",0.6*D105/D101*3.6,IF(D108="PH Low",1*D105/D101*3.6,IF(D108="PH+",0.1))))))))))))))</f>
        <v>1.17</v>
      </c>
    </row>
    <row r="7271" spans="1:1" ht="11.75" customHeight="1">
      <c r="A7271" s="1989" t="b">
        <f>D108="AL-1A"</f>
        <v>0</v>
      </c>
    </row>
    <row r="7272" spans="1:1" ht="11.75" customHeight="1">
      <c r="A7272" s="1989">
        <f>IF(D108="AL-2A",0.71,IF(D108="AL-3A",0.53,IF(D108="AL-4A",0.35,IF(D108="AL-5A",0.21,IF(D108="AL-1B",1.17,IF(D108="AL-2B",0.98,IF(D108="AL-3B",0.78,IF(D108="AL-4B",0.59,IF(D108="AL-5B",0.39,IF(D108="AL-6B",0.23,IF(D108="PH Classic",0.6*D105/D101*3.6,IF(D108="PH Low",1*D105/D101*3.6,IF(D108="PH+",0.1)))))))))))))</f>
        <v>1.17</v>
      </c>
    </row>
    <row r="7273" spans="1:1" ht="11.75" customHeight="1">
      <c r="A7273" s="1989" t="b">
        <f>D108="AL-2A"</f>
        <v>0</v>
      </c>
    </row>
    <row r="7274" spans="1:1" ht="11.75" customHeight="1">
      <c r="A7274" s="1989">
        <f>IF(D108="AL-3A",0.53,IF(D108="AL-4A",0.35,IF(D108="AL-5A",0.21,IF(D108="AL-1B",1.17,IF(D108="AL-2B",0.98,IF(D108="AL-3B",0.78,IF(D108="AL-4B",0.59,IF(D108="AL-5B",0.39,IF(D108="AL-6B",0.23,IF(D108="PH Classic",0.6*D105/D101*3.6,IF(D108="PH Low",1*D105/D101*3.6,IF(D108="PH+",0.1))))))))))))</f>
        <v>1.17</v>
      </c>
    </row>
    <row r="7275" spans="1:1" ht="11.75" customHeight="1">
      <c r="A7275" s="1989" t="b">
        <f>D108="AL-3A"</f>
        <v>0</v>
      </c>
    </row>
    <row r="7276" spans="1:1" ht="11.75" customHeight="1">
      <c r="A7276" s="1989">
        <f>IF(D108="AL-4A",0.35,IF(D108="AL-5A",0.21,IF(D108="AL-1B",1.17,IF(D108="AL-2B",0.98,IF(D108="AL-3B",0.78,IF(D108="AL-4B",0.59,IF(D108="AL-5B",0.39,IF(D108="AL-6B",0.23,IF(D108="PH Classic",0.6*D105/D101*3.6,IF(D108="PH Low",1*D105/D101*3.6,IF(D108="PH+",0.1)))))))))))</f>
        <v>1.17</v>
      </c>
    </row>
    <row r="7277" spans="1:1" ht="11.75" customHeight="1">
      <c r="A7277" s="1989" t="b">
        <f>D108="AL-4A"</f>
        <v>0</v>
      </c>
    </row>
    <row r="7278" spans="1:1" ht="11.75" customHeight="1">
      <c r="A7278" s="1989">
        <f>IF(D108="AL-5A",0.21,IF(D108="AL-1B",1.17,IF(D108="AL-2B",0.98,IF(D108="AL-3B",0.78,IF(D108="AL-4B",0.59,IF(D108="AL-5B",0.39,IF(D108="AL-6B",0.23,IF(D108="PH Classic",0.6*D105/D101*3.6,IF(D108="PH Low",1*D105/D101*3.6,IF(D108="PH+",0.1))))))))))</f>
        <v>1.17</v>
      </c>
    </row>
    <row r="7279" spans="1:1" ht="11.75" customHeight="1">
      <c r="A7279" s="1989" t="b">
        <f>D108="AL-5A"</f>
        <v>0</v>
      </c>
    </row>
    <row r="7280" spans="1:1" ht="11.75" customHeight="1">
      <c r="A7280" s="1989">
        <f>IF(D108="AL-1B",1.17,IF(D108="AL-2B",0.98,IF(D108="AL-3B",0.78,IF(D108="AL-4B",0.59,IF(D108="AL-5B",0.39,IF(D108="AL-6B",0.23,IF(D108="PH Classic",0.6*D105/D101*3.6,IF(D108="PH Low",1*D105/D101*3.6,IF(D108="PH+",0.1)))))))))</f>
        <v>1.17</v>
      </c>
    </row>
    <row r="7281" spans="1:1" ht="11.75" customHeight="1">
      <c r="A7281" s="1989" t="b">
        <f>D108="AL-1B"</f>
        <v>1</v>
      </c>
    </row>
    <row r="7282" spans="1:1" ht="11.75" customHeight="1">
      <c r="A7282" s="1989" t="b">
        <f>IF(D108="AL-2B",0.98,IF(D108="AL-3B",0.78,IF(D108="AL-4B",0.59,IF(D108="AL-5B",0.39,IF(D108="AL-6B",0.23,IF(D108="PH Classic",0.6*D105/D101*3.6,IF(D108="PH Low",1*D105/D101*3.6,IF(D108="PH+",0.1))))))))</f>
        <v>0</v>
      </c>
    </row>
    <row r="7283" spans="1:1" ht="11.75" customHeight="1">
      <c r="A7283" s="1989" t="b">
        <f>D108="AL-2B"</f>
        <v>0</v>
      </c>
    </row>
    <row r="7284" spans="1:1" ht="11.75" customHeight="1">
      <c r="A7284" s="1989" t="b">
        <f>IF(D108="AL-3B",0.78,IF(D108="AL-4B",0.59,IF(D108="AL-5B",0.39,IF(D108="AL-6B",0.23,IF(D108="PH Classic",0.6*D105/D101*3.6,IF(D108="PH Low",1*D105/D101*3.6,IF(D108="PH+",0.1)))))))</f>
        <v>0</v>
      </c>
    </row>
    <row r="7285" spans="1:1" ht="11.75" customHeight="1">
      <c r="A7285" s="1989" t="b">
        <f>D108="AL-3B"</f>
        <v>0</v>
      </c>
    </row>
    <row r="7286" spans="1:1" ht="11.75" customHeight="1">
      <c r="A7286" s="1989" t="b">
        <f>IF(D108="AL-4B",0.59,IF(D108="AL-5B",0.39,IF(D108="AL-6B",0.23,IF(D108="PH Classic",0.6*D105/D101*3.6,IF(D108="PH Low",1*D105/D101*3.6,IF(D108="PH+",0.1))))))</f>
        <v>0</v>
      </c>
    </row>
    <row r="7287" spans="1:1" ht="11.75" customHeight="1">
      <c r="A7287" s="1989" t="b">
        <f>D108="AL-4B"</f>
        <v>0</v>
      </c>
    </row>
    <row r="7288" spans="1:1" ht="11.75" customHeight="1">
      <c r="A7288" s="1989" t="b">
        <f>IF(D108="AL-5B",0.39,IF(D108="AL-6B",0.23,IF(D108="PH Classic",0.6*D105/D101*3.6,IF(D108="PH Low",1*D105/D101*3.6,IF(D108="PH+",0.1)))))</f>
        <v>0</v>
      </c>
    </row>
    <row r="7289" spans="1:1" ht="11.75" customHeight="1">
      <c r="A7289" s="1989" t="b">
        <f>D108="AL-5B"</f>
        <v>0</v>
      </c>
    </row>
    <row r="7290" spans="1:1" ht="11.75" customHeight="1">
      <c r="A7290" s="1989" t="b">
        <f>IF(D108="AL-6B",0.23,IF(D108="PH Classic",0.6*D105/D101*3.6,IF(D108="PH Low",1*D105/D101*3.6,IF(D108="PH+",0.1))))</f>
        <v>0</v>
      </c>
    </row>
    <row r="7291" spans="1:1" ht="11.75" customHeight="1">
      <c r="A7291" s="1989" t="b">
        <f>D108="AL-6B"</f>
        <v>0</v>
      </c>
    </row>
    <row r="7292" spans="1:1" ht="11.75" customHeight="1">
      <c r="A7292" s="1989" t="b">
        <f>IF(D108="PH Classic",0.6*D105/D101*3.6,IF(D108="PH Low",1*D105/D101*3.6,IF(D108="PH+",0.1)))</f>
        <v>0</v>
      </c>
    </row>
    <row r="7293" spans="1:1" ht="11.75" customHeight="1">
      <c r="A7293" s="1989" t="b">
        <f>D108="PH Classic"</f>
        <v>0</v>
      </c>
    </row>
    <row r="7294" spans="1:1" ht="11.75" customHeight="1">
      <c r="A7294" s="1989">
        <f>0.6*D105/D101*3.6</f>
        <v>6.9772512537248366</v>
      </c>
    </row>
    <row r="7295" spans="1:1" ht="11.75" customHeight="1">
      <c r="A7295" s="1989">
        <f>0.6*D105</f>
        <v>4800</v>
      </c>
    </row>
    <row r="7296" spans="1:1" ht="11.75" customHeight="1">
      <c r="A7296" s="1989">
        <f>D101*3.6</f>
        <v>8915.8319999999985</v>
      </c>
    </row>
    <row r="7297" spans="1:1" ht="11.75" customHeight="1">
      <c r="A7297" s="1989" t="b">
        <f>IF(D108="PH Low",1*D105/D101*3.6,IF(D108="PH+",0.1))</f>
        <v>0</v>
      </c>
    </row>
    <row r="7298" spans="1:1" ht="11.75" customHeight="1">
      <c r="A7298" s="1989" t="b">
        <f>D108="PH Low"</f>
        <v>0</v>
      </c>
    </row>
    <row r="7299" spans="1:1" ht="11.75" customHeight="1">
      <c r="A7299" s="1989">
        <f>1*D105/D101*3.6</f>
        <v>11.628752089541393</v>
      </c>
    </row>
    <row r="7300" spans="1:1" ht="11.75" customHeight="1">
      <c r="A7300" s="1989">
        <f>1*D105</f>
        <v>8000</v>
      </c>
    </row>
    <row r="7301" spans="1:1" ht="11.75" customHeight="1">
      <c r="A7301" s="1989">
        <f>D101*3.6</f>
        <v>8915.8319999999985</v>
      </c>
    </row>
    <row r="7302" spans="1:1" ht="11.75" customHeight="1">
      <c r="A7302" s="1989" t="b">
        <f>IF(D108="PH+",0.1)</f>
        <v>0</v>
      </c>
    </row>
    <row r="7303" spans="1:1" ht="11.75" customHeight="1">
      <c r="A7303" s="1989" t="b">
        <f>D108="PH+"</f>
        <v>0</v>
      </c>
    </row>
    <row r="7304" spans="1:1" ht="11.75" customHeight="1">
      <c r="A7304" s="1989">
        <f>IF(H20="Present",VLOOKUP(H19,CANADA!A6:K699,9,FALSE),VLOOKUP(H19,CANADA!A6:K699,11,FALSE))</f>
        <v>4600</v>
      </c>
    </row>
    <row r="7305" spans="1:1" ht="11.75" customHeight="1">
      <c r="A7305" s="1989">
        <f>MATCH('NRL50-n-Factors'!D34,'NRL50-n-Factors'!C38:C49,0)</f>
        <v>5</v>
      </c>
    </row>
    <row r="7306" spans="1:1" ht="11.75" customHeight="1">
      <c r="A7306" s="1989">
        <f>MATCH(REPORT!D103,'NRL50-n-Factors'!D37:J37,0)</f>
        <v>2</v>
      </c>
    </row>
    <row r="7307" spans="1:1" ht="11.75" customHeight="1">
      <c r="A7307" s="1990">
        <f>H27-D43</f>
        <v>132765.64793897627</v>
      </c>
    </row>
    <row r="7308" spans="1:1" ht="11.75" customHeight="1">
      <c r="A7308" s="1989" t="b">
        <f>D113="Electricity"</f>
        <v>0</v>
      </c>
    </row>
    <row r="7309" spans="1:1" ht="11.75" customHeight="1">
      <c r="A7309" s="1990">
        <f>I103+K51+D117+M121+I101+I102+M43+SUM(H65:H67)</f>
        <v>265287.6445956853</v>
      </c>
    </row>
    <row r="7310" spans="1:1" ht="11.75" customHeight="1">
      <c r="A7310" s="1990">
        <f>I103+K51+D117+M121+I101+I102+M43</f>
        <v>180897.30859568529</v>
      </c>
    </row>
    <row r="7311" spans="1:1" ht="11.75" customHeight="1">
      <c r="A7311" s="1990">
        <f>I103+K51+D117+M121+I101+I102</f>
        <v>180897.30859568529</v>
      </c>
    </row>
    <row r="7312" spans="1:1" ht="11.75" customHeight="1">
      <c r="A7312" s="1990">
        <f>I103+K51+D117+M121+I101</f>
        <v>164109.06314703665</v>
      </c>
    </row>
    <row r="7313" spans="1:1" ht="11.75" customHeight="1">
      <c r="A7313" s="1990">
        <f>I103+K51+D117+M121</f>
        <v>88005.3704468098</v>
      </c>
    </row>
    <row r="7314" spans="1:1" ht="11.75" customHeight="1">
      <c r="A7314" s="1990">
        <f>I103+K51+D117</f>
        <v>39024.570446809812</v>
      </c>
    </row>
    <row r="7315" spans="1:1" ht="11.75" customHeight="1">
      <c r="A7315" s="1990">
        <f>I103+K51</f>
        <v>36006.531012790423</v>
      </c>
    </row>
    <row r="7316" spans="1:1" ht="11.75" customHeight="1">
      <c r="A7316" s="1989">
        <f>1.21*G108*D20*24/1000*D101</f>
        <v>387079.06311359996</v>
      </c>
    </row>
    <row r="7317" spans="1:1" ht="11.75" customHeight="1">
      <c r="A7317" s="1989">
        <f>1.21*G108*D20*24/1000</f>
        <v>156.29328000000001</v>
      </c>
    </row>
    <row r="7318" spans="1:1" ht="11.75" customHeight="1">
      <c r="A7318" s="1989">
        <f>1.21*G108*D20*24</f>
        <v>156293.28</v>
      </c>
    </row>
    <row r="7319" spans="1:1" ht="11.75" customHeight="1">
      <c r="A7319" s="1989">
        <f>1.21*G108*D20</f>
        <v>6512.22</v>
      </c>
    </row>
    <row r="7320" spans="1:1" ht="11.75" customHeight="1">
      <c r="A7320" s="1989">
        <f>1.21*G108</f>
        <v>1.4157</v>
      </c>
    </row>
    <row r="7321" spans="1:1" ht="11.75" customHeight="1">
      <c r="A7321" s="1989" t="b">
        <f>D108="Measured"</f>
        <v>0</v>
      </c>
    </row>
    <row r="7322" spans="1:1" ht="11.75" customHeight="1">
      <c r="A7322" s="1989">
        <f>G109*D105/D101*3.6</f>
        <v>17.44312813431209</v>
      </c>
    </row>
    <row r="7323" spans="1:1" ht="11.75" customHeight="1">
      <c r="A7323" s="1989">
        <f>G109*D105</f>
        <v>12000</v>
      </c>
    </row>
    <row r="7324" spans="1:1" ht="11.75" customHeight="1">
      <c r="A7324" s="1989">
        <f>D101*3.6</f>
        <v>8915.8319999999985</v>
      </c>
    </row>
    <row r="7325" spans="1:1" ht="11.75" customHeight="1">
      <c r="A7325" s="1989">
        <f>IF(D108="AL-1A",0.89,IF(D108="AL-2A",0.71,IF(D108="AL-3A",0.53,IF(D108="AL-4A",0.35,IF(D108="AL-5A",0.21,IF(D108="AL-1B",1.17,IF(D108="AL-2B",0.98,IF(D108="AL-3B",0.78,IF(D108="AL-4B",0.59,IF(D108="AL-5B",0.39,IF(D108="AL-6B",0.23,IF(D108="PH Classic",0.6*D105/D101*3.6,IF(D108="PH Low",1*D105/D101*3.6,IF(D108="PH+",0.1))))))))))))))</f>
        <v>1.17</v>
      </c>
    </row>
    <row r="7326" spans="1:1" ht="11.75" customHeight="1">
      <c r="A7326" s="1989" t="b">
        <f>D108="AL-1A"</f>
        <v>0</v>
      </c>
    </row>
    <row r="7327" spans="1:1" ht="11.75" customHeight="1">
      <c r="A7327" s="1989">
        <f>IF(D108="AL-2A",0.71,IF(D108="AL-3A",0.53,IF(D108="AL-4A",0.35,IF(D108="AL-5A",0.21,IF(D108="AL-1B",1.17,IF(D108="AL-2B",0.98,IF(D108="AL-3B",0.78,IF(D108="AL-4B",0.59,IF(D108="AL-5B",0.39,IF(D108="AL-6B",0.23,IF(D108="PH Classic",0.6*D105/D101*3.6,IF(D108="PH Low",1*D105/D101*3.6,IF(D108="PH+",0.1)))))))))))))</f>
        <v>1.17</v>
      </c>
    </row>
    <row r="7328" spans="1:1" ht="11.75" customHeight="1">
      <c r="A7328" s="1989" t="b">
        <f>D108="AL-2A"</f>
        <v>0</v>
      </c>
    </row>
    <row r="7329" spans="1:1" ht="11.75" customHeight="1">
      <c r="A7329" s="1989">
        <f>IF(D108="AL-3A",0.53,IF(D108="AL-4A",0.35,IF(D108="AL-5A",0.21,IF(D108="AL-1B",1.17,IF(D108="AL-2B",0.98,IF(D108="AL-3B",0.78,IF(D108="AL-4B",0.59,IF(D108="AL-5B",0.39,IF(D108="AL-6B",0.23,IF(D108="PH Classic",0.6*D105/D101*3.6,IF(D108="PH Low",1*D105/D101*3.6,IF(D108="PH+",0.1))))))))))))</f>
        <v>1.17</v>
      </c>
    </row>
    <row r="7330" spans="1:1" ht="11.75" customHeight="1">
      <c r="A7330" s="1989" t="b">
        <f>D108="AL-3A"</f>
        <v>0</v>
      </c>
    </row>
    <row r="7331" spans="1:1" ht="11.75" customHeight="1">
      <c r="A7331" s="1989">
        <f>IF(D108="AL-4A",0.35,IF(D108="AL-5A",0.21,IF(D108="AL-1B",1.17,IF(D108="AL-2B",0.98,IF(D108="AL-3B",0.78,IF(D108="AL-4B",0.59,IF(D108="AL-5B",0.39,IF(D108="AL-6B",0.23,IF(D108="PH Classic",0.6*D105/D101*3.6,IF(D108="PH Low",1*D105/D101*3.6,IF(D108="PH+",0.1)))))))))))</f>
        <v>1.17</v>
      </c>
    </row>
    <row r="7332" spans="1:1" ht="11.75" customHeight="1">
      <c r="A7332" s="1989" t="b">
        <f>D108="AL-4A"</f>
        <v>0</v>
      </c>
    </row>
    <row r="7333" spans="1:1" ht="11.75" customHeight="1">
      <c r="A7333" s="1989">
        <f>IF(D108="AL-5A",0.21,IF(D108="AL-1B",1.17,IF(D108="AL-2B",0.98,IF(D108="AL-3B",0.78,IF(D108="AL-4B",0.59,IF(D108="AL-5B",0.39,IF(D108="AL-6B",0.23,IF(D108="PH Classic",0.6*D105/D101*3.6,IF(D108="PH Low",1*D105/D101*3.6,IF(D108="PH+",0.1))))))))))</f>
        <v>1.17</v>
      </c>
    </row>
    <row r="7334" spans="1:1" ht="11.75" customHeight="1">
      <c r="A7334" s="1989" t="b">
        <f>D108="AL-5A"</f>
        <v>0</v>
      </c>
    </row>
    <row r="7335" spans="1:1" ht="11.75" customHeight="1">
      <c r="A7335" s="1989">
        <f>IF(D108="AL-1B",1.17,IF(D108="AL-2B",0.98,IF(D108="AL-3B",0.78,IF(D108="AL-4B",0.59,IF(D108="AL-5B",0.39,IF(D108="AL-6B",0.23,IF(D108="PH Classic",0.6*D105/D101*3.6,IF(D108="PH Low",1*D105/D101*3.6,IF(D108="PH+",0.1)))))))))</f>
        <v>1.17</v>
      </c>
    </row>
    <row r="7336" spans="1:1" ht="11.75" customHeight="1">
      <c r="A7336" s="1989" t="b">
        <f>D108="AL-1B"</f>
        <v>1</v>
      </c>
    </row>
    <row r="7337" spans="1:1" ht="11.75" customHeight="1">
      <c r="A7337" s="1989" t="b">
        <f>IF(D108="AL-2B",0.98,IF(D108="AL-3B",0.78,IF(D108="AL-4B",0.59,IF(D108="AL-5B",0.39,IF(D108="AL-6B",0.23,IF(D108="PH Classic",0.6*D105/D101*3.6,IF(D108="PH Low",1*D105/D101*3.6,IF(D108="PH+",0.1))))))))</f>
        <v>0</v>
      </c>
    </row>
    <row r="7338" spans="1:1" ht="11.75" customHeight="1">
      <c r="A7338" s="1989" t="b">
        <f>D108="AL-2B"</f>
        <v>0</v>
      </c>
    </row>
    <row r="7339" spans="1:1" ht="11.75" customHeight="1">
      <c r="A7339" s="1989" t="b">
        <f>IF(D108="AL-3B",0.78,IF(D108="AL-4B",0.59,IF(D108="AL-5B",0.39,IF(D108="AL-6B",0.23,IF(D108="PH Classic",0.6*D105/D101*3.6,IF(D108="PH Low",1*D105/D101*3.6,IF(D108="PH+",0.1)))))))</f>
        <v>0</v>
      </c>
    </row>
    <row r="7340" spans="1:1" ht="11.75" customHeight="1">
      <c r="A7340" s="1989" t="b">
        <f>D108="AL-3B"</f>
        <v>0</v>
      </c>
    </row>
    <row r="7341" spans="1:1" ht="11.75" customHeight="1">
      <c r="A7341" s="1989" t="b">
        <f>IF(D108="AL-4B",0.59,IF(D108="AL-5B",0.39,IF(D108="AL-6B",0.23,IF(D108="PH Classic",0.6*D105/D101*3.6,IF(D108="PH Low",1*D105/D101*3.6,IF(D108="PH+",0.1))))))</f>
        <v>0</v>
      </c>
    </row>
    <row r="7342" spans="1:1" ht="11.75" customHeight="1">
      <c r="A7342" s="1989" t="b">
        <f>D108="AL-4B"</f>
        <v>0</v>
      </c>
    </row>
    <row r="7343" spans="1:1" ht="11.75" customHeight="1">
      <c r="A7343" s="1989" t="b">
        <f>IF(D108="AL-5B",0.39,IF(D108="AL-6B",0.23,IF(D108="PH Classic",0.6*D105/D101*3.6,IF(D108="PH Low",1*D105/D101*3.6,IF(D108="PH+",0.1)))))</f>
        <v>0</v>
      </c>
    </row>
    <row r="7344" spans="1:1" ht="11.75" customHeight="1">
      <c r="A7344" s="1989" t="b">
        <f>D108="AL-5B"</f>
        <v>0</v>
      </c>
    </row>
    <row r="7345" spans="1:1" ht="11.75" customHeight="1">
      <c r="A7345" s="1989" t="b">
        <f>IF(D108="AL-6B",0.23,IF(D108="PH Classic",0.6*D105/D101*3.6,IF(D108="PH Low",1*D105/D101*3.6,IF(D108="PH+",0.1))))</f>
        <v>0</v>
      </c>
    </row>
    <row r="7346" spans="1:1" ht="11.75" customHeight="1">
      <c r="A7346" s="1989" t="b">
        <f>D108="AL-6B"</f>
        <v>0</v>
      </c>
    </row>
    <row r="7347" spans="1:1" ht="11.75" customHeight="1">
      <c r="A7347" s="1989" t="b">
        <f>IF(D108="PH Classic",0.6*D105/D101*3.6,IF(D108="PH Low",1*D105/D101*3.6,IF(D108="PH+",0.1)))</f>
        <v>0</v>
      </c>
    </row>
    <row r="7348" spans="1:1" ht="11.75" customHeight="1">
      <c r="A7348" s="1989" t="b">
        <f>D108="PH Classic"</f>
        <v>0</v>
      </c>
    </row>
    <row r="7349" spans="1:1" ht="11.75" customHeight="1">
      <c r="A7349" s="1989">
        <f>0.6*D105/D101*3.6</f>
        <v>6.9772512537248366</v>
      </c>
    </row>
    <row r="7350" spans="1:1" ht="11.75" customHeight="1">
      <c r="A7350" s="1989">
        <f>0.6*D105</f>
        <v>4800</v>
      </c>
    </row>
    <row r="7351" spans="1:1" ht="11.75" customHeight="1">
      <c r="A7351" s="1989">
        <f>D101*3.6</f>
        <v>8915.8319999999985</v>
      </c>
    </row>
    <row r="7352" spans="1:1" ht="11.75" customHeight="1">
      <c r="A7352" s="1989" t="b">
        <f>IF(D108="PH Low",1*D105/D101*3.6,IF(D108="PH+",0.1))</f>
        <v>0</v>
      </c>
    </row>
    <row r="7353" spans="1:1" ht="11.75" customHeight="1">
      <c r="A7353" s="1989" t="b">
        <f>D108="PH Low"</f>
        <v>0</v>
      </c>
    </row>
    <row r="7354" spans="1:1" ht="11.75" customHeight="1">
      <c r="A7354" s="1989">
        <f>1*D105/D101*3.6</f>
        <v>11.628752089541393</v>
      </c>
    </row>
    <row r="7355" spans="1:1" ht="11.75" customHeight="1">
      <c r="A7355" s="1989">
        <f>1*D105</f>
        <v>8000</v>
      </c>
    </row>
    <row r="7356" spans="1:1" ht="11.75" customHeight="1">
      <c r="A7356" s="1989">
        <f>D101*3.6</f>
        <v>8915.8319999999985</v>
      </c>
    </row>
    <row r="7357" spans="1:1" ht="11.75" customHeight="1">
      <c r="A7357" s="1989" t="b">
        <f>IF(D108="PH+",0.1)</f>
        <v>0</v>
      </c>
    </row>
    <row r="7358" spans="1:1" ht="11.75" customHeight="1">
      <c r="A7358" s="1989" t="b">
        <f>D108="PH+"</f>
        <v>0</v>
      </c>
    </row>
    <row r="7359" spans="1:1" ht="11.75" customHeight="1">
      <c r="A7359" s="1989">
        <f>IF(H20="Present",VLOOKUP(H19,CANADA!A6:K699,9,FALSE),VLOOKUP(H19,CANADA!A6:K699,11,FALSE))</f>
        <v>4600</v>
      </c>
    </row>
    <row r="7360" spans="1:1" ht="11.75" customHeight="1">
      <c r="A7360" s="1990">
        <f>H27-D43</f>
        <v>132765.64793897627</v>
      </c>
    </row>
    <row r="7361" spans="1:1" ht="11.75" customHeight="1">
      <c r="A7361" s="1989" t="b">
        <f>D113="Electricity"</f>
        <v>0</v>
      </c>
    </row>
    <row r="7362" spans="1:1" ht="11.75" customHeight="1">
      <c r="A7362" s="1990">
        <f>I103+K51+D117+M121+I101+I102+M43+SUM(H65:H67)</f>
        <v>265287.6445956853</v>
      </c>
    </row>
    <row r="7363" spans="1:1" ht="11.75" customHeight="1">
      <c r="A7363" s="1990">
        <f>I103+K51+D117+M121+I101+I102+M43</f>
        <v>180897.30859568529</v>
      </c>
    </row>
    <row r="7364" spans="1:1" ht="11.75" customHeight="1">
      <c r="A7364" s="1990">
        <f>I103+K51+D117+M121+I101+I102</f>
        <v>180897.30859568529</v>
      </c>
    </row>
    <row r="7365" spans="1:1" ht="11.75" customHeight="1">
      <c r="A7365" s="1990">
        <f>I103+K51+D117+M121+I101</f>
        <v>164109.06314703665</v>
      </c>
    </row>
    <row r="7366" spans="1:1" ht="11.75" customHeight="1">
      <c r="A7366" s="1990">
        <f>I103+K51+D117+M121</f>
        <v>88005.3704468098</v>
      </c>
    </row>
    <row r="7367" spans="1:1" ht="11.75" customHeight="1">
      <c r="A7367" s="1990">
        <f>I103+K51+D117</f>
        <v>39024.570446809812</v>
      </c>
    </row>
    <row r="7368" spans="1:1" ht="11.75" customHeight="1">
      <c r="A7368" s="1990">
        <f>I103+K51</f>
        <v>36006.531012790423</v>
      </c>
    </row>
    <row r="7369" spans="1:1" ht="11.75" customHeight="1">
      <c r="A7369" s="1989">
        <f>1.21*G108*D20*24/1000*D101</f>
        <v>387079.06311359996</v>
      </c>
    </row>
    <row r="7370" spans="1:1" ht="11.75" customHeight="1">
      <c r="A7370" s="1989">
        <f>1.21*G108*D20*24/1000</f>
        <v>156.29328000000001</v>
      </c>
    </row>
    <row r="7371" spans="1:1" ht="11.75" customHeight="1">
      <c r="A7371" s="1989">
        <f>1.21*G108*D20*24</f>
        <v>156293.28</v>
      </c>
    </row>
    <row r="7372" spans="1:1" ht="11.75" customHeight="1">
      <c r="A7372" s="1989">
        <f>1.21*G108*D20</f>
        <v>6512.22</v>
      </c>
    </row>
    <row r="7373" spans="1:1" ht="11.75" customHeight="1">
      <c r="A7373" s="1989">
        <f>1.21*G108</f>
        <v>1.4157</v>
      </c>
    </row>
    <row r="7374" spans="1:1" ht="11.75" customHeight="1">
      <c r="A7374" s="1989" t="b">
        <f>D108="Measured"</f>
        <v>0</v>
      </c>
    </row>
    <row r="7375" spans="1:1" ht="11.75" customHeight="1">
      <c r="A7375" s="1989">
        <f>G109*D105/D101*3.6</f>
        <v>17.44312813431209</v>
      </c>
    </row>
    <row r="7376" spans="1:1" ht="11.75" customHeight="1">
      <c r="A7376" s="1989">
        <f>G109*D105</f>
        <v>12000</v>
      </c>
    </row>
    <row r="7377" spans="1:1" ht="11.75" customHeight="1">
      <c r="A7377" s="1989">
        <f>D101*3.6</f>
        <v>8915.8319999999985</v>
      </c>
    </row>
    <row r="7378" spans="1:1" ht="11.75" customHeight="1">
      <c r="A7378" s="1989">
        <f>IF(D108="AL-1A",0.89,IF(D108="AL-2A",0.71,IF(D108="AL-3A",0.53,IF(D108="AL-4A",0.35,IF(D108="AL-5A",0.21,IF(D108="AL-1B",1.17,IF(D108="AL-2B",0.98,IF(D108="AL-3B",0.78,IF(D108="AL-4B",0.59,IF(D108="AL-5B",0.39,IF(D108="AL-6B",0.23,IF(D108="PH Classic",0.6*D105/D101*3.6,IF(D108="PH Low",1*D105/D101*3.6,IF(D108="PH+",0.1))))))))))))))</f>
        <v>1.17</v>
      </c>
    </row>
    <row r="7379" spans="1:1" ht="11.75" customHeight="1">
      <c r="A7379" s="1989" t="b">
        <f>D108="AL-1A"</f>
        <v>0</v>
      </c>
    </row>
    <row r="7380" spans="1:1" ht="11.75" customHeight="1">
      <c r="A7380" s="1989">
        <f>IF(D108="AL-2A",0.71,IF(D108="AL-3A",0.53,IF(D108="AL-4A",0.35,IF(D108="AL-5A",0.21,IF(D108="AL-1B",1.17,IF(D108="AL-2B",0.98,IF(D108="AL-3B",0.78,IF(D108="AL-4B",0.59,IF(D108="AL-5B",0.39,IF(D108="AL-6B",0.23,IF(D108="PH Classic",0.6*D105/D101*3.6,IF(D108="PH Low",1*D105/D101*3.6,IF(D108="PH+",0.1)))))))))))))</f>
        <v>1.17</v>
      </c>
    </row>
    <row r="7381" spans="1:1" ht="11.75" customHeight="1">
      <c r="A7381" s="1989" t="b">
        <f>D108="AL-2A"</f>
        <v>0</v>
      </c>
    </row>
    <row r="7382" spans="1:1" ht="11.75" customHeight="1">
      <c r="A7382" s="1989">
        <f>IF(D108="AL-3A",0.53,IF(D108="AL-4A",0.35,IF(D108="AL-5A",0.21,IF(D108="AL-1B",1.17,IF(D108="AL-2B",0.98,IF(D108="AL-3B",0.78,IF(D108="AL-4B",0.59,IF(D108="AL-5B",0.39,IF(D108="AL-6B",0.23,IF(D108="PH Classic",0.6*D105/D101*3.6,IF(D108="PH Low",1*D105/D101*3.6,IF(D108="PH+",0.1))))))))))))</f>
        <v>1.17</v>
      </c>
    </row>
    <row r="7383" spans="1:1" ht="11.75" customHeight="1">
      <c r="A7383" s="1989" t="b">
        <f>D108="AL-3A"</f>
        <v>0</v>
      </c>
    </row>
    <row r="7384" spans="1:1" ht="11.75" customHeight="1">
      <c r="A7384" s="1989">
        <f>IF(D108="AL-4A",0.35,IF(D108="AL-5A",0.21,IF(D108="AL-1B",1.17,IF(D108="AL-2B",0.98,IF(D108="AL-3B",0.78,IF(D108="AL-4B",0.59,IF(D108="AL-5B",0.39,IF(D108="AL-6B",0.23,IF(D108="PH Classic",0.6*D105/D101*3.6,IF(D108="PH Low",1*D105/D101*3.6,IF(D108="PH+",0.1)))))))))))</f>
        <v>1.17</v>
      </c>
    </row>
    <row r="7385" spans="1:1" ht="11.75" customHeight="1">
      <c r="A7385" s="1989" t="b">
        <f>D108="AL-4A"</f>
        <v>0</v>
      </c>
    </row>
    <row r="7386" spans="1:1" ht="11.75" customHeight="1">
      <c r="A7386" s="1989">
        <f>IF(D108="AL-5A",0.21,IF(D108="AL-1B",1.17,IF(D108="AL-2B",0.98,IF(D108="AL-3B",0.78,IF(D108="AL-4B",0.59,IF(D108="AL-5B",0.39,IF(D108="AL-6B",0.23,IF(D108="PH Classic",0.6*D105/D101*3.6,IF(D108="PH Low",1*D105/D101*3.6,IF(D108="PH+",0.1))))))))))</f>
        <v>1.17</v>
      </c>
    </row>
    <row r="7387" spans="1:1" ht="11.75" customHeight="1">
      <c r="A7387" s="1989" t="b">
        <f>D108="AL-5A"</f>
        <v>0</v>
      </c>
    </row>
    <row r="7388" spans="1:1" ht="11.75" customHeight="1">
      <c r="A7388" s="1989">
        <f>IF(D108="AL-1B",1.17,IF(D108="AL-2B",0.98,IF(D108="AL-3B",0.78,IF(D108="AL-4B",0.59,IF(D108="AL-5B",0.39,IF(D108="AL-6B",0.23,IF(D108="PH Classic",0.6*D105/D101*3.6,IF(D108="PH Low",1*D105/D101*3.6,IF(D108="PH+",0.1)))))))))</f>
        <v>1.17</v>
      </c>
    </row>
    <row r="7389" spans="1:1" ht="11.75" customHeight="1">
      <c r="A7389" s="1989" t="b">
        <f>D108="AL-1B"</f>
        <v>1</v>
      </c>
    </row>
    <row r="7390" spans="1:1" ht="11.75" customHeight="1">
      <c r="A7390" s="1989" t="b">
        <f>IF(D108="AL-2B",0.98,IF(D108="AL-3B",0.78,IF(D108="AL-4B",0.59,IF(D108="AL-5B",0.39,IF(D108="AL-6B",0.23,IF(D108="PH Classic",0.6*D105/D101*3.6,IF(D108="PH Low",1*D105/D101*3.6,IF(D108="PH+",0.1))))))))</f>
        <v>0</v>
      </c>
    </row>
    <row r="7391" spans="1:1" ht="11.75" customHeight="1">
      <c r="A7391" s="1989" t="b">
        <f>D108="AL-2B"</f>
        <v>0</v>
      </c>
    </row>
    <row r="7392" spans="1:1" ht="11.75" customHeight="1">
      <c r="A7392" s="1989" t="b">
        <f>IF(D108="AL-3B",0.78,IF(D108="AL-4B",0.59,IF(D108="AL-5B",0.39,IF(D108="AL-6B",0.23,IF(D108="PH Classic",0.6*D105/D101*3.6,IF(D108="PH Low",1*D105/D101*3.6,IF(D108="PH+",0.1)))))))</f>
        <v>0</v>
      </c>
    </row>
    <row r="7393" spans="1:1" ht="11.75" customHeight="1">
      <c r="A7393" s="1989" t="b">
        <f>D108="AL-3B"</f>
        <v>0</v>
      </c>
    </row>
    <row r="7394" spans="1:1" ht="11.75" customHeight="1">
      <c r="A7394" s="1989" t="b">
        <f>IF(D108="AL-4B",0.59,IF(D108="AL-5B",0.39,IF(D108="AL-6B",0.23,IF(D108="PH Classic",0.6*D105/D101*3.6,IF(D108="PH Low",1*D105/D101*3.6,IF(D108="PH+",0.1))))))</f>
        <v>0</v>
      </c>
    </row>
    <row r="7395" spans="1:1" ht="11.75" customHeight="1">
      <c r="A7395" s="1989" t="b">
        <f>D108="AL-4B"</f>
        <v>0</v>
      </c>
    </row>
    <row r="7396" spans="1:1" ht="11.75" customHeight="1">
      <c r="A7396" s="1989" t="b">
        <f>IF(D108="AL-5B",0.39,IF(D108="AL-6B",0.23,IF(D108="PH Classic",0.6*D105/D101*3.6,IF(D108="PH Low",1*D105/D101*3.6,IF(D108="PH+",0.1)))))</f>
        <v>0</v>
      </c>
    </row>
    <row r="7397" spans="1:1" ht="11.75" customHeight="1">
      <c r="A7397" s="1989" t="b">
        <f>D108="AL-5B"</f>
        <v>0</v>
      </c>
    </row>
    <row r="7398" spans="1:1" ht="11.75" customHeight="1">
      <c r="A7398" s="1989" t="b">
        <f>IF(D108="AL-6B",0.23,IF(D108="PH Classic",0.6*D105/D101*3.6,IF(D108="PH Low",1*D105/D101*3.6,IF(D108="PH+",0.1))))</f>
        <v>0</v>
      </c>
    </row>
    <row r="7399" spans="1:1" ht="11.75" customHeight="1">
      <c r="A7399" s="1989" t="b">
        <f>D108="AL-6B"</f>
        <v>0</v>
      </c>
    </row>
    <row r="7400" spans="1:1" ht="11.75" customHeight="1">
      <c r="A7400" s="1989" t="b">
        <f>IF(D108="PH Classic",0.6*D105/D101*3.6,IF(D108="PH Low",1*D105/D101*3.6,IF(D108="PH+",0.1)))</f>
        <v>0</v>
      </c>
    </row>
    <row r="7401" spans="1:1" ht="11.75" customHeight="1">
      <c r="A7401" s="1989" t="b">
        <f>D108="PH Classic"</f>
        <v>0</v>
      </c>
    </row>
    <row r="7402" spans="1:1" ht="11.75" customHeight="1">
      <c r="A7402" s="1989">
        <f>0.6*D105/D101*3.6</f>
        <v>6.9772512537248366</v>
      </c>
    </row>
    <row r="7403" spans="1:1" ht="11.75" customHeight="1">
      <c r="A7403" s="1989">
        <f>0.6*D105</f>
        <v>4800</v>
      </c>
    </row>
    <row r="7404" spans="1:1" ht="11.75" customHeight="1">
      <c r="A7404" s="1989">
        <f>D101*3.6</f>
        <v>8915.8319999999985</v>
      </c>
    </row>
    <row r="7405" spans="1:1" ht="11.75" customHeight="1">
      <c r="A7405" s="1989" t="b">
        <f>IF(D108="PH Low",1*D105/D101*3.6,IF(D108="PH+",0.1))</f>
        <v>0</v>
      </c>
    </row>
    <row r="7406" spans="1:1" ht="11.75" customHeight="1">
      <c r="A7406" s="1989" t="b">
        <f>D108="PH Low"</f>
        <v>0</v>
      </c>
    </row>
    <row r="7407" spans="1:1" ht="11.75" customHeight="1">
      <c r="A7407" s="1989">
        <f>1*D105/D101*3.6</f>
        <v>11.628752089541393</v>
      </c>
    </row>
    <row r="7408" spans="1:1" ht="11.75" customHeight="1">
      <c r="A7408" s="1989">
        <f>1*D105</f>
        <v>8000</v>
      </c>
    </row>
    <row r="7409" spans="1:1" ht="11.75" customHeight="1">
      <c r="A7409" s="1989">
        <f>D101*3.6</f>
        <v>8915.8319999999985</v>
      </c>
    </row>
    <row r="7410" spans="1:1" ht="11.75" customHeight="1">
      <c r="A7410" s="1989" t="b">
        <f>IF(D108="PH+",0.1)</f>
        <v>0</v>
      </c>
    </row>
    <row r="7411" spans="1:1" ht="11.75" customHeight="1">
      <c r="A7411" s="1989" t="b">
        <f>D108="PH+"</f>
        <v>0</v>
      </c>
    </row>
    <row r="7412" spans="1:1" ht="11.75" customHeight="1">
      <c r="A7412"/>
    </row>
    <row r="7426" spans="1:1" ht="11.75" customHeight="1">
      <c r="A7426"/>
    </row>
    <row r="7442" spans="1:1" ht="11.75" customHeight="1">
      <c r="A7442"/>
    </row>
    <row r="7458" spans="1:1" ht="11.75" customHeight="1">
      <c r="A7458"/>
    </row>
  </sheetData>
  <sheetProtection algorithmName="SHA-512" hashValue="360hwEoa/d9+e/HkpPBHysHJmBKxfqdqWCg0LV3rlTuIciLOv8Np+9TgYuYNvNfw0pDoLDzR3bvgy9l7+UAHbQ==" saltValue="g/bSZ6YwnGr9xLIpjFFb3A==" spinCount="100000" sheet="1" objects="1" scenarios="1"/>
  <mergeCells count="19">
    <mergeCell ref="C151:E151"/>
    <mergeCell ref="C150:M150"/>
    <mergeCell ref="B2:B3"/>
    <mergeCell ref="D14:E14"/>
    <mergeCell ref="D12:E12"/>
    <mergeCell ref="D13:E13"/>
    <mergeCell ref="P26:Q26"/>
    <mergeCell ref="J147:K148"/>
    <mergeCell ref="D15:E15"/>
    <mergeCell ref="D26:E26"/>
    <mergeCell ref="U1:U2"/>
    <mergeCell ref="H26:I26"/>
    <mergeCell ref="L26:M26"/>
    <mergeCell ref="D39:E39"/>
    <mergeCell ref="T1:T2"/>
    <mergeCell ref="K2:M3"/>
    <mergeCell ref="D2:F3"/>
    <mergeCell ref="G2:G3"/>
    <mergeCell ref="H14:I14"/>
  </mergeCells>
  <conditionalFormatting sqref="H109">
    <cfRule type="expression" dxfId="12" priority="14">
      <formula>NOT($D$108="Measured")</formula>
    </cfRule>
  </conditionalFormatting>
  <conditionalFormatting sqref="G109">
    <cfRule type="expression" dxfId="11" priority="13">
      <formula>NOT($D$108="Measured")</formula>
    </cfRule>
  </conditionalFormatting>
  <conditionalFormatting sqref="E49:F49">
    <cfRule type="expression" dxfId="10" priority="11" stopIfTrue="1">
      <formula>NOT($D$49="User Defined")</formula>
    </cfRule>
  </conditionalFormatting>
  <conditionalFormatting sqref="E50:F50">
    <cfRule type="expression" dxfId="9" priority="10">
      <formula>NOT($D$49="By Engineer")</formula>
    </cfRule>
  </conditionalFormatting>
  <conditionalFormatting sqref="G115:M115">
    <cfRule type="expression" dxfId="8" priority="8">
      <formula>NOT($D$113="Gas")</formula>
    </cfRule>
  </conditionalFormatting>
  <conditionalFormatting sqref="G116:L116">
    <cfRule type="expression" dxfId="7" priority="7">
      <formula>AND($D$113&lt;&gt;"Electricity", $D$113&lt;&gt;"Gas")</formula>
    </cfRule>
  </conditionalFormatting>
  <dataValidations count="79">
    <dataValidation type="list" allowBlank="1" showInputMessage="1" showErrorMessage="1" promptTitle="Select a period in Years" prompt="Period related to durability level of building. 30 = Stick Frame Residential. 50 = ICI buildings. 80 = Long-life buildings and 100 = legacy class buildings (Historic, Monumental, etc). Larger number = larger denominator for Lifetime Carbon. " sqref="H13" xr:uid="{0D346148-09DD-F348-98A5-742E974ADF8B}">
      <formula1>"30, 40, 50, 60, 70, 80, 90, 100"</formula1>
    </dataValidation>
    <dataValidation type="list" showInputMessage="1" showErrorMessage="1" sqref="D55 D48" xr:uid="{42B2BF75-21FE-DA48-ACED-A38D03C7822F}">
      <formula1>"Measured, Targeted"</formula1>
    </dataValidation>
    <dataValidation type="list" allowBlank="1" showInputMessage="1" showErrorMessage="1" promptTitle="A.2 NRL50 * Ae" prompt="Select an Airtighness Level. 'Measured' will override defined targets from NECB/NBC. A-suffix = Guarded or Multi-Zone method, B-Suffix = Unguarded or One-Zone method per NBC 9.36.6.4. Use 'Measured' for Part 3 Buildings." sqref="D108" xr:uid="{CDC3607A-71A4-E743-869A-BB87D2501186}">
      <formula1>"Measured, PH Classic, PH Low, PH+, AL-1A, AL-2A, AL-3A, AL-4A, AL-5A, AL-1B, AL-2B, AL-3B, AL-4B, AL-5B, AL-6B"</formula1>
    </dataValidation>
    <dataValidation type="list" allowBlank="1" showInputMessage="1" showErrorMessage="1" promptTitle="Building Typology" prompt="Select a Building Typology_x000a_Or select 'Modelled Value' if you have calclated it with external software. " sqref="D39" xr:uid="{32F84EDF-10FF-7748-82AF-FCB3A24BD305}">
      <formula1>"Pt.9 Res. Stick Frame, Pt.9 Small Mass Timber, Pt.3 Mass Timber, Pt.3 Concrete, Pt.3 Steel, Pt.3 Office, Modelled Value"</formula1>
    </dataValidation>
    <dataValidation type="list" allowBlank="1" showInputMessage="1" showErrorMessage="1" promptTitle="Cooling Provided?" prompt="No: No Cooling Provided_x000a_Yes: Cooling by Primary M.1.0 System _x000a_Yes: Dedicated Cooling System " sqref="D116" xr:uid="{DDCD8D41-E85C-DE43-AF99-935F151EA4B6}">
      <formula1>"Cooling, No Cooling"</formula1>
    </dataValidation>
    <dataValidation type="list" allowBlank="1" showInputMessage="1" showErrorMessage="1" promptTitle="Year Data Entered" prompt="Select a Reporting Period. This will determine Annualized Emissions Factors and Forecasted Factors per the Toronto Atmospheric Fund. " sqref="H12" xr:uid="{9803A44F-AA27-D142-93D3-3B1A1AE90231}">
      <formula1>"2015, 2016, 2017, 2018, 2019, 2020, 2021, 2022, 2023, 2024, 2025, 2026, 2027, 2028, 2029, 2030, 2031, 2032, 2033, 2034, 2035, 2036, 2037, 2038, 2039, 2040, 2041"</formula1>
    </dataValidation>
    <dataValidation type="list" allowBlank="1" showInputMessage="1" showErrorMessage="1" promptTitle="DHW/SHW Heating Source" prompt="Select DHW Energy Source" sqref="D51" xr:uid="{26C60933-DE7D-7B40-8DAC-A559F18A88BB}">
      <formula1>"Electric, Heatpump, Gas"</formula1>
    </dataValidation>
    <dataValidation type="list" allowBlank="1" showInputMessage="1" showErrorMessage="1" promptTitle="Ventilation Boost Rate" sqref="L119" xr:uid="{413318BB-2354-5446-B994-8D8252BFDAD4}">
      <formula1>"None, 1.10, 1.20, 1.30, 1.40, 1.50, 1.60, 1.70, 1.80, 1.90, 2.00"</formula1>
    </dataValidation>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H118" xr:uid="{BC2AB4EC-B7E7-5C49-8587-65DD774981E3}">
      <formula1>"Volume Constant, Volume by Schedule, Occupant Constant, Occupant by Schedule"</formula1>
    </dataValidation>
    <dataValidation type="list" allowBlank="1" showInputMessage="1" showErrorMessage="1" promptTitle="Climate Zone per n-Factor Table" prompt="Most of Canada uses Zone 2. _x000a_Southern SK &amp; MB use Zone 1. _x000a_Southern BC uses Zone 3. _x000a_refer to Map on NRL50 n-Factors tab if uncertain" sqref="I110" xr:uid="{341C6A63-7C36-7E4E-A351-E5D918AA2675}">
      <formula1>"1, 2, 3, 4"</formula1>
    </dataValidation>
    <dataValidation type="list" allowBlank="1" showInputMessage="1" showErrorMessage="1" promptTitle="Select Stories" prompt="Only 3 stories per NRC Testing Data. Anything over 3 Stories is a theoretical extrapolation. " sqref="D103" xr:uid="{745DEFFC-9A22-E04F-B2A2-7E5F62339B77}">
      <formula1>"1, 1.5, 2, 3, 4, 5, 6"</formula1>
    </dataValidation>
    <dataValidation type="list" allowBlank="1" showInputMessage="1" showErrorMessage="1" sqref="G103" xr:uid="{23B60377-3808-6A48-A295-084F0ACFB3BF}">
      <formula1>"Shielded, Normal, Exposed"</formula1>
    </dataValidation>
    <dataValidation type="list" allowBlank="1" showInputMessage="1" showErrorMessage="1" promptTitle="Low or Regular Energy Spec" prompt="Select whether this is a Low Energy Specification or Regular Energy" sqref="G67:G68" xr:uid="{8812FE41-939D-2B4A-898D-ACD95B40D772}">
      <formula1>"Regular, Low Energy"</formula1>
    </dataValidation>
    <dataValidation type="list" allowBlank="1" showInputMessage="1" showErrorMessage="1" promptTitle="Select Cooling System" prompt="Yes: Cooling Provided, No: No Mechanical Cooling Provision" sqref="D116" xr:uid="{0E93DDBC-7566-CD40-B16C-D4171241E9BD}">
      <formula1>"Yes, No"</formula1>
    </dataValidation>
    <dataValidation allowBlank="1" showInputMessage="1" showErrorMessage="1" promptTitle="TB Penalty" prompt="For PH projects enter min. 5% to account for Construction Error, Unaccounted for TB. Enter between 5- 70% depending on level of effort to mitigate Thermal Bridges.  " sqref="D97" xr:uid="{E814F204-1337-9344-A622-3C6C6B7B598E}"/>
    <dataValidation type="list" allowBlank="1" showInputMessage="1" showErrorMessage="1" promptTitle="Select Calculation Method" prompt="Static: Conventional Thermal Transfer_x000a_Capacitance: Simulates Thermal Mass Transfer &amp; Storage Characteristics (uses G.4.2) - 50% assumes equilibrium reached_x000a__x000a_Capacitance only if sub-grade surfaces form part of conditioned volume" sqref="H21" xr:uid="{728DB7AA-844E-C642-A39C-C9B0D9EC1BD9}">
      <formula1>"Static, Capacitance"</formula1>
    </dataValidation>
    <dataValidation allowBlank="1" showInputMessage="1" showErrorMessage="1" promptTitle="A Note on Methods:" prompt="NRC: 40-60% for Canadian Light-Wood Framed Buildings_x000a_PHPP: Calculated (use for PH projects). _x000a__x000a_Intermittent Occupancy and Low Mass buildings should enter 0%_x000a_High Mass Buildings with regular occupancy can use 60%" sqref="G80" xr:uid="{FA0BF8F3-44BF-A843-919E-5354AA6B7735}"/>
    <dataValidation allowBlank="1" showInputMessage="1" showErrorMessage="1" promptTitle="Capacitance Factor" prompt="Fakes a value (0-50% max.) for ground-facing elements, that absorb some excess thermal energy. Cooling season is short in Canada and mass-y elements eventually reach equilibrium/steady-state. Enter 0% when subgrade elements are not part of conditioned vol" sqref="I21" xr:uid="{731339EB-FABF-FE48-94DF-98C1B0D29C50}"/>
    <dataValidation type="list" allowBlank="1" showInputMessage="1" showErrorMessage="1" promptTitle="A Note on Methods:" prompt="NRC: 0% = Intermittent Occupancies_x000a_NRC: 40% = Light-Wood Framed Buildings_x000a_NRC: 50% = Light-Wood Buildings + Transfer Strategies_x000a_NRC: 60% = Massive Buildings + Transfer Strategies_x000a_PH Method: Approximation of PHPP" sqref="D80" xr:uid="{E9E620E5-CF0E-4746-9528-96DC11654B41}">
      <formula1>"NRC 0%, NRC 40%, NRC 50%, NRC 60%, PH Method"</formula1>
    </dataValidation>
    <dataValidation type="list" allowBlank="1" showInputMessage="1" showErrorMessage="1" promptTitle="Municpality" prompt="Select a Muncipality from the Drop-Down" sqref="H19" xr:uid="{AC330C5C-A8BB-AA4E-B34C-1F6CCA53CFAC}">
      <formula1>INDIRECT(D19)</formula1>
    </dataValidation>
    <dataValidation type="list" allowBlank="1" showInputMessage="1" showErrorMessage="1" promptTitle="Occupied Hours" prompt="0 = Typically Unoccupied_x000a_8 = Typical Biz. Hours_x000a_10 = Extended Biz. Hours_x000a_12 = Typical Res. Profile_x000a_16 = WFH Profile_x000a_24 = Intensive Use Profile" sqref="G63" xr:uid="{E1FC3F42-D08E-3447-94D3-C184F3C13948}">
      <formula1>"0, 8, 10, 12, 16, 24"</formula1>
    </dataValidation>
    <dataValidation type="list" allowBlank="1" showInputMessage="1" showErrorMessage="1" promptTitle="Average Daily Metabolic Rate" prompt="Activity Levels lookup: Schedules tab, per ASHRAE values. " sqref="D64" xr:uid="{A14EC809-9D50-4343-AD4A-4C360F986B59}">
      <formula1>"Relaxed, Normal, Active, Hyperactive"</formula1>
    </dataValidation>
    <dataValidation type="list" allowBlank="1" showInputMessage="1" showErrorMessage="1" promptTitle="Solar Heat Gain Coefficient" prompt="0.5 = 50% Gain Permitted (Default)_x000a_Higher Numbers Increase Solar Heat Gain (Reduces Heating)_x000a_Lower Numbers Reduce Solar Heat Gain (Reduces Cooling)" sqref="F73:F78" xr:uid="{818CFC8D-7398-AC42-ADD1-DAB72CE741D6}">
      <formula1>"0.20, 0.25, 0.30, 0.35, 0.40, 0.45, 0.50, 0.55, 0.60"</formula1>
    </dataValidation>
    <dataValidation type="list" allowBlank="1" showInputMessage="1" showErrorMessage="1" promptTitle="Select Primary Heating System" prompt="Select Electric, Heatpump or Gas and note defined efficiency inputs (HSPF or AFUE). Electricity is assumed 100% efficient. " sqref="D113" xr:uid="{5FFE0D81-6A44-7147-A67E-9D3D6271559F}">
      <formula1>"Heatpump, Electricity, Gas"</formula1>
    </dataValidation>
    <dataValidation allowBlank="1" showInputMessage="1" showErrorMessage="1" promptTitle="Enter Percapita Metered Use" prompt="Assume 220 litres/pp/day per NBC 9.36. Assume 40% of this is DHW or 88 litres/pp/day DHW. " sqref="H49 D54" xr:uid="{BB92925C-CA8D-1B42-A3B7-04C4DB65015B}"/>
    <dataValidation allowBlank="1" showInputMessage="1" showErrorMessage="1" promptTitle="If Heatpump Selected" prompt="EF can be greater than 100%, ie. COP 1.5 = 150%" sqref="D52" xr:uid="{8B969BA4-309A-1348-865B-AA12EBA8D62D}"/>
    <dataValidation allowBlank="1" showInputMessage="1" showErrorMessage="1" promptTitle="Range of DWHR Efficiency" prompt="0-75%, with 40% a common Residential Unit Efficiency" sqref="D53" xr:uid="{B411F892-8747-D04E-8F0E-2849CF5F3017}"/>
    <dataValidation allowBlank="1" showInputMessage="1" showErrorMessage="1" promptTitle="Occupancy-Dependent Calculation" prompt="If non-Residential Occupancy Selected, this number will be used" sqref="E50" xr:uid="{8E8753B5-D29F-0C4F-B8EA-31A1E8D509F8}"/>
    <dataValidation allowBlank="1" showInputMessage="1" showErrorMessage="1" promptTitle="Cooling Days are Increasing" prompt="120 is Typical in Canada, but with warming climate, this can add 20-40 days. This will affect both cooling setpoints and occupant schedules. " sqref="M19" xr:uid="{B63FBDC6-B933-6F48-BBD5-30471C5216F7}"/>
    <dataValidation allowBlank="1" showInputMessage="1" showErrorMessage="1" promptTitle="Cooling Guidance" prompt="ASHRAE may permit 26ºC, where NBC 2025 may require 24ºC. Residents will often set lower. Use 24ºC as Default for design. " sqref="D80:D81 D64 H24 D25" xr:uid="{59610E11-9C9B-E641-A251-1E14C7E7D5EE}"/>
    <dataValidation allowBlank="1" showInputMessage="1" showErrorMessage="1" promptTitle="Calculation Dependency" prompt="This field will not form part of calculations unless B.18.1 'Measured' is selected as the _x000a_Method. " sqref="G109" xr:uid="{955CA010-A4F9-FA46-920F-BB0E168E023C}"/>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F113" xr:uid="{58FD3DC8-D01D-0348-9C25-1786195798D4}"/>
    <dataValidation allowBlank="1" showInputMessage="1" showErrorMessage="1" promptTitle="Typ. Range 50-90%" prompt="Refer to Reference Standard Requirements" sqref="D118" xr:uid="{7082B898-A8FD-7445-9E2D-BF0D36C4A604}"/>
    <dataValidation allowBlank="1" showInputMessage="1" showErrorMessage="1" promptTitle="Ventilation Guidance" prompt="8.33 l/s is Default, 12.5 l/s is considered best practice" sqref="D119" xr:uid="{C0D54EAD-FE9B-614F-94EF-73C603E773FF}"/>
    <dataValidation allowBlank="1" showInputMessage="1" showErrorMessage="1" promptTitle="Default is 0" prompt="Only enter if planned outdoor loads are known, ie. Exterior Lighting, Pumps, Heat-Tracing, Snow-Melting, etc. " sqref="M43" xr:uid="{1140F47D-FA57-DE4A-92DA-0BD3B6DD8CD3}"/>
    <dataValidation allowBlank="1" showInputMessage="1" showErrorMessage="1" promptTitle="Assume $0.13/kwh" prompt="Delivery Charges, Debt Retirement, Rebates, TOU rates and Taxes May Vary. Enter Gross Value to closer approximate complete Utility Bill Costs" sqref="L12" xr:uid="{B4FD73C0-B860-F942-9F44-5BDE3A721A34}"/>
    <dataValidation allowBlank="1" showInputMessage="1" showErrorMessage="1" promptTitle="Assume $0.122 (Ontario)" prompt="Adjust for Different Regions, be sure to add any tax &amp; delivery to totals. " sqref="L141" xr:uid="{33A7E370-0421-FB49-982A-1A23DB482F6A}"/>
    <dataValidation type="list" allowBlank="1" showInputMessage="1" showErrorMessage="1" promptTitle="Select a Province" prompt="Enter the 2-digit Province abbreviation" sqref="D19" xr:uid="{2065CF4F-A60C-714F-8B0A-CD98C12A4FB0}">
      <formula1>"AB, BC, MB, NB, NL, NS, NT, NU, ON, PE, QC, SK, YT "</formula1>
    </dataValidation>
    <dataValidation type="list" allowBlank="1" showInputMessage="1" showErrorMessage="1" promptTitle="Weather Data Range" prompt="Present: Historical to Current Values Used (2025)_x000a_Future: 2021-2050 Projected Values Used" sqref="H20" xr:uid="{C721CEBB-FA3B-8A40-AE8A-EC329AAC18C0}">
      <formula1>"Future, Present"</formula1>
    </dataValidation>
    <dataValidation type="list" allowBlank="1" showInputMessage="1" showErrorMessage="1" promptTitle="Select Ventilation Method" prompt="Volume-Based (Constant)_x000a_Demand-Based (per Occupant)_x000a_CO2-Based (per Occupant x Occupied)" sqref="H118" xr:uid="{502AACD0-989A-6040-9A44-2D8853299E4E}">
      <formula1>"Volume-Based, Demand-Based, CO2-Based"</formula1>
    </dataValidation>
    <dataValidation allowBlank="1" showInputMessage="1" showErrorMessage="1" promptTitle="ACH Value" prompt="Refer to ASHRAE 90.1_x000a_Offices: 4-6_x000a_Schools: 3-6_x000a_Retail: 3-5_x000a_Healthcare: 6-15_x000a_Residential: 0.35-1.0" sqref="L118" xr:uid="{A8C6C667-2634-0141-AA6B-30A8F1F4D3EB}"/>
    <dataValidation type="list" allowBlank="1" showInputMessage="1" showErrorMessage="1" promptTitle="Select a Method" prompt="Targeted Use: All Design Phases_x000a_Utility Bills: Read from Meters, 12mos. Post-Occupancy" sqref="D14:E14" xr:uid="{CF1C2994-7E5D-AF42-9CD6-25AF2D1C452E}">
      <formula1>"Targeted Use, Utility Bills"</formula1>
    </dataValidation>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49" xr:uid="{F655B6A9-47EA-0E49-98EC-ABEEBE85E163}">
      <formula1>"User Defined, PHPP Method, NBC Method, OBC Method, Luxury, By Engineer"</formula1>
    </dataValidation>
    <dataValidation allowBlank="1" showInputMessage="1" showErrorMessage="1" promptTitle="Conditioned Volume " prompt="Measure this volume as bounded by the interiormost faces of all walls, roofs, floors facing Ae and Ag. Treat entire building as one-zone. " sqref="D105" xr:uid="{40922FEE-8C3D-D841-9CE0-7BD2D24C124F}"/>
    <dataValidation allowBlank="1" showInputMessage="1" showErrorMessage="1" promptTitle="Electricity" prompt="Enter a number here only if you have Utility Bill data. If none are yet available, be sure to select 'S.2 Targeted Use' mode. " sqref="D27" xr:uid="{00DBF308-E6AC-1541-90BA-F21A570040B9}"/>
    <dataValidation allowBlank="1" showInputMessage="1" showErrorMessage="1" promptTitle="Gas" prompt="Enter a number here only if you have Utility Bill data. If none are yet available, be sure to select 'S.2 Targeted Use' mode. " sqref="D28" xr:uid="{AD9C3403-2A1E-C647-AC68-7DB50B19DA9F}"/>
    <dataValidation allowBlank="1" showInputMessage="1" showErrorMessage="1" promptTitle="Propane" prompt="Enter a number here only if you have Utility Bill data. If none are yet available, be sure to select 'S.2 Targeted Use' mode. " sqref="D29" xr:uid="{1FC4C8ED-B199-3546-8788-B4C3C23A19F6}"/>
    <dataValidation allowBlank="1" showInputMessage="1" showErrorMessage="1" promptTitle="Oil " prompt="Enter a number here only if you have Utility Bill data. If none are yet available, be sure to select 'S.2 Targeted Use' mode. " sqref="D30" xr:uid="{6BE91956-00F2-4941-ADAE-45AEDD02B3C5}"/>
    <dataValidation allowBlank="1" showInputMessage="1" showErrorMessage="1" promptTitle="Wood" prompt="Enter a number here only if you have Utility Bill data. If none are yet available, be sure to select 'S.2 Targeted Use' mode. " sqref="D31" xr:uid="{2A299FDB-1138-0248-A028-8C86FBD39F40}"/>
    <dataValidation allowBlank="1" showInputMessage="1" showErrorMessage="1" promptTitle="Externally Defined Value" prompt="ONLY Select this option if Embodied Carbon must be calculated using an external tool. otherwise a guidance value will be calculated from the Building Construction Typology selected to the left. " sqref="I41" xr:uid="{2137AC71-B5C7-8A43-84B6-B87C9069F161}"/>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35" xr:uid="{6DE2EF70-490E-AF42-B278-CE98C7A0CCB6}"/>
    <dataValidation allowBlank="1" showInputMessage="1" showErrorMessage="1" promptTitle="Gains Factor Derivation" prompt="From Hourly Modelling for Toronto Latitude: 0.5 SHGC at Mid-wall placement self-shading and 40% DST and 52% TST Assumed" sqref="M72" xr:uid="{2AACAB24-0D36-2242-9865-C584E195DB45}"/>
    <dataValidation allowBlank="1" showInputMessage="1" showErrorMessage="1" promptTitle="n-Factor Description" prompt="Naturalizes air leakage from pressure test results" sqref="G110" xr:uid="{66C29B15-BA3D-9B4F-AFE1-A49FF4F59B75}"/>
    <dataValidation type="list" allowBlank="1" showInputMessage="1" showErrorMessage="1" promptTitle="Select an Orientation" prompt="This determines gains based on the Solar Gains Factor in Column 'M'" sqref="E73:E77" xr:uid="{5C175172-CFD5-8B4E-BE9B-2AD5B3F665B3}">
      <formula1>"Average, North, NorthEast, East, SouthEast, South, SouthWest, West, NorthWest"</formula1>
    </dataValidation>
    <dataValidation allowBlank="1" showInputMessage="1" showErrorMessage="1" promptTitle="Total Excludes B.12 TB Penalty" sqref="J98 L98 L104" xr:uid="{2AFDF658-91E1-924B-A6C8-4F6721D2EB25}"/>
    <dataValidation allowBlank="1" showInputMessage="1" showErrorMessage="1" promptTitle="Default is 1.5" prompt="Default is 1.5" sqref="D66" xr:uid="{591666C0-D38E-FD43-8E9E-4D63D0031F21}"/>
    <dataValidation allowBlank="1" showInputMessage="1" showErrorMessage="1" promptTitle="Default determined by Occupancy" prompt="Default determined by Occupancy" sqref="D65" xr:uid="{97FDE5AB-1F80-984A-BE50-9CDA3BD14AB3}"/>
    <dataValidation allowBlank="1" showInputMessage="1" showErrorMessage="1" promptTitle="Default Determined by Occupancy" prompt="Default Determined by Occupancy" sqref="D67" xr:uid="{FFE5EBFA-F04B-3548-B4F3-A5DD939263BB}"/>
    <dataValidation type="list" allowBlank="1" showInputMessage="1" showErrorMessage="1" promptTitle="Select an Orientation" prompt="This determines average radiant gains based on the Solar Gains Factor in Column 'M'. Skylights are considered 'flat' (75kWh/m2/yr). If skylights are pitched Southwards, this Gains Factor may be closer to 100 kWh/m2/yr. " sqref="E78" xr:uid="{F2EB03CE-C2F2-9F44-9EA5-1A0574104665}">
      <formula1>"Average, North, NorthEast, East, SouthEast, South, SouthWest, West, NorthWest, Skylight"</formula1>
    </dataValidation>
    <dataValidation allowBlank="1" showInputMessage="1" showErrorMessage="1" promptTitle="Occupants" prompt="Enter the number of declared Occupants (ie. per OBC) but consider full Occupant loads rarely occur. If Occupant loads are known, enter the typical average. " sqref="D63" xr:uid="{1758B23D-75D9-334E-B472-5D0C2F7D3CD0}"/>
    <dataValidation type="list" allowBlank="1" showInputMessage="1" showErrorMessage="1" promptTitle="Carbon Benchmark" prompt="Enter relevant standard otherwise 'Self Reported'. If no A1-3 Embodied carbon has been calculated using another tool, select 'Not Reported' to use default values (Upset Limits from TGS4)" sqref="D15:E15" xr:uid="{64DBED84-208E-7543-A828-AC315C80D7CF}">
      <formula1>"BR18 (Denmark), IPCC AR6 EPC, IPCC AR6 EA, TGS4, CaGBC ZCB D, CaGBC ZCB P, Self Reported, Not Reported"</formula1>
    </dataValidation>
    <dataValidation allowBlank="1" showInputMessage="1" showErrorMessage="1" promptTitle="S4. Targets" prompt="IPCC AR6 EPC = Equal PerCapita method to limit to 1.5ºC_x000a_IPCC AR6 EA = Equity-Adjusted method to limit to 1.5ºC_x000a_(refer to Worksheet S.3 Carbon Standards)" sqref="D16" xr:uid="{23050FF1-9309-6F4E-A635-BBCDD93DB9EB}"/>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60 D32" xr:uid="{359D5159-45D3-DC4A-BC87-43ADF5CB84C8}"/>
    <dataValidation type="list" allowBlank="1" showInputMessage="1" showErrorMessage="1" promptTitle="Include Elevator Load" prompt="Select Yes or No to indicate whether an elevator forms part of the Equipment load." sqref="G67:G68 D68" xr:uid="{46E78910-C056-E348-A394-0A967229D301}">
      <formula1>"Elevators, No Elevators"</formula1>
    </dataValidation>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G54 E54" xr:uid="{B3E4A893-62A4-5741-888F-54365C7638C4}"/>
    <dataValidation type="list" allowBlank="1" showInputMessage="1" showErrorMessage="1" promptTitle="Cooling Guidance" prompt="ASHRAE may permit 26ºC, where NBC 2025 may require 24ºC. Residents will often set lower. Use 24ºC as Default for design. " sqref="D68" xr:uid="{BC8F8831-7A24-014D-865F-ADABAD197F0F}">
      <formula1>"Elevators, No Elevators"</formula1>
    </dataValidation>
    <dataValidation allowBlank="1" showInputMessage="1" showErrorMessage="1" promptTitle="Project Name" prompt="You may anonymize any owner info here. Use a project number or location or secret code name. Useful also for naming variations of your OBJECTIVE models ie. Run 1, 2, 3, etc." sqref="H14" xr:uid="{0B5E310F-9C8F-4843-AA09-5B530A0AF6D1}"/>
    <dataValidation allowBlank="1" showInputMessage="1" showErrorMessage="1" promptTitle="RH% Annual Average" prompt="This cell can report average annual RH% when available. Future development of OBJECTIVE will break this out into Seasonal Averages to better model heating and cooling loads, which, when combined w V.1.1 can have a significant effect on TEUI." sqref="D59" xr:uid="{0F5F78B0-42E7-254A-9D49-578553CA4800}"/>
    <dataValidation allowBlank="1" showInputMessage="1" showErrorMessage="1" promptTitle="B.11 Interior Floors" prompt="This input value DOES NOT participate in heatloss calculations, and includes conditioned and non-conditioned area ONLY as a denominator for Embodied Carbon Intensity metrics and standards in E.3.2. " sqref="D96" xr:uid="{35A30F76-018D-424E-8539-36943D0A153D}"/>
    <dataValidation allowBlank="1" showInputMessage="1" showErrorMessage="1" promptTitle="P.5 Special Loads" prompt="P.5 Exterior Site or Special Loads not contributing heat gains (kWh/yr)_x000a_Examples: Refrigeration, Parking Lot or Site Lighting, etc." sqref="M43" xr:uid="{9A782FC8-E38D-8B49-8539-6B3DE1E48330}"/>
    <dataValidation allowBlank="1" showInputMessage="1" showErrorMessage="1" promptTitle="Calculation Dependency" prompt="This field will not form part of calculations unless B.18.1 'Measured' is selected as the Method. " sqref="H109" xr:uid="{1E33C80E-A0B3-B048-B126-35436316F6CE}"/>
    <dataValidation allowBlank="1" showInputMessage="1" showErrorMessage="1" promptTitle="Litres/Per-Person/Day" prompt="Enter a value for Total Water Per Day. If you are trying to match values from a water meter, divide the meter value by 365 and then again by #Occupants. " sqref="E49:F49 F50" xr:uid="{C5521EDC-4C5E-444D-A5D9-B43CE9B45946}"/>
    <dataValidation allowBlank="1" showInputMessage="1" showErrorMessage="1" promptTitle="Assume $0.507 (Ontario)" prompt="Adjust for Different Regions, be sure to add any fees, charges, tax &amp; delivery to totals. " sqref="L13" xr:uid="{B70EE649-7131-2349-A653-5606AAE0F451}"/>
    <dataValidation allowBlank="1" showInputMessage="1" showErrorMessage="1" promptTitle="Assume $1.62 (Ontario)" prompt="Adjust for Different Regions, be sure to add any fees, charges, tax &amp; delivery to totals. " sqref="L14" xr:uid="{FA28FF25-4F36-4E41-8D37-B0F3F35CD0D3}"/>
    <dataValidation allowBlank="1" showInputMessage="1" showErrorMessage="1" promptTitle="Assume $180/m3 (Ontario)" prompt="Adjust for Different Regions, be sure to add any tax &amp; delivery to totals. " sqref="L15" xr:uid="{A1A5F542-C7D4-E04C-B137-CAB6DF5AAFE1}"/>
    <dataValidation allowBlank="1" showInputMessage="1" showErrorMessage="1" promptTitle="Assume $1.50 (Ontario)" prompt="Adjust for Different Regions, be sure to add any charges, fees, tax &amp; delivery to totals. " sqref="L16" xr:uid="{F7339C4A-1FA1-8B4B-B765-64EE2C7298D9}"/>
    <dataValidation allowBlank="1" showInputMessage="1" showErrorMessage="1" promptTitle="Net Conditioned Area" prompt="Net Conditioned Area is measured from the interior face of any construction assembly that separates the exterior interior conditioned volume from the exterior air or ground surfaces, this is required for consistency of all other area and volume calculatio" sqref="H15" xr:uid="{5349C08B-F5A0-7C49-BFA8-89953621EE44}"/>
    <dataValidation allowBlank="1" showInputMessage="1" showErrorMessage="1" promptTitle="Certifier" prompt="The name of the entity that holds a Certificate of Practice if Architect, or the Certificate of Authourization if Engineer. If the firm is a BCIN firm, enter the name of that entity. This is a prerequisite to be considered a 'Certifier' by OpenBuilding" sqref="H16:I16" xr:uid="{680ED43A-6DDA-A047-A063-4EEB2F4AA168}"/>
    <dataValidation allowBlank="1" showInputMessage="1" showErrorMessage="1" promptTitle="License or Authorization" prompt="Enter here the OAA CofP Number, or PEO issued Cert. of Auth here, or if BCIN the BCIN No. " sqref="H17" xr:uid="{EE7B4869-E928-B542-89D5-E31C17DF65B9}"/>
  </dataValidations>
  <hyperlinks>
    <hyperlink ref="J21" r:id="rId1" display="https://climateatlas.ca/map/canada/plus30_2030_85#" xr:uid="{3366C7E3-FF3D-449D-AEDF-13DADDCE0CCA}"/>
    <hyperlink ref="J20" r:id="rId2" location="z=3&amp;lat=60.02&amp;lng=-82.97" display="https://climateatlas.ca/map/canada/hdd_2060_85#z=3&amp;lat=60.02&amp;lng=-82.97" xr:uid="{C66572B9-2E84-4676-B373-CDBC6981278E}"/>
    <hyperlink ref="L21" r:id="rId3" display="Degree Days Calculator - Energy Star" xr:uid="{4865DD8C-C2C2-4F39-8E76-0EE5A580F9EE}"/>
    <hyperlink ref="L20" r:id="rId4" display="Degree Days Calculator - Energy Star" xr:uid="{D7E30DEF-D721-45A5-AA8C-B949A52790A2}"/>
    <hyperlink ref="O73" r:id="rId5" xr:uid="{4DC09ACC-5365-4F42-A2D1-C440CEAFE947}"/>
    <hyperlink ref="O12" r:id="rId6" xr:uid="{687255B0-EB2E-E640-B73E-0F5DE30D748E}"/>
    <hyperlink ref="O13" r:id="rId7" xr:uid="{0A8EA7D7-C4D0-9E4B-808D-6A8A5F38560E}"/>
    <hyperlink ref="O14" r:id="rId8" xr:uid="{8CA6ED2E-86C3-8447-84D2-9BA6E46560FB}"/>
    <hyperlink ref="O15" r:id="rId9" xr:uid="{83D8804F-225F-344A-9606-7F6CD0B3EB6D}"/>
    <hyperlink ref="O39" r:id="rId10" xr:uid="{939FBE5E-AD14-EC48-88B5-524B08906D7F}"/>
    <hyperlink ref="P15" r:id="rId11" xr:uid="{5BE0FFE9-AA41-C146-90A9-BE4CF1A55F99}"/>
    <hyperlink ref="P13" r:id="rId12" xr:uid="{E5CC954D-4A96-8C4C-8966-40D3601766C4}"/>
    <hyperlink ref="O26" r:id="rId13" xr:uid="{DADA8F8E-B50B-D741-8F66-358664987C9D}"/>
    <hyperlink ref="O126" r:id="rId14" xr:uid="{EFF2397B-3092-8E4D-A474-23DDE22FED46}"/>
    <hyperlink ref="O116" r:id="rId15" display="ⓘ" xr:uid="{DEBE2628-7CA2-904B-9FAB-50F85256FCBD}"/>
    <hyperlink ref="O117" r:id="rId16" display="ⓘ" xr:uid="{51D632E7-541D-8548-B979-82BD43BE3C37}"/>
    <hyperlink ref="O119" r:id="rId17" display="ⓘ" xr:uid="{1B3113C2-7ED6-194A-9EFF-955C450DAA8B}"/>
    <hyperlink ref="O120" r:id="rId18" display="ⓘ" xr:uid="{4B3F4F1E-AB11-5E47-AD93-F39FB66CE849}"/>
    <hyperlink ref="O121" r:id="rId19" display="ⓘ" xr:uid="{1E89FDE8-D904-674B-884C-CFEE819A3999}"/>
    <hyperlink ref="O123" r:id="rId20" display="ⓘ" xr:uid="{AA9CBB11-0374-2048-ABDB-82119B63D21B}"/>
  </hyperlinks>
  <printOptions horizontalCentered="1" verticalCentered="1"/>
  <pageMargins left="0.5" right="0.5" top="0" bottom="0" header="0.25" footer="0.25"/>
  <pageSetup scale="28" orientation="portrait" r:id="rId21"/>
  <headerFooter>
    <oddFooter>&amp;C&amp;"Helvetica,Regular"&amp;12&amp;K000000&amp;P</oddFooter>
  </headerFooter>
  <ignoredErrors>
    <ignoredError sqref="D98" formulaRange="1"/>
    <ignoredError sqref="P6 K69 J79 D130 K73:K78 K64:K67 H130" formula="1"/>
    <ignoredError sqref="P98 D20 D21:D24 H70:K71 D41" emptyCellReference="1"/>
  </ignoredErrors>
  <drawing r:id="rId22"/>
  <extLst>
    <ext xmlns:x14="http://schemas.microsoft.com/office/spreadsheetml/2009/9/main" uri="{78C0D931-6437-407d-A8EE-F0AAD7539E65}">
      <x14:conditionalFormattings>
        <x14:conditionalFormatting xmlns:xm="http://schemas.microsoft.com/office/excel/2006/main">
          <x14:cfRule type="iconSet" priority="73" id="{A6EBBFE6-1DEF-AD4A-AD88-2733A2E95C66}">
            <x14:iconSet custom="1">
              <x14:cfvo type="percent">
                <xm:f>0</xm:f>
              </x14:cfvo>
              <x14:cfvo type="num">
                <xm:f>0.3</xm:f>
              </x14:cfvo>
              <x14:cfvo type="num">
                <xm:f>0.61</xm:f>
              </x14:cfvo>
              <x14:cfIcon iconSet="3TrafficLights1" iconId="1"/>
              <x14:cfIcon iconSet="3TrafficLights1" iconId="2"/>
              <x14:cfIcon iconSet="3TrafficLights1" iconId="0"/>
            </x14:iconSet>
          </x14:cfRule>
          <xm:sqref>M59</xm:sqref>
        </x14:conditionalFormatting>
        <x14:conditionalFormatting xmlns:xm="http://schemas.microsoft.com/office/excel/2006/main">
          <x14:cfRule type="iconSet" priority="66" id="{28500403-ECA0-C345-8907-67B5E56264DA}">
            <x14:iconSet custom="1">
              <x14:cfvo type="percent">
                <xm:f>0</xm:f>
              </x14:cfvo>
              <x14:cfvo type="num" gte="0">
                <xm:f>0</xm:f>
              </x14:cfvo>
              <x14:cfvo type="num">
                <xm:f>0.99</xm:f>
              </x14:cfvo>
              <x14:cfIcon iconSet="3Symbols2" iconId="1"/>
              <x14:cfIcon iconSet="3Symbols2" iconId="0"/>
              <x14:cfIcon iconSet="3Symbols2" iconId="2"/>
            </x14:iconSet>
          </x14:cfRule>
          <xm:sqref>R67 M65:M66 M68:M69</xm:sqref>
        </x14:conditionalFormatting>
        <x14:conditionalFormatting xmlns:xm="http://schemas.microsoft.com/office/excel/2006/main">
          <x14:cfRule type="iconSet" priority="83" id="{8ED7A435-7DE8-064A-B4BF-C953FDC83F23}">
            <x14:iconSet custom="1">
              <x14:cfvo type="percent">
                <xm:f>0</xm:f>
              </x14:cfvo>
              <x14:cfvo type="num" gte="0">
                <xm:f>0</xm:f>
              </x14:cfvo>
              <x14:cfvo type="num">
                <xm:f>1.0009999999999999</xm:f>
              </x14:cfvo>
              <x14:cfIcon iconSet="3Symbols2" iconId="2"/>
              <x14:cfIcon iconSet="3Symbols2" iconId="2"/>
              <x14:cfIcon iconSet="3Symbols2" iconId="0"/>
            </x14:iconSet>
          </x14:cfRule>
          <xm:sqref>M54:M58 M6:M8 M10:M11 M35:M36 R38 M49:M50 M39:M41</xm:sqref>
        </x14:conditionalFormatting>
        <x14:conditionalFormatting xmlns:xm="http://schemas.microsoft.com/office/excel/2006/main">
          <x14:cfRule type="iconSet" priority="60" id="{510AB657-FAD5-4F45-80E6-1466E65600F6}">
            <x14:iconSet custom="1">
              <x14:cfvo type="percent">
                <xm:f>0</xm:f>
              </x14:cfvo>
              <x14:cfvo type="num" gte="0">
                <xm:f>0</xm:f>
              </x14:cfvo>
              <x14:cfvo type="num">
                <xm:f>1.0009999999999999</xm:f>
              </x14:cfvo>
              <x14:cfIcon iconSet="3Symbols2" iconId="2"/>
              <x14:cfIcon iconSet="3Symbols2" iconId="2"/>
              <x14:cfIcon iconSet="3Symbols2" iconId="0"/>
            </x14:iconSet>
          </x14:cfRule>
          <xm:sqref>H9</xm:sqref>
        </x14:conditionalFormatting>
        <x14:conditionalFormatting xmlns:xm="http://schemas.microsoft.com/office/excel/2006/main">
          <x14:cfRule type="iconSet" priority="58" id="{27B4CCEE-129F-5641-83CA-F82A6BA96ADD}">
            <x14:iconSet custom="1">
              <x14:cfvo type="percent">
                <xm:f>0</xm:f>
              </x14:cfvo>
              <x14:cfvo type="num" gte="0">
                <xm:f>0</xm:f>
              </x14:cfvo>
              <x14:cfvo type="num">
                <xm:f>1.0009999999999999</xm:f>
              </x14:cfvo>
              <x14:cfIcon iconSet="3Symbols2" iconId="2"/>
              <x14:cfIcon iconSet="3Symbols2" iconId="2"/>
              <x14:cfIcon iconSet="3Symbols2" iconId="0"/>
            </x14:iconSet>
          </x14:cfRule>
          <xm:sqref>K5:M5</xm:sqref>
        </x14:conditionalFormatting>
        <x14:conditionalFormatting xmlns:xm="http://schemas.microsoft.com/office/excel/2006/main">
          <x14:cfRule type="iconSet" priority="53" id="{2B00B0AF-6A4F-4546-BF05-204F67B55D25}">
            <x14:iconSet custom="1">
              <x14:cfvo type="percent">
                <xm:f>0</xm:f>
              </x14:cfvo>
              <x14:cfvo type="num" gte="0">
                <xm:f>0</xm:f>
              </x14:cfvo>
              <x14:cfvo type="num">
                <xm:f>1.0009999999999999</xm:f>
              </x14:cfvo>
              <x14:cfIcon iconSet="3Symbols2" iconId="1"/>
              <x14:cfIcon iconSet="3Symbols2" iconId="2"/>
              <x14:cfIcon iconSet="3Symbols2" iconId="0"/>
            </x14:iconSet>
          </x14:cfRule>
          <xm:sqref>M117</xm:sqref>
        </x14:conditionalFormatting>
        <x14:conditionalFormatting xmlns:xm="http://schemas.microsoft.com/office/excel/2006/main">
          <x14:cfRule type="iconSet" priority="50" id="{15D42848-69F8-CD40-9063-7A0971AAB9D3}">
            <x14:iconSet custom="1">
              <x14:cfvo type="percent">
                <xm:f>0</xm:f>
              </x14:cfvo>
              <x14:cfvo type="num" gte="0">
                <xm:f>0</xm:f>
              </x14:cfvo>
              <x14:cfvo type="num">
                <xm:f>1.0009999999999999</xm:f>
              </x14:cfvo>
              <x14:cfIcon iconSet="3Symbols2" iconId="2"/>
              <x14:cfIcon iconSet="3Symbols2" iconId="2"/>
              <x14:cfIcon iconSet="3Symbols2" iconId="0"/>
            </x14:iconSet>
          </x14:cfRule>
          <xm:sqref>K7:L7</xm:sqref>
        </x14:conditionalFormatting>
        <x14:conditionalFormatting xmlns:xm="http://schemas.microsoft.com/office/excel/2006/main">
          <x14:cfRule type="iconSet" priority="49" id="{6A304058-C041-F745-922D-CF3388E50781}">
            <x14:iconSet custom="1">
              <x14:cfvo type="percent">
                <xm:f>0</xm:f>
              </x14:cfvo>
              <x14:cfvo type="num" gte="0">
                <xm:f>0</xm:f>
              </x14:cfvo>
              <x14:cfvo type="num">
                <xm:f>1.0009999999999999</xm:f>
              </x14:cfvo>
              <x14:cfIcon iconSet="3Symbols2" iconId="2"/>
              <x14:cfIcon iconSet="3Symbols2" iconId="2"/>
              <x14:cfIcon iconSet="3Symbols2" iconId="0"/>
            </x14:iconSet>
          </x14:cfRule>
          <xm:sqref>H7</xm:sqref>
        </x14:conditionalFormatting>
        <x14:conditionalFormatting xmlns:xm="http://schemas.microsoft.com/office/excel/2006/main">
          <x14:cfRule type="iconSet" priority="48" id="{569163D0-90F4-E948-A5C7-E6EA1934EC5A}">
            <x14:iconSet custom="1">
              <x14:cfvo type="percent">
                <xm:f>0</xm:f>
              </x14:cfvo>
              <x14:cfvo type="num" gte="0">
                <xm:f>0</xm:f>
              </x14:cfvo>
              <x14:cfvo type="num">
                <xm:f>1.0009999999999999</xm:f>
              </x14:cfvo>
              <x14:cfIcon iconSet="3Symbols2" iconId="2"/>
              <x14:cfIcon iconSet="3Symbols2" iconId="2"/>
              <x14:cfIcon iconSet="3Symbols2" iconId="0"/>
            </x14:iconSet>
          </x14:cfRule>
          <xm:sqref>H5</xm:sqref>
        </x14:conditionalFormatting>
        <x14:conditionalFormatting xmlns:xm="http://schemas.microsoft.com/office/excel/2006/main">
          <x14:cfRule type="iconSet" priority="85" id="{D974D0B0-7966-F94D-9F95-1E72C07E42CB}">
            <x14:iconSet custom="1">
              <x14:cfvo type="percent">
                <xm:f>0</xm:f>
              </x14:cfvo>
              <x14:cfvo type="num" gte="0">
                <xm:f>0</xm:f>
              </x14:cfvo>
              <x14:cfvo type="num">
                <xm:f>0.99</xm:f>
              </x14:cfvo>
              <x14:cfIcon iconSet="3Symbols2" iconId="1"/>
              <x14:cfIcon iconSet="3Symbols2" iconId="0"/>
              <x14:cfIcon iconSet="3Symbols2" iconId="2"/>
            </x14:iconSet>
          </x14:cfRule>
          <xm:sqref>M113 M104 U22:U24 K83:L83 L25 L20:L21 M52:M53 L63 L80:L81 M118:M119 M85:M95</xm:sqref>
        </x14:conditionalFormatting>
        <x14:conditionalFormatting xmlns:xm="http://schemas.microsoft.com/office/excel/2006/main">
          <x14:cfRule type="iconSet" priority="47" id="{0D0937A4-2D37-C440-A037-5E93AC0E99FC}">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J85:J95</xm:sqref>
        </x14:conditionalFormatting>
        <x14:conditionalFormatting xmlns:xm="http://schemas.microsoft.com/office/excel/2006/main">
          <x14:cfRule type="iconSet" priority="86" id="{51CC5C36-518E-DF44-9CC2-563E33FC99EA}">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L85:L95</xm:sqref>
        </x14:conditionalFormatting>
        <x14:conditionalFormatting xmlns:xm="http://schemas.microsoft.com/office/excel/2006/main">
          <x14:cfRule type="iconSet" priority="45" id="{66A356E5-7EDC-9647-B785-0B6A98AED211}">
            <x14:iconSet custom="1">
              <x14:cfvo type="percent">
                <xm:f>0</xm:f>
              </x14:cfvo>
              <x14:cfvo type="num">
                <xm:f>7</xm:f>
              </x14:cfvo>
              <x14:cfvo type="num" gte="0">
                <xm:f>20</xm:f>
              </x14:cfvo>
              <x14:cfIcon iconSet="3Symbols2" iconId="2"/>
              <x14:cfIcon iconSet="3Symbols2" iconId="1"/>
              <x14:cfIcon iconSet="3Symbols2" iconId="0"/>
            </x14:iconSet>
          </x14:cfRule>
          <xm:sqref>M124</xm:sqref>
        </x14:conditionalFormatting>
        <x14:conditionalFormatting xmlns:xm="http://schemas.microsoft.com/office/excel/2006/main">
          <x14:cfRule type="iconSet" priority="42" id="{5B9C2011-3828-054F-BB70-C0F01786D25D}">
            <x14:iconSet custom="1">
              <x14:cfvo type="percent">
                <xm:f>0</xm:f>
              </x14:cfvo>
              <x14:cfvo type="num" gte="0">
                <xm:f>0</xm:f>
              </x14:cfvo>
              <x14:cfvo type="num">
                <xm:f>1.0009999999999999</xm:f>
              </x14:cfvo>
              <x14:cfIcon iconSet="3Symbols2" iconId="2"/>
              <x14:cfIcon iconSet="3Symbols2" iconId="2"/>
              <x14:cfIcon iconSet="3Symbols2" iconId="0"/>
            </x14:iconSet>
          </x14:cfRule>
          <xm:sqref>E9</xm:sqref>
        </x14:conditionalFormatting>
        <x14:conditionalFormatting xmlns:xm="http://schemas.microsoft.com/office/excel/2006/main">
          <x14:cfRule type="iconSet" priority="41" id="{E67EC8EF-5291-104D-AE61-8BB6A136A546}">
            <x14:iconSet custom="1">
              <x14:cfvo type="percent">
                <xm:f>0</xm:f>
              </x14:cfvo>
              <x14:cfvo type="num" gte="0">
                <xm:f>0</xm:f>
              </x14:cfvo>
              <x14:cfvo type="num">
                <xm:f>1.0009999999999999</xm:f>
              </x14:cfvo>
              <x14:cfIcon iconSet="3Symbols2" iconId="2"/>
              <x14:cfIcon iconSet="3Symbols2" iconId="2"/>
              <x14:cfIcon iconSet="3Symbols2" iconId="0"/>
            </x14:iconSet>
          </x14:cfRule>
          <xm:sqref>E7</xm:sqref>
        </x14:conditionalFormatting>
        <x14:conditionalFormatting xmlns:xm="http://schemas.microsoft.com/office/excel/2006/main">
          <x14:cfRule type="iconSet" priority="40" id="{47CADB08-DB12-994C-B522-B9962384A2BD}">
            <x14:iconSet custom="1">
              <x14:cfvo type="percent">
                <xm:f>0</xm:f>
              </x14:cfvo>
              <x14:cfvo type="num" gte="0">
                <xm:f>0</xm:f>
              </x14:cfvo>
              <x14:cfvo type="num">
                <xm:f>1.0009999999999999</xm:f>
              </x14:cfvo>
              <x14:cfIcon iconSet="3Symbols2" iconId="2"/>
              <x14:cfIcon iconSet="3Symbols2" iconId="2"/>
              <x14:cfIcon iconSet="3Symbols2" iconId="0"/>
            </x14:iconSet>
          </x14:cfRule>
          <xm:sqref>E5</xm:sqref>
        </x14:conditionalFormatting>
        <x14:conditionalFormatting xmlns:xm="http://schemas.microsoft.com/office/excel/2006/main">
          <x14:cfRule type="iconSet" priority="38" id="{625CF26F-F027-1344-A32F-DA5686243083}">
            <x14:iconSet custom="1">
              <x14:cfvo type="percent">
                <xm:f>0</xm:f>
              </x14:cfvo>
              <x14:cfvo type="num" gte="0">
                <xm:f>0</xm:f>
              </x14:cfvo>
              <x14:cfvo type="num">
                <xm:f>0.99</xm:f>
              </x14:cfvo>
              <x14:cfIcon iconSet="3Symbols2" iconId="1"/>
              <x14:cfIcon iconSet="3Symbols2" iconId="0"/>
              <x14:cfIcon iconSet="3Symbols2" iconId="2"/>
            </x14:iconSet>
          </x14:cfRule>
          <xm:sqref>M109</xm:sqref>
        </x14:conditionalFormatting>
        <x14:conditionalFormatting xmlns:xm="http://schemas.microsoft.com/office/excel/2006/main">
          <x14:cfRule type="iconSet" priority="35" id="{5C24B0D7-3B55-3F4E-8A3D-6620F7FF794D}">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J64:J69</xm:sqref>
        </x14:conditionalFormatting>
        <x14:conditionalFormatting xmlns:xm="http://schemas.microsoft.com/office/excel/2006/main">
          <x14:cfRule type="iconSet" priority="34" id="{6D05CFDA-5CFD-5F45-BED9-708853DC4D40}">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J73:J78</xm:sqref>
        </x14:conditionalFormatting>
        <x14:conditionalFormatting xmlns:xm="http://schemas.microsoft.com/office/excel/2006/main">
          <x14:cfRule type="iconSet" priority="33" id="{9544962A-7F52-394A-A1BD-2941EE38B3B6}">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L73:L78</xm:sqref>
        </x14:conditionalFormatting>
        <x14:conditionalFormatting xmlns:xm="http://schemas.microsoft.com/office/excel/2006/main">
          <x14:cfRule type="iconSet" priority="32" id="{1C02C442-C312-CF49-B639-F57C4F4650DF}">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J80:J81</xm:sqref>
        </x14:conditionalFormatting>
        <x14:conditionalFormatting xmlns:xm="http://schemas.microsoft.com/office/excel/2006/main">
          <x14:cfRule type="iconSet" priority="31" id="{878B79E2-60C2-944B-B8A2-53CB3315CEAA}">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L64:L69</xm:sqref>
        </x14:conditionalFormatting>
        <x14:conditionalFormatting xmlns:xm="http://schemas.microsoft.com/office/excel/2006/main">
          <x14:cfRule type="iconSet" priority="29" id="{A0C01838-58AE-0443-820B-63C7DD264C57}">
            <x14:iconSet custom="1">
              <x14:cfvo type="percent">
                <xm:f>0</xm:f>
              </x14:cfvo>
              <x14:cfvo type="num" gte="0">
                <xm:f>0</xm:f>
              </x14:cfvo>
              <x14:cfvo type="num">
                <xm:f>0.99</xm:f>
              </x14:cfvo>
              <x14:cfIcon iconSet="3Symbols2" iconId="1"/>
              <x14:cfIcon iconSet="3Symbols2" iconId="0"/>
              <x14:cfIcon iconSet="3Symbols2" iconId="2"/>
            </x14:iconSet>
          </x14:cfRule>
          <xm:sqref>M110</xm:sqref>
        </x14:conditionalFormatting>
        <x14:conditionalFormatting xmlns:xm="http://schemas.microsoft.com/office/excel/2006/main">
          <x14:cfRule type="iconSet" priority="87" id="{01F9DDA1-CDFD-AC46-B4C8-49037640E1B4}">
            <x14:iconSet custom="1">
              <x14:cfvo type="percent">
                <xm:f>0</xm:f>
              </x14:cfvo>
              <x14:cfvo type="num" gte="0">
                <xm:f>0</xm:f>
              </x14:cfvo>
              <x14:cfvo type="num">
                <xm:f>0.99</xm:f>
              </x14:cfvo>
              <x14:cfIcon iconSet="3Symbols2" iconId="1"/>
              <x14:cfIcon iconSet="3Symbols2" iconId="0"/>
              <x14:cfIcon iconSet="3Symbols2" iconId="2"/>
            </x14:iconSet>
          </x14:cfRule>
          <xm:sqref>M137:M138</xm:sqref>
        </x14:conditionalFormatting>
        <x14:conditionalFormatting xmlns:xm="http://schemas.microsoft.com/office/excel/2006/main">
          <x14:cfRule type="iconSet" priority="28" id="{AA7E1750-7B73-6341-BC54-4F9E3CC10F80}">
            <x14:iconSet custom="1">
              <x14:cfvo type="percent">
                <xm:f>0</xm:f>
              </x14:cfvo>
              <x14:cfvo type="num" gte="0">
                <xm:f>0</xm:f>
              </x14:cfvo>
              <x14:cfvo type="num">
                <xm:f>1.0009999999999999</xm:f>
              </x14:cfvo>
              <x14:cfIcon iconSet="3Symbols2" iconId="2"/>
              <x14:cfIcon iconSet="3Symbols2" iconId="2"/>
              <x14:cfIcon iconSet="3Symbols2" iconId="0"/>
            </x14:iconSet>
          </x14:cfRule>
          <xm:sqref>I5:J5</xm:sqref>
        </x14:conditionalFormatting>
        <x14:conditionalFormatting xmlns:xm="http://schemas.microsoft.com/office/excel/2006/main">
          <x14:cfRule type="iconSet" priority="27" id="{C48293CB-077B-0245-8545-F8912BDBE1F3}">
            <x14:iconSet custom="1">
              <x14:cfvo type="percent">
                <xm:f>0</xm:f>
              </x14:cfvo>
              <x14:cfvo type="num" gte="0">
                <xm:f>0</xm:f>
              </x14:cfvo>
              <x14:cfvo type="num">
                <xm:f>1.0009999999999999</xm:f>
              </x14:cfvo>
              <x14:cfIcon iconSet="3Symbols2" iconId="2"/>
              <x14:cfIcon iconSet="3Symbols2" iconId="2"/>
              <x14:cfIcon iconSet="3Symbols2" iconId="0"/>
            </x14:iconSet>
          </x14:cfRule>
          <xm:sqref>J7</xm:sqref>
        </x14:conditionalFormatting>
        <x14:conditionalFormatting xmlns:xm="http://schemas.microsoft.com/office/excel/2006/main">
          <x14:cfRule type="iconSet" priority="26" id="{81E758E7-A0E9-5A48-8B96-2F149D6B8D7D}">
            <x14:iconSet custom="1">
              <x14:cfvo type="percent">
                <xm:f>0</xm:f>
              </x14:cfvo>
              <x14:cfvo type="num" gte="0">
                <xm:f>0</xm:f>
              </x14:cfvo>
              <x14:cfvo type="num">
                <xm:f>1.0009999999999999</xm:f>
              </x14:cfvo>
              <x14:cfIcon iconSet="3Symbols2" iconId="2"/>
              <x14:cfIcon iconSet="3Symbols2" iconId="2"/>
              <x14:cfIcon iconSet="3Symbols2" iconId="0"/>
            </x14:iconSet>
          </x14:cfRule>
          <xm:sqref>L9</xm:sqref>
        </x14:conditionalFormatting>
        <x14:conditionalFormatting xmlns:xm="http://schemas.microsoft.com/office/excel/2006/main">
          <x14:cfRule type="iconSet" priority="25" id="{36877750-F9F6-F74F-BFCE-D14A9D6816CD}">
            <x14:iconSet custom="1">
              <x14:cfvo type="percent">
                <xm:f>0</xm:f>
              </x14:cfvo>
              <x14:cfvo type="num" gte="0">
                <xm:f>0</xm:f>
              </x14:cfvo>
              <x14:cfvo type="num">
                <xm:f>1.0009999999999999</xm:f>
              </x14:cfvo>
              <x14:cfIcon iconSet="3Symbols2" iconId="2"/>
              <x14:cfIcon iconSet="3Symbols2" iconId="2"/>
              <x14:cfIcon iconSet="3Symbols2" iconId="0"/>
            </x14:iconSet>
          </x14:cfRule>
          <xm:sqref>I7</xm:sqref>
        </x14:conditionalFormatting>
        <x14:conditionalFormatting xmlns:xm="http://schemas.microsoft.com/office/excel/2006/main">
          <x14:cfRule type="iconSet" priority="24" id="{94498448-0D81-CA4F-A74E-A904AEBF30FD}">
            <x14:iconSet custom="1">
              <x14:cfvo type="percent">
                <xm:f>0</xm:f>
              </x14:cfvo>
              <x14:cfvo type="num" gte="0">
                <xm:f>0</xm:f>
              </x14:cfvo>
              <x14:cfvo type="num">
                <xm:f>1.0009999999999999</xm:f>
              </x14:cfvo>
              <x14:cfIcon iconSet="3Symbols2" iconId="2"/>
              <x14:cfIcon iconSet="3Symbols2" iconId="2"/>
              <x14:cfIcon iconSet="3Symbols2" iconId="0"/>
            </x14:iconSet>
          </x14:cfRule>
          <xm:sqref>I9:J9</xm:sqref>
        </x14:conditionalFormatting>
        <x14:conditionalFormatting xmlns:xm="http://schemas.microsoft.com/office/excel/2006/main">
          <x14:cfRule type="iconSet" priority="22" id="{F08C7E92-541B-1347-BB32-8C5C18B4CC7D}">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J97</xm:sqref>
        </x14:conditionalFormatting>
        <x14:conditionalFormatting xmlns:xm="http://schemas.microsoft.com/office/excel/2006/main">
          <x14:cfRule type="iconSet" priority="21" id="{87D8DC13-2D72-564D-9298-AE6D5519EF38}">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L97</xm:sqref>
        </x14:conditionalFormatting>
        <x14:conditionalFormatting xmlns:xm="http://schemas.microsoft.com/office/excel/2006/main">
          <x14:cfRule type="iconSet" priority="19" id="{19CD70F8-2FA1-AB4F-8809-592DF4643053}">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L102</xm:sqref>
        </x14:conditionalFormatting>
        <x14:conditionalFormatting xmlns:xm="http://schemas.microsoft.com/office/excel/2006/main">
          <x14:cfRule type="iconSet" priority="17" id="{D0757CBF-C750-F749-A73C-7B0D2F2AEAC0}">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L101</xm:sqref>
        </x14:conditionalFormatting>
        <x14:conditionalFormatting xmlns:xm="http://schemas.microsoft.com/office/excel/2006/main">
          <x14:cfRule type="iconSet" priority="15" id="{E63DC56F-3EB4-4144-BE40-6065A343148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L103</xm:sqref>
        </x14:conditionalFormatting>
        <x14:conditionalFormatting xmlns:xm="http://schemas.microsoft.com/office/excel/2006/main">
          <x14:cfRule type="iconSet" priority="117" id="{E6FBA859-967A-F545-B903-AAD65CFCFF4E}">
            <x14:iconSet custom="1">
              <x14:cfvo type="percent">
                <xm:f>0</xm:f>
              </x14:cfvo>
              <x14:cfvo type="num" gte="0">
                <xm:f>0</xm:f>
              </x14:cfvo>
              <x14:cfvo type="num">
                <xm:f>0.99</xm:f>
              </x14:cfvo>
              <x14:cfIcon iconSet="3Symbols2" iconId="1"/>
              <x14:cfIcon iconSet="3Symbols2" iconId="0"/>
              <x14:cfIcon iconSet="3Symbols2" iconId="2"/>
            </x14:iconSet>
          </x14:cfRule>
          <xm:sqref>M79:M81 M23:M25</xm:sqref>
        </x14:conditionalFormatting>
        <x14:conditionalFormatting xmlns:xm="http://schemas.microsoft.com/office/excel/2006/main">
          <x14:cfRule type="iconSet" priority="9" id="{27C5B7D1-0A21-A749-B759-50FDF7FC3B29}">
            <x14:iconSet custom="1">
              <x14:cfvo type="percent">
                <xm:f>0</xm:f>
              </x14:cfvo>
              <x14:cfvo type="num" gte="0">
                <xm:f>0</xm:f>
              </x14:cfvo>
              <x14:cfvo type="num">
                <xm:f>1.0009999999999999</xm:f>
              </x14:cfvo>
              <x14:cfIcon iconSet="3Symbols2" iconId="2"/>
              <x14:cfIcon iconSet="3Symbols2" iconId="2"/>
              <x14:cfIcon iconSet="3Symbols2" iconId="0"/>
            </x14:iconSet>
          </x14:cfRule>
          <xm:sqref>M9</xm:sqref>
        </x14:conditionalFormatting>
        <x14:conditionalFormatting xmlns:xm="http://schemas.microsoft.com/office/excel/2006/main">
          <x14:cfRule type="iconSet" priority="140" id="{E588B2E3-E233-A14D-BBCE-BD53EF915249}">
            <x14:iconSet custom="1">
              <x14:cfvo type="percent">
                <xm:f>0</xm:f>
              </x14:cfvo>
              <x14:cfvo type="num" gte="0">
                <xm:f>0</xm:f>
              </x14:cfvo>
              <x14:cfvo type="num">
                <xm:f>0.99</xm:f>
              </x14:cfvo>
              <x14:cfIcon iconSet="3Symbols2" iconId="1"/>
              <x14:cfIcon iconSet="3Symbols2" iconId="0"/>
              <x14:cfIcon iconSet="3Symbols2" iconId="2"/>
            </x14:iconSet>
          </x14:cfRule>
          <xm:sqref>M127</xm:sqref>
        </x14:conditionalFormatting>
        <x14:conditionalFormatting xmlns:xm="http://schemas.microsoft.com/office/excel/2006/main">
          <x14:cfRule type="iconSet" priority="6" id="{10E57C8B-4272-9D47-8AB0-60A94E46AF48}">
            <x14:iconSet custom="1">
              <x14:cfvo type="percent">
                <xm:f>0</xm:f>
              </x14:cfvo>
              <x14:cfvo type="num" gte="0">
                <xm:f>0</xm:f>
              </x14:cfvo>
              <x14:cfvo type="num">
                <xm:f>1.0009999999999999</xm:f>
              </x14:cfvo>
              <x14:cfIcon iconSet="3Symbols2" iconId="1"/>
              <x14:cfIcon iconSet="3Symbols2" iconId="2"/>
              <x14:cfIcon iconSet="3Symbols2" iconId="0"/>
            </x14:iconSet>
          </x14:cfRule>
          <xm:sqref>M107 R108</xm:sqref>
        </x14:conditionalFormatting>
        <x14:conditionalFormatting xmlns:xm="http://schemas.microsoft.com/office/excel/2006/main">
          <x14:cfRule type="iconSet" priority="5" id="{6709D42F-38A7-6E4C-A058-706BF0C7C6F1}">
            <x14:iconSet custom="1">
              <x14:cfvo type="percent">
                <xm:f>0</xm:f>
              </x14:cfvo>
              <x14:cfvo type="num" gte="0">
                <xm:f>0</xm:f>
              </x14:cfvo>
              <x14:cfvo type="num">
                <xm:f>0.99</xm:f>
              </x14:cfvo>
              <x14:cfIcon iconSet="3Symbols2" iconId="1"/>
              <x14:cfIcon iconSet="3Symbols2" iconId="0"/>
              <x14:cfIcon iconSet="3Symbols2" iconId="2"/>
            </x14:iconSet>
          </x14:cfRule>
          <xm:sqref>M116</xm:sqref>
        </x14:conditionalFormatting>
        <x14:conditionalFormatting xmlns:xm="http://schemas.microsoft.com/office/excel/2006/main">
          <x14:cfRule type="iconSet" priority="4" id="{87314537-672C-4540-A6A7-F85BBA648B43}">
            <x14:iconSet custom="1">
              <x14:cfvo type="percent">
                <xm:f>0</xm:f>
              </x14:cfvo>
              <x14:cfvo type="num" gte="0">
                <xm:f>0</xm:f>
              </x14:cfvo>
              <x14:cfvo type="num">
                <xm:f>1.0009999999999999</xm:f>
              </x14:cfvo>
              <x14:cfIcon iconSet="3Symbols2" iconId="2"/>
              <x14:cfIcon iconSet="3Symbols2" iconId="2"/>
              <x14:cfIcon iconSet="3Symbols2" iconId="0"/>
            </x14:iconSet>
          </x14:cfRule>
          <xm:sqref>K9</xm:sqref>
        </x14:conditionalFormatting>
        <x14:conditionalFormatting xmlns:xm="http://schemas.microsoft.com/office/excel/2006/main">
          <x14:cfRule type="iconSet" priority="1" id="{B5BE7BD4-13E8-B54C-AE75-2D079A8379CD}">
            <x14:iconSet custom="1">
              <x14:cfvo type="percent">
                <xm:f>0</xm:f>
              </x14:cfvo>
              <x14:cfvo type="num" gte="0">
                <xm:f>0</xm:f>
              </x14:cfvo>
              <x14:cfvo type="num">
                <xm:f>1.0009999999999999</xm:f>
              </x14:cfvo>
              <x14:cfIcon iconSet="3Symbols2" iconId="1"/>
              <x14:cfIcon iconSet="3Symbols2" iconId="2"/>
              <x14:cfIcon iconSet="3Symbols2" iconId="0"/>
            </x14:iconSet>
          </x14:cfRule>
          <xm:sqref>M140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promptTitle="Reference Standards" prompt="Select a Building Code Prescriptive Path option, or NECB Base Tier, or any other noted or 'Use Your Own' baseline scenario. References values in the 'CODE VALUES' tab. " xr:uid="{D887E74F-900A-4D45-B2BE-D50D1A8004BB}">
          <x14:formula1>
            <xm:f>'CODE-VALUES'!$C$2:$S$2</xm:f>
          </x14:formula1>
          <xm:sqref>D13:E13</xm:sqref>
        </x14:dataValidation>
        <x14:dataValidation type="list" allowBlank="1" showInputMessage="1" showErrorMessage="1" promptTitle="Major Occupancy" prompt="Select a Major Occupancy from the Drop-Down" xr:uid="{0852A528-55FE-284E-8BB9-33E04A77B906}">
          <x14:formula1>
            <xm:f>SCHEDULES!$B$13:$B$20</xm:f>
          </x14:formula1>
          <xm:sqref>D12:E12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E9C30-FD4D-DB40-BF2D-D2CB6CA9F5DC}">
  <sheetPr codeName="Sheet12">
    <tabColor rgb="FFC00000"/>
    <pageSetUpPr fitToPage="1"/>
  </sheetPr>
  <dimension ref="A1:V226"/>
  <sheetViews>
    <sheetView showGridLines="0" zoomScale="80" zoomScaleNormal="80" zoomScalePageLayoutView="70" workbookViewId="0">
      <pane ySplit="10" topLeftCell="A11" activePane="bottomLeft" state="frozen"/>
      <selection pane="bottomLeft" activeCell="D13" sqref="D13:E13"/>
    </sheetView>
  </sheetViews>
  <sheetFormatPr baseColWidth="10" defaultColWidth="19.5" defaultRowHeight="11.75" customHeight="1" outlineLevelCol="1"/>
  <cols>
    <col min="1" max="1" width="10" style="24" customWidth="1"/>
    <col min="2" max="2" width="20" style="24" customWidth="1"/>
    <col min="3" max="3" width="88.75" style="24" customWidth="1"/>
    <col min="4" max="4" width="32.5" style="30" customWidth="1"/>
    <col min="5" max="5" width="32.75" style="30" customWidth="1"/>
    <col min="6" max="7" width="32.5" style="24" customWidth="1"/>
    <col min="8" max="8" width="32.75" style="24" customWidth="1"/>
    <col min="9" max="10" width="27.5" style="24" customWidth="1"/>
    <col min="11" max="11" width="33.25" style="24" customWidth="1"/>
    <col min="12" max="13" width="27.5" style="24" customWidth="1"/>
    <col min="14" max="14" width="10" style="24" customWidth="1"/>
    <col min="15" max="15" width="8.5" style="718" customWidth="1"/>
    <col min="16" max="16" width="31.5" style="24" customWidth="1"/>
    <col min="17" max="17" width="29.75" style="211" customWidth="1"/>
    <col min="18" max="18" width="28.75" style="24" customWidth="1"/>
    <col min="19" max="19" width="17.25" style="24" customWidth="1"/>
    <col min="20" max="20" width="52.25" style="1495" hidden="1" customWidth="1" outlineLevel="1"/>
    <col min="21" max="21" width="255.5" style="24" hidden="1" customWidth="1" outlineLevel="1"/>
    <col min="22" max="22" width="20" style="24" customWidth="1" collapsed="1"/>
    <col min="23" max="25" width="20" style="24" customWidth="1"/>
    <col min="26" max="26" width="35.5" style="24" customWidth="1"/>
    <col min="27" max="28" width="27.25" style="24" customWidth="1"/>
    <col min="29" max="29" width="20" style="24" customWidth="1"/>
    <col min="30" max="30" width="27" style="24" customWidth="1"/>
    <col min="31" max="31" width="30.5" style="24" customWidth="1"/>
    <col min="32" max="32" width="16.5" style="24" customWidth="1"/>
    <col min="33" max="16384" width="19.5" style="24"/>
  </cols>
  <sheetData>
    <row r="1" spans="1:21" ht="20" customHeight="1">
      <c r="C1" s="30"/>
      <c r="H1" s="30"/>
      <c r="I1" s="30"/>
      <c r="J1" s="30"/>
      <c r="K1" s="30"/>
      <c r="L1" s="30"/>
      <c r="M1" s="30"/>
      <c r="O1" s="24"/>
      <c r="T1" s="2336" t="s">
        <v>1781</v>
      </c>
    </row>
    <row r="2" spans="1:21" ht="22" customHeight="1">
      <c r="B2" s="2349"/>
      <c r="D2" s="2341" t="s">
        <v>2060</v>
      </c>
      <c r="E2" s="2341"/>
      <c r="F2" s="2341"/>
      <c r="G2" s="2342" t="str">
        <f>REPORT!G2</f>
        <v>2025.04.02</v>
      </c>
      <c r="H2" s="52"/>
      <c r="I2" s="747"/>
      <c r="J2" s="26"/>
      <c r="K2" s="2338" t="s">
        <v>2044</v>
      </c>
      <c r="L2" s="2339"/>
      <c r="M2" s="2339"/>
      <c r="N2" s="25"/>
      <c r="O2" s="26"/>
      <c r="P2" s="26"/>
      <c r="Q2" s="212"/>
      <c r="R2" s="31"/>
      <c r="T2" s="2337"/>
      <c r="U2" s="31"/>
    </row>
    <row r="3" spans="1:21" ht="70" customHeight="1">
      <c r="B3" s="2330"/>
      <c r="C3" s="768"/>
      <c r="D3" s="2341"/>
      <c r="E3" s="2341"/>
      <c r="F3" s="2341"/>
      <c r="G3" s="2343"/>
      <c r="H3" s="767"/>
      <c r="I3" s="748"/>
      <c r="J3" s="105"/>
      <c r="K3" s="2340"/>
      <c r="L3" s="2340"/>
      <c r="M3" s="2340"/>
      <c r="N3" s="25"/>
      <c r="O3" s="26"/>
      <c r="P3" s="1498" t="s">
        <v>1955</v>
      </c>
      <c r="Q3" s="213"/>
      <c r="R3" s="242"/>
      <c r="S3" s="34"/>
      <c r="T3" s="1484" t="str">
        <f>S2RefStandard</f>
        <v>OBC SB10 5.5-6 Z6</v>
      </c>
      <c r="U3" s="91" t="s">
        <v>19</v>
      </c>
    </row>
    <row r="4" spans="1:21" ht="40" customHeight="1" thickBot="1">
      <c r="B4" s="1176"/>
      <c r="C4" s="2056" t="s">
        <v>2063</v>
      </c>
      <c r="D4" s="1178"/>
      <c r="E4" s="1179" t="s">
        <v>815</v>
      </c>
      <c r="F4" s="1178"/>
      <c r="G4" s="1178"/>
      <c r="H4" s="1177" t="s">
        <v>492</v>
      </c>
      <c r="I4" s="1178"/>
      <c r="J4" s="1178"/>
      <c r="K4" s="1180" t="s">
        <v>491</v>
      </c>
      <c r="L4" s="1181"/>
      <c r="M4" s="1182"/>
      <c r="N4" s="25"/>
      <c r="O4" s="26"/>
      <c r="P4" s="453">
        <f>J27*L$12</f>
        <v>43384.130451779376</v>
      </c>
      <c r="Q4" s="224" t="s">
        <v>497</v>
      </c>
      <c r="R4" s="35"/>
      <c r="T4" s="1479"/>
      <c r="U4" s="91" t="s">
        <v>396</v>
      </c>
    </row>
    <row r="5" spans="1:21" ht="25" customHeight="1" thickTop="1">
      <c r="B5" s="42"/>
      <c r="C5" s="43" t="s">
        <v>1729</v>
      </c>
      <c r="D5" s="256"/>
      <c r="E5" s="1438" t="s">
        <v>815</v>
      </c>
      <c r="F5" s="1439" t="s">
        <v>2140</v>
      </c>
      <c r="G5" s="257"/>
      <c r="H5" s="231" t="s">
        <v>330</v>
      </c>
      <c r="I5" s="1437" t="str">
        <f>TEXT(1-H6/E6, "0%") &amp; " Reduction"</f>
        <v>38% Reduction</v>
      </c>
      <c r="J5" s="231"/>
      <c r="K5" s="45" t="s">
        <v>331</v>
      </c>
      <c r="L5" s="199"/>
      <c r="M5" s="138" t="s">
        <v>418</v>
      </c>
      <c r="N5" s="25"/>
      <c r="O5" s="26"/>
      <c r="P5" s="453">
        <f>J28*L$12</f>
        <v>0</v>
      </c>
      <c r="Q5" s="224" t="s">
        <v>498</v>
      </c>
      <c r="R5" s="38"/>
      <c r="T5" s="1479"/>
      <c r="U5" s="91" t="s">
        <v>397</v>
      </c>
    </row>
    <row r="6" spans="1:21" ht="36" customHeight="1" thickBot="1">
      <c r="B6" s="761"/>
      <c r="C6" s="746" t="s">
        <v>288</v>
      </c>
      <c r="D6" s="239"/>
      <c r="E6" s="1516">
        <f>I39/H13+E8</f>
        <v>18.925398052349667</v>
      </c>
      <c r="F6" s="881"/>
      <c r="G6" s="240"/>
      <c r="H6" s="1518">
        <f>REPORT!H6</f>
        <v>11.660688148043574</v>
      </c>
      <c r="I6" s="855"/>
      <c r="J6" s="1922"/>
      <c r="K6" s="1520">
        <f>REPORT!K6</f>
        <v>11.666847029147981</v>
      </c>
      <c r="L6" s="854"/>
      <c r="M6" s="47" t="str">
        <f>IF(I$40="N/A","N/A",IF(D15="BR18 (Denmark)",((I$41/H13)+K8)/12,IF(D15="IPCC AR6 EPC", 'S3-Carbon-Standards'!K5, IF(D15="IPCC AR6 EA", 'S3-Carbon-Standards'!K6,IF(D15="TGS4",((I$41/I39)),"N/A")))))</f>
        <v>N/A</v>
      </c>
      <c r="N6" s="25"/>
      <c r="O6" s="26"/>
      <c r="P6" s="453">
        <f>J29*L$14</f>
        <v>0</v>
      </c>
      <c r="Q6" s="224" t="s">
        <v>1703</v>
      </c>
      <c r="R6" s="34"/>
      <c r="T6" s="1483">
        <f>INDEX('CODE-VALUES'!$C6:$S6, 1, MATCH(S2RefStandard, 'CODE-VALUES'!$C$2:$S$2, 0))</f>
        <v>0</v>
      </c>
      <c r="U6" s="34"/>
    </row>
    <row r="7" spans="1:21" ht="25" customHeight="1" thickTop="1">
      <c r="B7" s="42"/>
      <c r="C7" s="43" t="s">
        <v>290</v>
      </c>
      <c r="D7" s="48"/>
      <c r="E7" s="1438" t="s">
        <v>815</v>
      </c>
      <c r="F7" s="1439" t="s">
        <v>2140</v>
      </c>
      <c r="G7" s="26"/>
      <c r="H7" s="231" t="s">
        <v>330</v>
      </c>
      <c r="I7" s="1437" t="str">
        <f>TEXT(1-H8/E8, "0%") &amp; " Reduction"</f>
        <v>60% Reduction</v>
      </c>
      <c r="J7" s="231"/>
      <c r="K7" s="45" t="s">
        <v>331</v>
      </c>
      <c r="L7" s="199"/>
      <c r="M7" s="46"/>
      <c r="N7" s="25"/>
      <c r="O7" s="26"/>
      <c r="P7" s="453">
        <f>J30*L$16</f>
        <v>0</v>
      </c>
      <c r="Q7" s="224" t="s">
        <v>1704</v>
      </c>
      <c r="R7" s="31"/>
      <c r="T7" s="1479"/>
      <c r="U7" s="143"/>
    </row>
    <row r="8" spans="1:21" s="34" customFormat="1" ht="36" customHeight="1" thickBot="1">
      <c r="B8" s="241"/>
      <c r="C8" s="746" t="s">
        <v>289</v>
      </c>
      <c r="D8" s="744"/>
      <c r="E8" s="1516">
        <f>K32/H15</f>
        <v>11.925398052349667</v>
      </c>
      <c r="F8" s="881"/>
      <c r="G8" s="745"/>
      <c r="H8" s="1518">
        <f>REPORT!H8</f>
        <v>4.7442881480435748</v>
      </c>
      <c r="I8" s="855"/>
      <c r="J8" s="743"/>
      <c r="K8" s="1520">
        <f>REPORT!K8</f>
        <v>4.7504470291479821</v>
      </c>
      <c r="L8" s="854"/>
      <c r="M8" s="1993">
        <f>IF(D$14="Utility Bills", K8/E8, H8/E8)</f>
        <v>0.39783059041025515</v>
      </c>
      <c r="N8" s="75"/>
      <c r="O8" s="76"/>
      <c r="P8" s="453">
        <f>H31*L$15</f>
        <v>0</v>
      </c>
      <c r="Q8" s="224" t="s">
        <v>1705</v>
      </c>
      <c r="R8" s="76"/>
      <c r="T8" s="1483">
        <f>INDEX('CODE-VALUES'!$C8:$S8, 1, MATCH(S2RefStandard, 'CODE-VALUES'!$C$2:$S$2, 0))</f>
        <v>15</v>
      </c>
      <c r="U8" s="91" t="s">
        <v>358</v>
      </c>
    </row>
    <row r="9" spans="1:21" ht="25" customHeight="1" thickTop="1">
      <c r="B9" s="49"/>
      <c r="C9" s="43" t="s">
        <v>307</v>
      </c>
      <c r="D9" s="48"/>
      <c r="E9" s="1438" t="s">
        <v>815</v>
      </c>
      <c r="F9" s="1439" t="s">
        <v>2140</v>
      </c>
      <c r="G9" s="48"/>
      <c r="H9" s="231" t="s">
        <v>330</v>
      </c>
      <c r="I9" s="1437" t="str">
        <f>TEXT(1-H10/E10, "0%") &amp; " Reduction"</f>
        <v>60% Reduction</v>
      </c>
      <c r="J9" s="231"/>
      <c r="K9" s="44" t="s">
        <v>331</v>
      </c>
      <c r="L9" s="200"/>
      <c r="M9" s="1996" t="s">
        <v>1567</v>
      </c>
      <c r="N9" s="25"/>
      <c r="O9" s="26"/>
      <c r="P9" s="225">
        <f>SUM(P4:P8)</f>
        <v>43384.130451779376</v>
      </c>
      <c r="Q9" s="224" t="s">
        <v>500</v>
      </c>
      <c r="R9" s="35"/>
      <c r="T9" s="1479"/>
      <c r="U9" s="40"/>
    </row>
    <row r="10" spans="1:21" s="34" customFormat="1" ht="37" customHeight="1" thickBot="1">
      <c r="B10" s="241"/>
      <c r="C10" s="995" t="s">
        <v>306</v>
      </c>
      <c r="D10" s="996"/>
      <c r="E10" s="1517">
        <f>SUM(J27:J31)/H15</f>
        <v>233.83133435979741</v>
      </c>
      <c r="F10" s="997" t="s">
        <v>1998</v>
      </c>
      <c r="G10" s="998"/>
      <c r="H10" s="1519">
        <f>REPORT!H10</f>
        <v>93.025257804775976</v>
      </c>
      <c r="I10" s="997" t="str">
        <f>IF(OR(ISNUMBER(SEARCH("NBC", D13)), ISNUMBER(SEARCH("OBC", D13)), ISNUMBER(SEARCH("NECB", D13))),
   IF(D144&gt;0.7, "tier5", IF(D144&gt;0.6, "tier4", IF(D144&gt;0.5, "tier3", IF(D144&gt;0.4, "tier2", "tier1")))),
   IF(D144&gt;0.6, "tier4", IF(D144&gt;0.45, "tier3", IF(D144&gt;0.2, "tier2", IF(D144&gt;0.1, "tier1", "No Tier")))))</f>
        <v>tier4</v>
      </c>
      <c r="J10" s="999"/>
      <c r="K10" s="1521">
        <f>REPORT!K10</f>
        <v>93.146020179372201</v>
      </c>
      <c r="L10" s="1000"/>
      <c r="M10" s="1997">
        <f>E10/T10</f>
        <v>0.84568294524339027</v>
      </c>
      <c r="N10" s="75"/>
      <c r="O10" s="76"/>
      <c r="P10" s="739"/>
      <c r="Q10" s="115"/>
      <c r="T10" s="1479">
        <f>INDEX('CODE-VALUES'!$C27:$S27, 1, MATCH(S2RefStandard, 'CODE-VALUES'!$C$2:$S$2, 0))</f>
        <v>276.5</v>
      </c>
    </row>
    <row r="11" spans="1:21" s="34" customFormat="1" ht="40" customHeight="1" thickTop="1" thickBot="1">
      <c r="B11" s="241"/>
      <c r="C11" s="1183" t="s">
        <v>2062</v>
      </c>
      <c r="D11" s="1184"/>
      <c r="E11" s="1185"/>
      <c r="F11" s="1185"/>
      <c r="G11" s="1186"/>
      <c r="H11" s="1187"/>
      <c r="I11" s="1187"/>
      <c r="J11" s="1188"/>
      <c r="K11" s="1189"/>
      <c r="L11" s="1921" t="s">
        <v>1866</v>
      </c>
      <c r="M11" s="1190"/>
      <c r="N11" s="76"/>
      <c r="O11" s="76"/>
      <c r="P11" s="739"/>
      <c r="Q11" s="364"/>
      <c r="S11" s="71"/>
      <c r="T11" s="1479"/>
    </row>
    <row r="12" spans="1:21" ht="25" customHeight="1" thickTop="1">
      <c r="A12" s="24" t="s">
        <v>526</v>
      </c>
      <c r="B12" s="32"/>
      <c r="C12" s="762" t="s">
        <v>286</v>
      </c>
      <c r="D12" s="2359" t="str">
        <f>REPORT!D12</f>
        <v>A - Assembly</v>
      </c>
      <c r="E12" s="2359"/>
      <c r="F12" s="528" t="s">
        <v>1999</v>
      </c>
      <c r="H12" s="529">
        <v>2022</v>
      </c>
      <c r="I12" s="1700"/>
      <c r="J12" s="1700"/>
      <c r="K12" s="1909" t="s">
        <v>2037</v>
      </c>
      <c r="L12" s="1918">
        <f>REPORT!L12</f>
        <v>0.13</v>
      </c>
      <c r="M12" s="1912" t="s">
        <v>2036</v>
      </c>
      <c r="N12" s="26"/>
      <c r="O12" s="721" t="s">
        <v>524</v>
      </c>
      <c r="T12" s="1483"/>
    </row>
    <row r="13" spans="1:21" ht="24" customHeight="1">
      <c r="B13" s="36"/>
      <c r="C13" s="527" t="s">
        <v>841</v>
      </c>
      <c r="D13" s="2352" t="s">
        <v>380</v>
      </c>
      <c r="E13" s="2352"/>
      <c r="F13" s="528" t="s">
        <v>2000</v>
      </c>
      <c r="G13" s="528"/>
      <c r="H13" s="1801">
        <f>REPORT!H13</f>
        <v>50</v>
      </c>
      <c r="I13" s="1802"/>
      <c r="J13" s="105"/>
      <c r="K13" s="1913" t="s">
        <v>2030</v>
      </c>
      <c r="L13" s="1919">
        <f>REPORT!L13</f>
        <v>0.50700000000000001</v>
      </c>
      <c r="M13" s="1852" t="s">
        <v>1699</v>
      </c>
      <c r="N13" s="25"/>
      <c r="O13" s="721" t="s">
        <v>524</v>
      </c>
      <c r="P13" s="721" t="s">
        <v>524</v>
      </c>
      <c r="T13" s="1483" t="str">
        <f>INDEX('CODE-VALUES'!$C13:$S13, 1, MATCH(S2RefStandard, 'CODE-VALUES'!$C$2:$S$2, 0))</f>
        <v>OBC Prescriptive Path Part 3</v>
      </c>
    </row>
    <row r="14" spans="1:21" ht="24" customHeight="1">
      <c r="B14" s="36"/>
      <c r="C14" s="1500" t="s">
        <v>1897</v>
      </c>
      <c r="D14" s="2360" t="s">
        <v>1825</v>
      </c>
      <c r="E14" s="2360"/>
      <c r="F14" s="533" t="s">
        <v>287</v>
      </c>
      <c r="G14" s="533"/>
      <c r="H14" s="2358" t="str">
        <f>REPORT!H14</f>
        <v>Your Project Name</v>
      </c>
      <c r="I14" s="2358"/>
      <c r="J14" s="1793"/>
      <c r="K14" s="1914" t="s">
        <v>2038</v>
      </c>
      <c r="L14" s="1919">
        <f>REPORT!L14</f>
        <v>1.62</v>
      </c>
      <c r="M14" s="1852" t="s">
        <v>1700</v>
      </c>
      <c r="N14" s="26"/>
      <c r="O14" s="721" t="s">
        <v>524</v>
      </c>
      <c r="T14" s="1479"/>
    </row>
    <row r="15" spans="1:21" ht="24" customHeight="1">
      <c r="B15" s="36"/>
      <c r="C15" s="527" t="s">
        <v>313</v>
      </c>
      <c r="D15" s="2331" t="s">
        <v>2056</v>
      </c>
      <c r="E15" s="2331"/>
      <c r="F15" s="39" t="s">
        <v>2001</v>
      </c>
      <c r="G15" s="537"/>
      <c r="H15" s="1522">
        <f>REPORT!H15</f>
        <v>1427.2</v>
      </c>
      <c r="I15" s="516"/>
      <c r="K15" s="1914" t="s">
        <v>2039</v>
      </c>
      <c r="L15" s="1920">
        <f>REPORT!L15</f>
        <v>180</v>
      </c>
      <c r="M15" s="1852" t="s">
        <v>1701</v>
      </c>
      <c r="N15" s="26"/>
      <c r="O15" s="721" t="s">
        <v>524</v>
      </c>
      <c r="P15" s="721" t="s">
        <v>524</v>
      </c>
      <c r="Q15" s="212"/>
      <c r="R15" s="35"/>
      <c r="T15" s="1479"/>
      <c r="U15" s="40"/>
    </row>
    <row r="16" spans="1:21" s="34" customFormat="1" ht="24" customHeight="1">
      <c r="B16" s="511"/>
      <c r="C16" s="968" t="s">
        <v>332</v>
      </c>
      <c r="D16" s="535" t="str">
        <f>IF(D15="BR18 (Denmark)",500,IF(D15="IPCC AR6 EPC", 'S3-Carbon-Standards'!K5, IF(D15="IPCC AR6 EA", 'S3-Carbon-Standards'!L5, IF(D15="TGS4",500,IF(D15="CaGBC ZCB D",425,IF(D15="CaGBC ZCB P",425,IF(D15="Self Reported",I$41,"N/A")))))))</f>
        <v>N/A</v>
      </c>
      <c r="E16" s="530" t="s">
        <v>333</v>
      </c>
      <c r="F16" s="966" t="s">
        <v>1779</v>
      </c>
      <c r="G16" s="1792"/>
      <c r="H16" s="1800" t="str">
        <f>REPORT!H16</f>
        <v>Your Company Name, Inc.</v>
      </c>
      <c r="I16" s="1792"/>
      <c r="J16" s="1792"/>
      <c r="K16" s="1914" t="s">
        <v>2040</v>
      </c>
      <c r="L16" s="1933">
        <f>REPORT!L16</f>
        <v>1.5</v>
      </c>
      <c r="M16" s="1852" t="s">
        <v>1706</v>
      </c>
      <c r="N16" s="31"/>
      <c r="O16" s="721"/>
      <c r="Q16" s="213"/>
      <c r="R16" s="31"/>
      <c r="T16" s="1479"/>
      <c r="U16" s="91" t="s">
        <v>395</v>
      </c>
    </row>
    <row r="17" spans="1:21" s="203" customFormat="1" ht="50" customHeight="1">
      <c r="B17" s="1923"/>
      <c r="C17" s="1924"/>
      <c r="D17" s="205"/>
      <c r="E17" s="1925"/>
      <c r="F17" s="1904" t="s">
        <v>1684</v>
      </c>
      <c r="G17" s="1905"/>
      <c r="H17" s="1926" t="str">
        <f>REPORT!H17</f>
        <v>XXXX</v>
      </c>
      <c r="I17" s="1927"/>
      <c r="J17" s="1924"/>
      <c r="K17" s="108"/>
      <c r="L17" s="108"/>
      <c r="M17" s="108"/>
      <c r="N17" s="1928"/>
      <c r="O17" s="1929"/>
      <c r="Q17" s="1930"/>
      <c r="R17" s="1928"/>
      <c r="T17" s="1931"/>
      <c r="U17" s="1932"/>
    </row>
    <row r="18" spans="1:21" ht="40" customHeight="1" thickBot="1">
      <c r="B18" s="760"/>
      <c r="C18" s="1206" t="s">
        <v>2064</v>
      </c>
      <c r="D18" s="1206" t="s">
        <v>36</v>
      </c>
      <c r="E18" s="1206" t="s">
        <v>824</v>
      </c>
      <c r="F18" s="1208"/>
      <c r="G18" s="1208"/>
      <c r="H18" s="1206" t="s">
        <v>36</v>
      </c>
      <c r="I18" s="1206" t="s">
        <v>824</v>
      </c>
      <c r="J18" s="1207"/>
      <c r="K18" s="1207"/>
      <c r="L18" s="1207"/>
      <c r="M18" s="1200" t="s">
        <v>815</v>
      </c>
      <c r="N18" s="25"/>
      <c r="O18" s="719"/>
      <c r="P18" s="26"/>
      <c r="Q18" s="212"/>
      <c r="R18" s="31"/>
      <c r="T18" s="1481"/>
      <c r="U18" s="143"/>
    </row>
    <row r="19" spans="1:21" s="230" customFormat="1" ht="30" customHeight="1" thickTop="1">
      <c r="B19" s="1250"/>
      <c r="C19" s="917" t="s">
        <v>1553</v>
      </c>
      <c r="D19" s="1419" t="str">
        <f>REPORT!D19</f>
        <v>ON</v>
      </c>
      <c r="E19" s="1807"/>
      <c r="F19" s="765" t="s">
        <v>1554</v>
      </c>
      <c r="G19" s="1807"/>
      <c r="H19" s="1779" t="str">
        <f>REPORT!H19</f>
        <v>Alexandria</v>
      </c>
      <c r="I19" s="933" t="s">
        <v>879</v>
      </c>
      <c r="J19" s="934">
        <f>IF(D20&lt;3000, 4, IF(D20&lt;4000, 5, IF(D20&lt;5000, 6, IF(D20&lt;6000, 7.1, IF(D20&lt;7000, 7.2, 8)))))</f>
        <v>6</v>
      </c>
      <c r="K19" s="93" t="s">
        <v>2003</v>
      </c>
      <c r="L19" s="1791"/>
      <c r="M19" s="1900">
        <f>REPORT!M19</f>
        <v>120</v>
      </c>
      <c r="N19" s="232"/>
      <c r="O19" s="722"/>
      <c r="P19" s="232"/>
      <c r="Q19" s="232"/>
      <c r="R19" s="1788"/>
      <c r="T19" s="1789"/>
      <c r="U19" s="1790"/>
    </row>
    <row r="20" spans="1:21" ht="25" customHeight="1">
      <c r="B20" s="83"/>
      <c r="C20" s="930" t="s">
        <v>817</v>
      </c>
      <c r="D20" s="1811">
        <f>REPORT!D20</f>
        <v>4600</v>
      </c>
      <c r="E20" s="931"/>
      <c r="F20" s="932" t="s">
        <v>2006</v>
      </c>
      <c r="H20" s="1808" t="str">
        <f>REPORT!H20</f>
        <v>Present</v>
      </c>
      <c r="K20" s="935"/>
      <c r="L20" s="871"/>
      <c r="M20" s="936"/>
      <c r="N20" s="86"/>
      <c r="O20" s="723"/>
      <c r="P20" s="87"/>
      <c r="Q20" s="214"/>
      <c r="R20" s="56"/>
      <c r="T20" s="1481"/>
      <c r="U20" s="91" t="s">
        <v>274</v>
      </c>
    </row>
    <row r="21" spans="1:21" ht="25" customHeight="1">
      <c r="A21" s="83"/>
      <c r="C21" s="313" t="s">
        <v>912</v>
      </c>
      <c r="D21" s="1812">
        <f>REPORT!D21</f>
        <v>196</v>
      </c>
      <c r="E21" s="1896" t="str">
        <f>IF(D21=666, "Undefined CDD for Location, Add to Climate Table", "")</f>
        <v/>
      </c>
      <c r="F21" s="462" t="s">
        <v>2002</v>
      </c>
      <c r="G21" s="142"/>
      <c r="H21" s="1944" t="s">
        <v>1547</v>
      </c>
      <c r="I21" s="1945">
        <v>0.5</v>
      </c>
      <c r="J21" s="142"/>
      <c r="K21" s="1805"/>
      <c r="L21" s="139"/>
      <c r="M21" s="140"/>
      <c r="N21" s="86"/>
      <c r="O21" s="723"/>
      <c r="P21" s="87"/>
      <c r="Q21" s="214"/>
      <c r="R21" s="56"/>
      <c r="T21" s="1481"/>
      <c r="U21" s="485" t="s">
        <v>1436</v>
      </c>
    </row>
    <row r="22" spans="1:21" ht="25" customHeight="1">
      <c r="B22" s="83"/>
      <c r="C22" s="316" t="s">
        <v>1839</v>
      </c>
      <c r="D22" s="1804">
        <f>REPORT!D22</f>
        <v>1960</v>
      </c>
      <c r="E22" s="84"/>
      <c r="F22" s="103" t="s">
        <v>1840</v>
      </c>
      <c r="H22" s="1804">
        <f>IF(H21="Static", SCHEDULES!N4, SCHEDULES!N5)</f>
        <v>-1680</v>
      </c>
      <c r="I22" s="1809"/>
      <c r="J22" s="462"/>
      <c r="N22" s="25"/>
      <c r="O22" s="719"/>
      <c r="P22" s="26"/>
      <c r="Q22" s="212"/>
      <c r="R22" s="56"/>
      <c r="T22" s="1481"/>
      <c r="U22" s="149" t="s">
        <v>305</v>
      </c>
    </row>
    <row r="23" spans="1:21" ht="25" customHeight="1">
      <c r="B23" s="83"/>
      <c r="C23" s="314" t="s">
        <v>1841</v>
      </c>
      <c r="D23" s="1798">
        <f>REPORT!D23</f>
        <v>-26</v>
      </c>
      <c r="E23" s="1903">
        <f>D23*2+30</f>
        <v>-22</v>
      </c>
      <c r="F23" s="93" t="s">
        <v>2034</v>
      </c>
      <c r="G23" s="103"/>
      <c r="H23" s="1798">
        <f>T23</f>
        <v>22</v>
      </c>
      <c r="I23" s="1798">
        <f>H23*2+30</f>
        <v>74</v>
      </c>
      <c r="J23" s="148"/>
      <c r="K23" s="148"/>
      <c r="L23" s="148"/>
      <c r="M23" s="1977">
        <f>T23/H23</f>
        <v>1</v>
      </c>
      <c r="N23" s="26"/>
      <c r="O23" s="719"/>
      <c r="P23" s="26"/>
      <c r="Q23" s="212"/>
      <c r="R23" s="90"/>
      <c r="T23" s="1490">
        <f>INDEX('CODE-VALUES'!$C23:$S23, 1, MATCH(S2RefStandard, 'CODE-VALUES'!$C$2:$S$2, 0))</f>
        <v>22</v>
      </c>
      <c r="U23" s="91" t="s">
        <v>427</v>
      </c>
    </row>
    <row r="24" spans="1:21" ht="25" customHeight="1">
      <c r="B24" s="83"/>
      <c r="C24" s="1901" t="s">
        <v>1842</v>
      </c>
      <c r="D24" s="1898">
        <f>REPORT!D24</f>
        <v>34</v>
      </c>
      <c r="E24" s="1903">
        <f>D24*2+30</f>
        <v>98</v>
      </c>
      <c r="F24" s="1897" t="s">
        <v>2035</v>
      </c>
      <c r="G24" s="1806"/>
      <c r="H24" s="1902">
        <f>T24</f>
        <v>26</v>
      </c>
      <c r="I24" s="1898">
        <f>H24*2+30</f>
        <v>82</v>
      </c>
      <c r="J24" s="1899"/>
      <c r="K24" s="1806"/>
      <c r="L24" s="1806"/>
      <c r="M24" s="1979">
        <f>T24/H24</f>
        <v>1</v>
      </c>
      <c r="N24" s="26"/>
      <c r="O24" s="719"/>
      <c r="P24" s="26"/>
      <c r="Q24" s="212"/>
      <c r="R24" s="90"/>
      <c r="T24" s="1490">
        <f>INDEX('CODE-VALUES'!$C24:$S24, 1, MATCH(S2RefStandard, 'CODE-VALUES'!$C$2:$S$2, 0))</f>
        <v>26</v>
      </c>
      <c r="U24" s="94" t="s">
        <v>275</v>
      </c>
    </row>
    <row r="25" spans="1:21" ht="25" customHeight="1">
      <c r="B25" s="83"/>
      <c r="C25" s="945"/>
      <c r="D25" s="946"/>
      <c r="E25" s="947"/>
      <c r="F25" s="948"/>
      <c r="G25" s="92"/>
      <c r="H25" s="949"/>
      <c r="I25" s="105"/>
      <c r="J25" s="105"/>
      <c r="K25" s="105"/>
      <c r="L25" s="204"/>
      <c r="M25" s="117"/>
      <c r="N25" s="26"/>
      <c r="O25" s="719"/>
      <c r="P25" s="26"/>
      <c r="Q25" s="212"/>
      <c r="R25" s="90"/>
      <c r="T25" s="1481"/>
      <c r="U25" s="94"/>
    </row>
    <row r="26" spans="1:21" ht="50" customHeight="1" thickBot="1">
      <c r="B26" s="50"/>
      <c r="C26" s="1191" t="s">
        <v>2065</v>
      </c>
      <c r="D26" s="2357" t="s">
        <v>826</v>
      </c>
      <c r="E26" s="2357"/>
      <c r="F26" s="1192" t="s">
        <v>1439</v>
      </c>
      <c r="G26" s="1193" t="s">
        <v>1783</v>
      </c>
      <c r="H26" s="2357" t="s">
        <v>827</v>
      </c>
      <c r="I26" s="2357"/>
      <c r="J26" s="1192" t="s">
        <v>1440</v>
      </c>
      <c r="K26" s="1193" t="s">
        <v>1784</v>
      </c>
      <c r="L26" s="2357" t="s">
        <v>790</v>
      </c>
      <c r="M26" s="2357"/>
      <c r="O26" s="721" t="s">
        <v>524</v>
      </c>
      <c r="Q26" s="212"/>
      <c r="R26" s="51"/>
      <c r="T26" s="1479"/>
      <c r="U26" s="144" t="s">
        <v>21</v>
      </c>
    </row>
    <row r="27" spans="1:21" ht="26" customHeight="1" thickTop="1">
      <c r="B27" s="52"/>
      <c r="C27" s="917" t="s">
        <v>791</v>
      </c>
      <c r="D27" s="1397">
        <f>REPORT!D27</f>
        <v>132938</v>
      </c>
      <c r="E27" s="919" t="s">
        <v>0</v>
      </c>
      <c r="F27" s="920">
        <f>D27-D43-I44</f>
        <v>132938</v>
      </c>
      <c r="G27" s="921">
        <f>F27*L27/1000</f>
        <v>6779.8379999999997</v>
      </c>
      <c r="H27" s="1229">
        <f>D$136</f>
        <v>333724.08039830287</v>
      </c>
      <c r="I27" s="901" t="s">
        <v>0</v>
      </c>
      <c r="J27" s="923">
        <f>H27-D43-I44</f>
        <v>333724.08039830287</v>
      </c>
      <c r="K27" s="924">
        <f>J27*L27/1000</f>
        <v>17019.928100313446</v>
      </c>
      <c r="L27" s="925">
        <f>IF(D19="ON",_xlfn.XLOOKUP(H12,AEFYear,AEFvalues),IF(D19="AB",650,IF(D19="SK",720,IF(D19="MB",3,IF(D19="BC",12,IF(D19="NB",340,IF(D19="NL",30,IF(D19="NS",600,IF(D19="NT",180,IF(D19="NU",200,IF(D19="PE",12,IF(D19="QC",1,IF(D19="YT",2,0)))))))))))))</f>
        <v>51</v>
      </c>
      <c r="M27" s="926" t="s">
        <v>334</v>
      </c>
      <c r="P27" s="2356" t="s">
        <v>493</v>
      </c>
      <c r="Q27" s="2356"/>
      <c r="R27" s="31"/>
      <c r="T27" s="1497"/>
      <c r="U27" s="91" t="s">
        <v>20</v>
      </c>
    </row>
    <row r="28" spans="1:21" ht="26" customHeight="1">
      <c r="B28" s="52"/>
      <c r="C28" s="532" t="s">
        <v>792</v>
      </c>
      <c r="D28" s="1398">
        <f>REPORT!D28</f>
        <v>0</v>
      </c>
      <c r="E28" s="538" t="s">
        <v>310</v>
      </c>
      <c r="F28" s="539">
        <f>D28*0.0373*277.7778</f>
        <v>0</v>
      </c>
      <c r="G28" s="540">
        <f>(D28)*L28/1000</f>
        <v>0</v>
      </c>
      <c r="H28" s="1230">
        <f>E51+H115</f>
        <v>0</v>
      </c>
      <c r="I28" s="542" t="s">
        <v>310</v>
      </c>
      <c r="J28" s="543">
        <f>H28*0.0373*277.7778</f>
        <v>0</v>
      </c>
      <c r="K28" s="544">
        <f>H28*L28/1000</f>
        <v>0</v>
      </c>
      <c r="L28" s="545">
        <v>1921</v>
      </c>
      <c r="M28" s="546" t="s">
        <v>335</v>
      </c>
      <c r="P28" s="1915">
        <f>IF(H12=2022, 65, IF(H12=2023, 65, IF(H12=2024, 80, IF(H12=2025, 95, IF(H12=2026, 110, IF(H12=2027, 125, IF(H12=2028, 140, IF(H12=2029, 155, IF(H12=2030, 170, "$30.00")))))))))</f>
        <v>65</v>
      </c>
      <c r="Q28" s="1916" t="s">
        <v>494</v>
      </c>
      <c r="R28" s="56"/>
      <c r="T28" s="1479"/>
      <c r="U28" s="91" t="s">
        <v>20</v>
      </c>
    </row>
    <row r="29" spans="1:21" ht="26" customHeight="1">
      <c r="B29" s="52"/>
      <c r="C29" s="532" t="s">
        <v>793</v>
      </c>
      <c r="D29" s="558">
        <f>REPORT!D29</f>
        <v>0</v>
      </c>
      <c r="E29" s="538" t="s">
        <v>312</v>
      </c>
      <c r="F29" s="539">
        <f>D29*14.019</f>
        <v>0</v>
      </c>
      <c r="G29" s="540">
        <f>D29*L29/1000</f>
        <v>0</v>
      </c>
      <c r="H29" s="1230">
        <f>D29</f>
        <v>0</v>
      </c>
      <c r="I29" s="542" t="s">
        <v>312</v>
      </c>
      <c r="J29" s="543">
        <f>H29*14.019</f>
        <v>0</v>
      </c>
      <c r="K29" s="544">
        <f>H29*L29/1000</f>
        <v>0</v>
      </c>
      <c r="L29" s="545">
        <v>2970</v>
      </c>
      <c r="M29" s="546" t="s">
        <v>338</v>
      </c>
      <c r="P29" s="1915">
        <f>P28*D37</f>
        <v>0</v>
      </c>
      <c r="Q29" s="1916" t="s">
        <v>496</v>
      </c>
      <c r="R29" s="56"/>
      <c r="T29" s="1479"/>
      <c r="U29" s="91" t="s">
        <v>336</v>
      </c>
    </row>
    <row r="30" spans="1:21" ht="26" customHeight="1">
      <c r="B30" s="52"/>
      <c r="C30" s="532" t="s">
        <v>794</v>
      </c>
      <c r="D30" s="558">
        <f>REPORT!D30</f>
        <v>0</v>
      </c>
      <c r="E30" s="538" t="s">
        <v>3</v>
      </c>
      <c r="F30" s="539">
        <f>D30*36.72*0.2777778</f>
        <v>0</v>
      </c>
      <c r="G30" s="540">
        <f>D30*L30/1000</f>
        <v>0</v>
      </c>
      <c r="H30" s="1230">
        <f>D30</f>
        <v>0</v>
      </c>
      <c r="I30" s="542" t="s">
        <v>3</v>
      </c>
      <c r="J30" s="543">
        <f>H30*36.72*0.2777778</f>
        <v>0</v>
      </c>
      <c r="K30" s="544">
        <f>H30*L30/1000</f>
        <v>0</v>
      </c>
      <c r="L30" s="545">
        <v>2753</v>
      </c>
      <c r="M30" s="546" t="s">
        <v>337</v>
      </c>
      <c r="P30" s="1917">
        <f>P28*D40</f>
        <v>25403.176395999999</v>
      </c>
      <c r="Q30" s="1916" t="s">
        <v>495</v>
      </c>
      <c r="R30" s="31"/>
      <c r="T30" s="1479"/>
      <c r="U30" s="91" t="s">
        <v>20</v>
      </c>
    </row>
    <row r="31" spans="1:21" ht="26" customHeight="1" thickBot="1">
      <c r="B31" s="52"/>
      <c r="C31" s="532" t="s">
        <v>1827</v>
      </c>
      <c r="D31" s="558">
        <f>REPORT!D31</f>
        <v>0</v>
      </c>
      <c r="E31" s="538" t="s">
        <v>310</v>
      </c>
      <c r="F31" s="539">
        <f>D31*1000</f>
        <v>0</v>
      </c>
      <c r="G31" s="540">
        <f>H31*L31</f>
        <v>0</v>
      </c>
      <c r="H31" s="1230">
        <f>D31</f>
        <v>0</v>
      </c>
      <c r="I31" s="542" t="s">
        <v>310</v>
      </c>
      <c r="J31" s="543">
        <f>H31*1000</f>
        <v>0</v>
      </c>
      <c r="K31" s="544">
        <f>H31*L31</f>
        <v>0</v>
      </c>
      <c r="L31" s="549">
        <v>150</v>
      </c>
      <c r="M31" s="546" t="s">
        <v>426</v>
      </c>
      <c r="P31" s="222"/>
      <c r="Q31" s="212"/>
      <c r="R31" s="31"/>
      <c r="T31" s="1479"/>
      <c r="U31" s="91" t="s">
        <v>20</v>
      </c>
    </row>
    <row r="32" spans="1:21" ht="26" customHeight="1" thickTop="1">
      <c r="B32" s="52"/>
      <c r="C32" s="532" t="s">
        <v>2051</v>
      </c>
      <c r="D32" s="550"/>
      <c r="E32" s="538"/>
      <c r="F32" s="1454">
        <f>SUM(F27:F31)</f>
        <v>132938</v>
      </c>
      <c r="G32" s="1455">
        <f>SUM(G27:G31)-(D60*1000)</f>
        <v>6779.8379999999997</v>
      </c>
      <c r="H32" s="551"/>
      <c r="I32" s="542"/>
      <c r="J32" s="1454">
        <f>SUM(J27:J31)</f>
        <v>333724.08039830287</v>
      </c>
      <c r="K32" s="1455">
        <f>SUM(K27:K31)-(D60*1000)</f>
        <v>17019.928100313446</v>
      </c>
      <c r="L32" s="551"/>
      <c r="M32" s="552"/>
      <c r="P32" s="223"/>
      <c r="Q32" s="212"/>
      <c r="R32" s="76"/>
      <c r="T32" s="1479"/>
      <c r="U32" s="91"/>
    </row>
    <row r="33" spans="2:21" ht="26" customHeight="1">
      <c r="B33" s="52"/>
      <c r="C33" s="532" t="s">
        <v>1828</v>
      </c>
      <c r="D33" s="553">
        <f>SUM(F$27+F$28+F$29+F$30+F$31-D43-I43)/277.7777</f>
        <v>478.57693400154153</v>
      </c>
      <c r="E33" s="530" t="s">
        <v>308</v>
      </c>
      <c r="F33" s="534"/>
      <c r="G33" s="534"/>
      <c r="H33" s="554">
        <f>SUM(J$27+J$28+J$29+J$30+J$31-I44-D43)/277.7777</f>
        <v>1201.4070258278578</v>
      </c>
      <c r="I33" s="555" t="s">
        <v>308</v>
      </c>
      <c r="J33" s="556"/>
      <c r="K33" s="556"/>
      <c r="L33" s="557"/>
      <c r="M33" s="557"/>
      <c r="N33" s="25"/>
      <c r="O33" s="719"/>
      <c r="P33" s="221"/>
      <c r="Q33" s="212"/>
      <c r="R33" s="31"/>
      <c r="T33" s="1479"/>
      <c r="U33" s="91" t="s">
        <v>20</v>
      </c>
    </row>
    <row r="34" spans="2:21" ht="26" customHeight="1">
      <c r="B34" s="52"/>
      <c r="C34" s="532" t="s">
        <v>1829</v>
      </c>
      <c r="D34" s="558">
        <f>(F27+F28)/D63</f>
        <v>1055.063492063492</v>
      </c>
      <c r="E34" s="528" t="s">
        <v>830</v>
      </c>
      <c r="F34" s="559">
        <f>D33/D63</f>
        <v>3.7982296349328695</v>
      </c>
      <c r="G34" s="560" t="s">
        <v>831</v>
      </c>
      <c r="H34" s="561">
        <f>(J27+J28)/D63</f>
        <v>2648.6038126849435</v>
      </c>
      <c r="I34" s="562" t="s">
        <v>832</v>
      </c>
      <c r="J34" s="563">
        <f>H33/D63</f>
        <v>9.5349763954591893</v>
      </c>
      <c r="K34" s="564" t="s">
        <v>833</v>
      </c>
      <c r="L34" s="1456">
        <f>K32/D63</f>
        <v>135.07879444693211</v>
      </c>
      <c r="M34" s="546" t="s">
        <v>1885</v>
      </c>
      <c r="N34" s="26"/>
      <c r="O34" s="719"/>
      <c r="P34" s="221"/>
      <c r="Q34" s="212"/>
      <c r="R34" s="76"/>
      <c r="T34" s="1479"/>
      <c r="U34" s="91"/>
    </row>
    <row r="35" spans="2:21" ht="26" customHeight="1">
      <c r="B35" s="52"/>
      <c r="C35" s="532" t="s">
        <v>2008</v>
      </c>
      <c r="D35" s="558">
        <f>IF(D14="Targeted Use", J27*H35, F27*H35)</f>
        <v>333724.08039830287</v>
      </c>
      <c r="E35" s="530" t="s">
        <v>0</v>
      </c>
      <c r="F35" s="558">
        <f>D35/H15</f>
        <v>233.83133435979741</v>
      </c>
      <c r="G35" s="528" t="s">
        <v>4</v>
      </c>
      <c r="H35" s="1949">
        <v>1</v>
      </c>
      <c r="I35" s="528" t="s">
        <v>501</v>
      </c>
      <c r="J35" s="534"/>
      <c r="K35" s="534"/>
      <c r="L35" s="534"/>
      <c r="M35" s="2233" t="s">
        <v>414</v>
      </c>
      <c r="N35" s="25"/>
      <c r="O35" s="719"/>
      <c r="P35" s="221"/>
      <c r="Q35" s="212"/>
      <c r="R35" s="31"/>
      <c r="T35" s="1486">
        <f>INDEX('CODE-VALUES'!$C35:$S35, 1, MATCH(S2RefStandard, 'CODE-VALUES'!$C$2:$S$2, 0))</f>
        <v>0</v>
      </c>
      <c r="U35" s="91" t="s">
        <v>1726</v>
      </c>
    </row>
    <row r="36" spans="2:21" ht="25" customHeight="1">
      <c r="B36" s="57"/>
      <c r="C36" s="58"/>
      <c r="D36" s="59"/>
      <c r="E36" s="62"/>
      <c r="F36" s="60"/>
      <c r="G36" s="61"/>
      <c r="H36" s="61"/>
      <c r="I36" s="61"/>
      <c r="J36" s="61"/>
      <c r="K36" s="60"/>
      <c r="L36" s="61"/>
      <c r="M36" s="62"/>
      <c r="N36" s="25"/>
      <c r="O36" s="719"/>
      <c r="P36" s="221"/>
      <c r="Q36" s="212"/>
      <c r="R36" s="31"/>
      <c r="T36" s="1480"/>
      <c r="U36" s="143"/>
    </row>
    <row r="37" spans="2:21" ht="40" customHeight="1" thickBot="1">
      <c r="B37" s="57"/>
      <c r="C37" s="1194" t="s">
        <v>2081</v>
      </c>
      <c r="D37" s="1992"/>
      <c r="E37" s="1195"/>
      <c r="F37" s="1195"/>
      <c r="G37" s="1194" t="s">
        <v>2054</v>
      </c>
      <c r="H37" s="1195"/>
      <c r="I37" s="1772" t="s">
        <v>2054</v>
      </c>
      <c r="J37" s="1195"/>
      <c r="K37" s="1195"/>
      <c r="L37" s="1196"/>
      <c r="M37" s="1197">
        <f>G38/T37</f>
        <v>0.39751326841165557</v>
      </c>
      <c r="N37" s="25"/>
      <c r="O37" s="719"/>
      <c r="P37" s="221"/>
      <c r="Q37" s="212"/>
      <c r="R37" s="56"/>
      <c r="T37" s="1487">
        <f>INDEX('CODE-VALUES'!$C37:$S37, 1, MATCH(S2RefStandard, 'CODE-VALUES'!$C$2:$S$2, 0))</f>
        <v>30</v>
      </c>
      <c r="U37" s="91" t="s">
        <v>22</v>
      </c>
    </row>
    <row r="38" spans="2:21" ht="30" customHeight="1" thickTop="1">
      <c r="B38" s="57"/>
      <c r="C38" s="1954" t="s">
        <v>2050</v>
      </c>
      <c r="D38" s="1959">
        <f>IF(D14="Utility Bills", (G32/1000), (K32/1000))</f>
        <v>17.019928100313447</v>
      </c>
      <c r="E38" s="1958" t="s">
        <v>351</v>
      </c>
      <c r="F38" s="1700"/>
      <c r="G38" s="1961">
        <f>IF(D14="Utility Bills", G32/H15, K32/H15)</f>
        <v>11.925398052349667</v>
      </c>
      <c r="I38" s="1973">
        <f>G38*H13</f>
        <v>596.26990261748335</v>
      </c>
      <c r="J38" s="33" t="s">
        <v>2049</v>
      </c>
      <c r="K38" s="1700"/>
      <c r="M38" s="1955"/>
      <c r="N38" s="26"/>
      <c r="O38" s="719"/>
      <c r="P38" s="221"/>
      <c r="Q38" s="212"/>
      <c r="R38" s="90"/>
      <c r="T38" s="1956"/>
      <c r="U38" s="91"/>
    </row>
    <row r="39" spans="2:21" ht="25" customHeight="1">
      <c r="B39" s="66"/>
      <c r="C39" s="762" t="s">
        <v>2046</v>
      </c>
      <c r="D39" s="2335" t="s">
        <v>1993</v>
      </c>
      <c r="E39" s="2335"/>
      <c r="F39" s="1891"/>
      <c r="G39" s="867" t="s">
        <v>2151</v>
      </c>
      <c r="H39" s="1891"/>
      <c r="I39" s="1970">
        <f>IF(D39="Pt.9 Res. Stick Frame",125,IF(D39="Pt.9 Small Mass Timber",250,IF(D39="Pt.3 Mass Timber",350,IF(D39="Pt.3 Concrete",550,IF(D39="Pt.3 Steel",650,IF(D39="Pt.3 Office",600,IF(D39="Modelled Value",I$41,"Pls. Select a Value")))))))</f>
        <v>350</v>
      </c>
      <c r="J39" s="1806"/>
      <c r="K39" s="1806"/>
      <c r="L39" s="1964"/>
      <c r="M39" s="2231">
        <f>IF(ISNUMBER(I39), I41/I39, "N/A")</f>
        <v>0.98805714285714286</v>
      </c>
      <c r="N39" s="25"/>
      <c r="O39" s="721" t="s">
        <v>524</v>
      </c>
      <c r="Q39" s="212"/>
      <c r="R39" s="31"/>
      <c r="T39" s="1486">
        <f>INDEX('CODE-VALUES'!$C39:$S39, 1, MATCH(S2RefStandard, 'CODE-VALUES'!$C$2:$S$2, 0))</f>
        <v>500</v>
      </c>
      <c r="U39" s="91" t="s">
        <v>23</v>
      </c>
    </row>
    <row r="40" spans="2:21" ht="25" customHeight="1">
      <c r="B40" s="66"/>
      <c r="C40" s="1966" t="s">
        <v>2045</v>
      </c>
      <c r="D40" s="1974">
        <f>I41*D106/1000</f>
        <v>390.8180984</v>
      </c>
      <c r="E40" s="1963" t="s">
        <v>2047</v>
      </c>
      <c r="F40" s="1806"/>
      <c r="G40" s="533" t="s">
        <v>332</v>
      </c>
      <c r="H40" s="1891"/>
      <c r="I40" s="1971" t="str">
        <f>D16</f>
        <v>N/A</v>
      </c>
      <c r="J40" s="1891"/>
      <c r="L40" s="1891"/>
      <c r="M40" s="2231" t="str">
        <f>IF(ISNUMBER(I40), I41/T40, "N/A")</f>
        <v>N/A</v>
      </c>
      <c r="N40" s="25"/>
      <c r="O40" s="719"/>
      <c r="P40" s="223"/>
      <c r="Q40" s="212"/>
      <c r="R40" s="31"/>
      <c r="T40" s="1486">
        <f>INDEX('CODE-VALUES'!$C40:$S40, 1, MATCH(S2RefStandard, 'CODE-VALUES'!$C$2:$S$2, 0))</f>
        <v>500</v>
      </c>
      <c r="U40" s="91" t="s">
        <v>24</v>
      </c>
    </row>
    <row r="41" spans="2:21" ht="50" customHeight="1">
      <c r="B41" s="66"/>
      <c r="C41" s="1967" t="s">
        <v>2052</v>
      </c>
      <c r="D41" s="1968">
        <f>(REFERENCE!D37-REPORT!D38)*H13</f>
        <v>-338.99189999999999</v>
      </c>
      <c r="E41" s="1969" t="s">
        <v>339</v>
      </c>
      <c r="G41" s="1965" t="s">
        <v>2053</v>
      </c>
      <c r="H41" s="1693"/>
      <c r="I41" s="1953">
        <v>345.82</v>
      </c>
      <c r="J41" s="1975"/>
      <c r="K41" s="1550"/>
      <c r="L41" s="1962"/>
      <c r="M41" s="2232" t="str">
        <f>IF(ISNUMBER(I40), I41/I40, "N/A")</f>
        <v>N/A</v>
      </c>
      <c r="N41" s="25"/>
      <c r="O41" s="719"/>
      <c r="P41" s="26"/>
      <c r="Q41" s="212"/>
      <c r="R41" s="31"/>
      <c r="T41" s="1480"/>
      <c r="U41" s="143"/>
    </row>
    <row r="42" spans="2:21" ht="40" customHeight="1" thickBot="1">
      <c r="B42" s="57"/>
      <c r="C42" s="1198" t="s">
        <v>2077</v>
      </c>
      <c r="D42" s="1772" t="s">
        <v>0</v>
      </c>
      <c r="E42" s="1199"/>
      <c r="F42" s="1194"/>
      <c r="G42" s="1199"/>
      <c r="H42" s="1199"/>
      <c r="I42" s="1772" t="s">
        <v>0</v>
      </c>
      <c r="J42" s="1199"/>
      <c r="K42" s="1199"/>
      <c r="L42" s="1199"/>
      <c r="M42" s="1772" t="s">
        <v>0</v>
      </c>
      <c r="N42" s="25"/>
      <c r="O42" s="719"/>
      <c r="P42" s="26"/>
      <c r="Q42" s="212"/>
      <c r="R42" s="31"/>
      <c r="T42" s="1480"/>
      <c r="U42" s="91" t="s">
        <v>425</v>
      </c>
    </row>
    <row r="43" spans="2:21" s="230" customFormat="1" ht="30" customHeight="1" thickTop="1">
      <c r="B43" s="354"/>
      <c r="C43" s="2044" t="s">
        <v>2076</v>
      </c>
      <c r="D43" s="2054">
        <f>SUM(D44:D46)+I46</f>
        <v>0</v>
      </c>
      <c r="E43" s="2045"/>
      <c r="F43" s="2043"/>
      <c r="G43" s="2021" t="s">
        <v>2028</v>
      </c>
      <c r="H43" s="2045"/>
      <c r="I43" s="2049">
        <f>I44+I46</f>
        <v>0</v>
      </c>
      <c r="J43" s="2045"/>
      <c r="K43" s="2045"/>
      <c r="L43" s="2046" t="s">
        <v>2029</v>
      </c>
      <c r="M43" s="2047">
        <f>REPORT!M43</f>
        <v>0</v>
      </c>
      <c r="N43" s="232"/>
      <c r="O43" s="722"/>
      <c r="P43" s="232"/>
      <c r="Q43" s="232"/>
      <c r="R43" s="1788"/>
      <c r="T43" s="1482"/>
      <c r="U43" s="356"/>
    </row>
    <row r="44" spans="2:21" ht="27" customHeight="1">
      <c r="B44" s="66"/>
      <c r="C44" s="2048" t="s">
        <v>1831</v>
      </c>
      <c r="D44" s="2049">
        <f>REPORT!D44</f>
        <v>0</v>
      </c>
      <c r="E44" s="2050"/>
      <c r="F44" s="2051"/>
      <c r="G44" s="2052" t="s">
        <v>1833</v>
      </c>
      <c r="H44" s="2051"/>
      <c r="I44" s="2049">
        <v>0</v>
      </c>
      <c r="J44" s="2050"/>
      <c r="K44" s="2051"/>
      <c r="L44" s="2051"/>
      <c r="M44" s="2051"/>
      <c r="N44" s="25"/>
      <c r="O44" s="719"/>
      <c r="P44" s="26"/>
      <c r="Q44" s="212"/>
      <c r="R44" s="31"/>
      <c r="T44" s="1480"/>
      <c r="U44" s="91" t="s">
        <v>271</v>
      </c>
    </row>
    <row r="45" spans="2:21" ht="27" customHeight="1">
      <c r="B45" s="66"/>
      <c r="C45" s="2048" t="s">
        <v>1830</v>
      </c>
      <c r="D45" s="2049">
        <f>REPORT!D45</f>
        <v>0</v>
      </c>
      <c r="E45" s="2050"/>
      <c r="F45" s="2051"/>
      <c r="G45" s="2052" t="s">
        <v>1834</v>
      </c>
      <c r="H45" s="2051"/>
      <c r="I45" s="2053">
        <f>L45*10.3321</f>
        <v>0</v>
      </c>
      <c r="J45" s="2050" t="s">
        <v>2</v>
      </c>
      <c r="K45" s="2051"/>
      <c r="L45" s="2049">
        <v>0</v>
      </c>
      <c r="M45" s="2050" t="s">
        <v>2078</v>
      </c>
      <c r="N45" s="25"/>
      <c r="O45" s="719"/>
      <c r="P45" s="26"/>
      <c r="Q45" s="212"/>
      <c r="R45" s="31"/>
      <c r="T45" s="1480"/>
      <c r="U45" s="91" t="s">
        <v>25</v>
      </c>
    </row>
    <row r="46" spans="2:21" ht="27" customHeight="1">
      <c r="B46" s="66"/>
      <c r="C46" s="2048" t="s">
        <v>1832</v>
      </c>
      <c r="D46" s="2049">
        <f>REPORT!D46</f>
        <v>0</v>
      </c>
      <c r="E46" s="2050"/>
      <c r="F46" s="2051"/>
      <c r="G46" s="2052" t="s">
        <v>1835</v>
      </c>
      <c r="H46" s="2051"/>
      <c r="I46" s="2049">
        <v>0</v>
      </c>
      <c r="J46" s="2050"/>
      <c r="K46" s="2051"/>
      <c r="L46" s="2051"/>
      <c r="M46" s="2051"/>
      <c r="N46" s="25"/>
      <c r="O46" s="719"/>
      <c r="P46" s="26"/>
      <c r="Q46" s="212"/>
      <c r="R46" s="31"/>
      <c r="T46" s="1480"/>
      <c r="U46" s="91" t="s">
        <v>354</v>
      </c>
    </row>
    <row r="47" spans="2:21" ht="30" customHeight="1">
      <c r="B47" s="57"/>
      <c r="C47" s="2040"/>
      <c r="D47" s="2041"/>
      <c r="E47" s="2041"/>
      <c r="F47" s="105"/>
      <c r="G47" s="105"/>
      <c r="H47" s="105"/>
      <c r="I47" s="105"/>
      <c r="J47" s="2042"/>
      <c r="K47" s="1962"/>
      <c r="L47" s="1962"/>
      <c r="M47" s="105"/>
      <c r="N47" s="25"/>
      <c r="O47" s="719"/>
      <c r="P47" s="26"/>
      <c r="Q47" s="212"/>
      <c r="R47" s="31"/>
      <c r="T47" s="1480"/>
      <c r="U47" s="143"/>
    </row>
    <row r="48" spans="2:21" ht="40" customHeight="1" thickBot="1">
      <c r="B48" s="57"/>
      <c r="C48" s="1194" t="s">
        <v>2067</v>
      </c>
      <c r="D48" s="1999" t="s">
        <v>346</v>
      </c>
      <c r="E48" s="1194"/>
      <c r="F48" s="1194"/>
      <c r="G48" s="1194"/>
      <c r="H48" s="2000" t="s">
        <v>1546</v>
      </c>
      <c r="I48" s="2000" t="s">
        <v>1989</v>
      </c>
      <c r="J48" s="1211" t="s">
        <v>2059</v>
      </c>
      <c r="K48" s="1194"/>
      <c r="L48" s="1194"/>
      <c r="M48" s="1200" t="s">
        <v>815</v>
      </c>
      <c r="N48" s="25"/>
      <c r="O48" s="719"/>
      <c r="P48" s="26"/>
      <c r="Q48" s="212"/>
      <c r="R48" s="56"/>
      <c r="T48" s="1488"/>
      <c r="U48" s="91" t="s">
        <v>1709</v>
      </c>
    </row>
    <row r="49" spans="1:21" ht="25" customHeight="1" thickTop="1">
      <c r="C49" s="1637" t="s">
        <v>2149</v>
      </c>
      <c r="D49" s="1680" t="s">
        <v>1723</v>
      </c>
      <c r="E49" s="911">
        <v>40</v>
      </c>
      <c r="F49" s="1862" t="s">
        <v>2041</v>
      </c>
      <c r="G49" s="1700"/>
      <c r="H49" s="1936">
        <f>IF(D49="User Defined",E49,  IF(D49="PHPP Method",62.5,IF(D49="NBC Method",220,IF(D49="OBC Method",275,IF(D49="Luxury",400, IF(D49="By Engineer", (J50/365/0.0524/D63)/0.4))))))</f>
        <v>40</v>
      </c>
      <c r="I49" s="1934">
        <f>D63*H49*365</f>
        <v>1839600</v>
      </c>
      <c r="J49" s="1700"/>
      <c r="K49" s="1700"/>
      <c r="L49" s="1700"/>
      <c r="M49" s="1638">
        <f>H49/T49</f>
        <v>0.14545454545454545</v>
      </c>
      <c r="T49" s="1489">
        <f>INDEX('CODE-VALUES'!$C49:$S49, 1, MATCH(S2RefStandard, 'CODE-VALUES'!$C$2:$S$2, 0))</f>
        <v>275</v>
      </c>
      <c r="U49" s="356" t="s">
        <v>672</v>
      </c>
    </row>
    <row r="50" spans="1:21" ht="25" customHeight="1">
      <c r="C50" s="1635" t="s">
        <v>1984</v>
      </c>
      <c r="D50" s="1891"/>
      <c r="E50" s="1682">
        <v>10000</v>
      </c>
      <c r="F50" s="1862" t="s">
        <v>2042</v>
      </c>
      <c r="G50" s="1891"/>
      <c r="H50" s="1937">
        <f>H49*0.4</f>
        <v>16</v>
      </c>
      <c r="I50" s="1935">
        <f>D63*H50*365</f>
        <v>735840</v>
      </c>
      <c r="J50" s="1707">
        <f>IF(D49="By Engineer", E50,  (H50*D63*0.0523*365))</f>
        <v>38484.432000000001</v>
      </c>
      <c r="K50" s="1633">
        <f>(J51+J52)/H15</f>
        <v>59.922197309417044</v>
      </c>
      <c r="L50" s="1634" t="s">
        <v>4</v>
      </c>
      <c r="M50" s="1636"/>
      <c r="T50" s="1632"/>
      <c r="U50" s="356"/>
    </row>
    <row r="51" spans="1:21" ht="25" customHeight="1">
      <c r="C51" s="318" t="s">
        <v>1836</v>
      </c>
      <c r="D51" s="152" t="s">
        <v>1956</v>
      </c>
      <c r="E51" s="255">
        <f>IF(D51="Gas", ((J51*(1-D53))/0.0373/277.7778/D52), 0)</f>
        <v>0</v>
      </c>
      <c r="F51" s="33" t="s">
        <v>863</v>
      </c>
      <c r="G51" s="55" t="s">
        <v>1983</v>
      </c>
      <c r="H51" s="1806"/>
      <c r="I51" s="1806"/>
      <c r="J51" s="1679">
        <f>J50/D52</f>
        <v>42760.480000000003</v>
      </c>
      <c r="K51" s="1458">
        <f>IF(D51="Gas", 0, J52)</f>
        <v>42760.480000000003</v>
      </c>
      <c r="L51" s="967" t="s">
        <v>1886</v>
      </c>
      <c r="M51" s="1457"/>
      <c r="P51" s="452">
        <f>IF(D51="Gas", F51*L13, J52*L12)</f>
        <v>5558.8624000000009</v>
      </c>
      <c r="Q51" s="217"/>
      <c r="S51" s="224" t="s">
        <v>878</v>
      </c>
      <c r="T51" s="1481"/>
      <c r="U51" s="145" t="s">
        <v>386</v>
      </c>
    </row>
    <row r="52" spans="1:21" ht="25" customHeight="1">
      <c r="C52" s="318" t="s">
        <v>848</v>
      </c>
      <c r="D52" s="2055">
        <f>T52</f>
        <v>0.9</v>
      </c>
      <c r="E52" s="99">
        <f>D52</f>
        <v>0.9</v>
      </c>
      <c r="F52" s="118" t="s">
        <v>849</v>
      </c>
      <c r="G52" s="55" t="s">
        <v>2043</v>
      </c>
      <c r="H52" s="1891"/>
      <c r="I52" s="1891"/>
      <c r="J52" s="1679">
        <f>J51-E53</f>
        <v>42760.480000000003</v>
      </c>
      <c r="K52" s="148"/>
      <c r="L52" s="148"/>
      <c r="M52" s="1977">
        <f>D52/T52</f>
        <v>1</v>
      </c>
      <c r="Q52" s="217"/>
      <c r="T52" s="1490">
        <f>INDEX('CODE-VALUES'!$C52:$S52, 1, MATCH(S2RefStandard, 'CODE-VALUES'!$C$2:$S$2, 0))</f>
        <v>0.9</v>
      </c>
      <c r="U52" s="145"/>
    </row>
    <row r="53" spans="1:21" ht="25" customHeight="1">
      <c r="B53" s="83"/>
      <c r="C53" s="316" t="s">
        <v>1837</v>
      </c>
      <c r="D53" s="2055">
        <f>T53</f>
        <v>0</v>
      </c>
      <c r="E53" s="1773">
        <f>J51*D53</f>
        <v>0</v>
      </c>
      <c r="F53" s="33" t="s">
        <v>0</v>
      </c>
      <c r="G53" s="55" t="s">
        <v>1838</v>
      </c>
      <c r="H53" s="1891"/>
      <c r="I53" s="1891"/>
      <c r="J53" s="900">
        <f>J51-E53</f>
        <v>42760.480000000003</v>
      </c>
      <c r="K53" s="1710"/>
      <c r="L53" s="955"/>
      <c r="M53" s="1978" t="str">
        <f>IF(T53=0, "N/A", D53/T53)</f>
        <v>N/A</v>
      </c>
      <c r="N53" s="25"/>
      <c r="O53" s="719"/>
      <c r="P53" s="452">
        <f>IF(D51="Gas", -E51*L13, -J53*L12)</f>
        <v>-5558.8624000000009</v>
      </c>
      <c r="Q53" s="212"/>
      <c r="R53" s="56"/>
      <c r="T53" s="1491">
        <f>INDEX('CODE-VALUES'!$C53:$S53, 1, MATCH(S2RefStandard, 'CODE-VALUES'!$C$2:$S$2, 0))</f>
        <v>0</v>
      </c>
      <c r="U53" s="145" t="s">
        <v>421</v>
      </c>
    </row>
    <row r="54" spans="1:21" s="1693" customFormat="1" ht="50" customHeight="1">
      <c r="A54" s="1693" t="s">
        <v>828</v>
      </c>
      <c r="B54" s="1694"/>
      <c r="C54" s="1708" t="s">
        <v>2032</v>
      </c>
      <c r="D54" s="1709">
        <f>IF(D52&gt;1, 0, IF(D49="PHPP Method", J50*0.25, J50*0.1))</f>
        <v>3848.4432000000002</v>
      </c>
      <c r="E54" s="1702" t="s">
        <v>0</v>
      </c>
      <c r="F54" s="230"/>
      <c r="G54" s="1702" t="s">
        <v>1990</v>
      </c>
      <c r="H54" s="230"/>
      <c r="I54" s="230"/>
      <c r="J54" s="1894">
        <f>IF(D51="Gas", (J50-(J50*D52)), 0)</f>
        <v>0</v>
      </c>
      <c r="K54" s="230"/>
      <c r="L54" s="230"/>
      <c r="M54" s="1687"/>
      <c r="N54" s="1695"/>
      <c r="O54" s="1696"/>
      <c r="P54" s="1695"/>
      <c r="Q54" s="1695"/>
      <c r="R54" s="1697"/>
      <c r="T54" s="1698"/>
      <c r="U54" s="1699"/>
    </row>
    <row r="55" spans="1:21" ht="40" customHeight="1" thickBot="1">
      <c r="B55" s="72"/>
      <c r="C55" s="1198" t="s">
        <v>2068</v>
      </c>
      <c r="D55" s="1201" t="s">
        <v>346</v>
      </c>
      <c r="E55" s="1202"/>
      <c r="F55" s="1203" t="s">
        <v>1725</v>
      </c>
      <c r="G55" s="1195"/>
      <c r="H55" s="1204"/>
      <c r="I55" s="1204"/>
      <c r="J55" s="1204"/>
      <c r="K55" s="1204"/>
      <c r="L55" s="1204"/>
      <c r="M55" s="1205" t="s">
        <v>321</v>
      </c>
      <c r="N55" s="25"/>
      <c r="O55" s="719"/>
      <c r="P55" s="26"/>
      <c r="Q55" s="212"/>
      <c r="R55" s="41"/>
      <c r="T55" s="1481"/>
      <c r="U55" s="144" t="s">
        <v>26</v>
      </c>
    </row>
    <row r="56" spans="1:21" ht="26" customHeight="1" thickTop="1">
      <c r="B56" s="66"/>
      <c r="C56" s="762" t="s">
        <v>800</v>
      </c>
      <c r="D56" s="1399">
        <f>T56</f>
        <v>150</v>
      </c>
      <c r="E56" s="928" t="s">
        <v>6</v>
      </c>
      <c r="F56" s="929">
        <v>150</v>
      </c>
      <c r="G56" s="928" t="s">
        <v>6</v>
      </c>
      <c r="H56" s="928"/>
      <c r="I56" s="928"/>
      <c r="J56" s="928"/>
      <c r="K56" s="758"/>
      <c r="L56" s="874"/>
      <c r="M56" s="927">
        <f>D56/F56</f>
        <v>1</v>
      </c>
      <c r="N56" s="25"/>
      <c r="O56" s="719"/>
      <c r="P56" s="26"/>
      <c r="Q56" s="212"/>
      <c r="R56" s="31"/>
      <c r="T56" s="1492">
        <f>INDEX('CODE-VALUES'!$C56:$S56, 1, MATCH(S2RefStandard, 'CODE-VALUES'!$C$2:$S$2, 0))</f>
        <v>150</v>
      </c>
      <c r="U56" s="91" t="s">
        <v>27</v>
      </c>
    </row>
    <row r="57" spans="1:21" ht="26" customHeight="1">
      <c r="B57" s="66"/>
      <c r="C57" s="310" t="s">
        <v>801</v>
      </c>
      <c r="D57" s="1400">
        <f>T57</f>
        <v>1000</v>
      </c>
      <c r="E57" s="54" t="s">
        <v>7</v>
      </c>
      <c r="F57" s="254">
        <v>1000</v>
      </c>
      <c r="G57" s="54" t="s">
        <v>7</v>
      </c>
      <c r="H57" s="69"/>
      <c r="I57" s="69"/>
      <c r="J57" s="69"/>
      <c r="K57" s="148"/>
      <c r="L57" s="73"/>
      <c r="M57" s="68">
        <f>D57/F57</f>
        <v>1</v>
      </c>
      <c r="N57" s="25"/>
      <c r="O57" s="719"/>
      <c r="P57" s="26"/>
      <c r="Q57" s="212"/>
      <c r="R57" s="31"/>
      <c r="T57" s="1490">
        <f>INDEX('CODE-VALUES'!$C57:$S57, 1, MATCH(S2RefStandard, 'CODE-VALUES'!$C$2:$S$2, 0))</f>
        <v>1000</v>
      </c>
      <c r="U57" s="91" t="s">
        <v>28</v>
      </c>
    </row>
    <row r="58" spans="1:21" ht="26" customHeight="1">
      <c r="B58" s="66"/>
      <c r="C58" s="310" t="s">
        <v>802</v>
      </c>
      <c r="D58" s="859">
        <f>T58</f>
        <v>150</v>
      </c>
      <c r="E58" s="54" t="s">
        <v>7</v>
      </c>
      <c r="F58" s="254">
        <v>400</v>
      </c>
      <c r="G58" s="54" t="s">
        <v>7</v>
      </c>
      <c r="H58" s="71"/>
      <c r="I58" s="71"/>
      <c r="J58" s="71"/>
      <c r="K58" s="105"/>
      <c r="L58" s="73"/>
      <c r="M58" s="68">
        <f>D58/F58</f>
        <v>0.375</v>
      </c>
      <c r="N58" s="25"/>
      <c r="O58" s="719"/>
      <c r="P58" s="26"/>
      <c r="Q58" s="212"/>
      <c r="R58" s="31"/>
      <c r="T58" s="1490">
        <f>INDEX('CODE-VALUES'!$C58:$S58, 1, MATCH(S2RefStandard, 'CODE-VALUES'!$C$2:$S$2, 0))</f>
        <v>150</v>
      </c>
      <c r="U58" s="91" t="s">
        <v>29</v>
      </c>
    </row>
    <row r="59" spans="1:21" ht="25" customHeight="1">
      <c r="B59" s="66"/>
      <c r="C59" s="311" t="s">
        <v>1527</v>
      </c>
      <c r="D59" s="575">
        <v>0.45</v>
      </c>
      <c r="E59" s="54" t="s">
        <v>1507</v>
      </c>
      <c r="F59" s="254" t="s">
        <v>341</v>
      </c>
      <c r="G59" s="54" t="s">
        <v>8</v>
      </c>
      <c r="H59" s="944" t="s">
        <v>1528</v>
      </c>
      <c r="I59" s="943"/>
      <c r="J59" s="943"/>
      <c r="K59" s="148"/>
      <c r="L59" s="73"/>
      <c r="M59" s="74">
        <f>D59/1</f>
        <v>0.45</v>
      </c>
      <c r="N59" s="25"/>
      <c r="O59" s="719"/>
      <c r="P59" s="26"/>
      <c r="Q59" s="212"/>
      <c r="R59" s="31"/>
      <c r="T59" s="1490" t="str">
        <f>INDEX('CODE-VALUES'!$C59:$S59, 1, MATCH(S2RefStandard, 'CODE-VALUES'!$C$2:$S$2, 0))</f>
        <v>30-50 ideal</v>
      </c>
      <c r="U59" s="91" t="s">
        <v>844</v>
      </c>
    </row>
    <row r="60" spans="1:21" s="34" customFormat="1" ht="25" customHeight="1">
      <c r="B60" s="57"/>
      <c r="C60" s="2001" t="s">
        <v>291</v>
      </c>
      <c r="D60" s="1673">
        <f>IF(D31 &gt; 0, K31/1000, 0)</f>
        <v>0</v>
      </c>
      <c r="E60" s="63" t="s">
        <v>5</v>
      </c>
      <c r="G60" s="64"/>
      <c r="H60" s="64"/>
      <c r="I60" s="64"/>
      <c r="J60" s="64"/>
      <c r="K60" s="70"/>
      <c r="L60" s="201"/>
      <c r="M60" s="65"/>
      <c r="N60" s="75"/>
      <c r="O60" s="720"/>
      <c r="P60" s="76"/>
      <c r="Q60" s="213"/>
      <c r="R60" s="56"/>
      <c r="T60" s="1481"/>
      <c r="U60" s="91" t="s">
        <v>845</v>
      </c>
    </row>
    <row r="61" spans="1:21" ht="25" customHeight="1">
      <c r="A61" s="77"/>
      <c r="C61" s="78"/>
      <c r="D61" s="79"/>
      <c r="E61" s="79"/>
      <c r="F61" s="80"/>
      <c r="G61" s="81"/>
      <c r="H61" s="81"/>
      <c r="I61" s="81"/>
      <c r="J61" s="81"/>
      <c r="K61" s="80"/>
      <c r="L61" s="81"/>
      <c r="M61" s="82"/>
      <c r="N61" s="25"/>
      <c r="O61" s="719"/>
      <c r="P61" s="26"/>
      <c r="Q61" s="212"/>
      <c r="R61" s="31"/>
      <c r="T61" s="1481"/>
      <c r="U61" s="143"/>
    </row>
    <row r="62" spans="1:21" ht="50" customHeight="1" thickBot="1">
      <c r="B62" s="83"/>
      <c r="C62" s="1206" t="s">
        <v>2069</v>
      </c>
      <c r="D62" s="1209" t="s">
        <v>1749</v>
      </c>
      <c r="E62" s="1210"/>
      <c r="F62" s="1195"/>
      <c r="G62" s="1195"/>
      <c r="H62" s="1211" t="s">
        <v>1785</v>
      </c>
      <c r="I62" s="1212" t="s">
        <v>1786</v>
      </c>
      <c r="J62" s="1213" t="s">
        <v>1787</v>
      </c>
      <c r="K62" s="1211" t="s">
        <v>1788</v>
      </c>
      <c r="L62" s="1213" t="s">
        <v>1787</v>
      </c>
      <c r="M62" s="1200" t="s">
        <v>815</v>
      </c>
      <c r="N62" s="26"/>
      <c r="O62" s="719"/>
      <c r="P62" s="26"/>
      <c r="Q62" s="212"/>
      <c r="R62" s="90"/>
      <c r="T62" s="1481"/>
      <c r="U62" s="94"/>
    </row>
    <row r="63" spans="1:21" ht="25" customHeight="1" thickTop="1">
      <c r="B63" s="83"/>
      <c r="C63" s="950" t="s">
        <v>1868</v>
      </c>
      <c r="D63" s="1233">
        <f>REPORT!D63</f>
        <v>126</v>
      </c>
      <c r="E63" s="1803"/>
      <c r="F63" s="1889" t="s">
        <v>1870</v>
      </c>
      <c r="G63" s="1888">
        <f>REPORT!G63</f>
        <v>12</v>
      </c>
      <c r="H63" s="961"/>
      <c r="I63" s="979">
        <f>SCHEDULES!D8</f>
        <v>4380</v>
      </c>
      <c r="J63" s="1428">
        <v>8760</v>
      </c>
      <c r="K63" s="961"/>
      <c r="L63" s="962"/>
      <c r="M63" s="961"/>
      <c r="N63" s="26"/>
      <c r="O63" s="719"/>
      <c r="P63" s="26"/>
      <c r="Q63" s="212"/>
      <c r="R63" s="90"/>
      <c r="T63" s="1481"/>
      <c r="U63" s="94"/>
    </row>
    <row r="64" spans="1:21" ht="25" customHeight="1">
      <c r="B64" s="83"/>
      <c r="C64" s="951" t="s">
        <v>1869</v>
      </c>
      <c r="D64" s="1233" t="str">
        <f>REPORT!D64</f>
        <v>Normal</v>
      </c>
      <c r="E64" s="1890"/>
      <c r="F64" s="1886" t="s">
        <v>2033</v>
      </c>
      <c r="G64" s="1887">
        <f>SCHEDULES!E4</f>
        <v>117.22842799999999</v>
      </c>
      <c r="H64" s="972">
        <f>SCHEDULES!K8</f>
        <v>64696.024844639993</v>
      </c>
      <c r="I64" s="972">
        <f>SCHEDULES!K6</f>
        <v>43426.098868319998</v>
      </c>
      <c r="J64" s="981">
        <f>I64/I$71</f>
        <v>0.39277745642382045</v>
      </c>
      <c r="K64" s="972">
        <f>SCHEDULES!K4</f>
        <v>21269.925976319999</v>
      </c>
      <c r="L64" s="954">
        <f>K64/K$71</f>
        <v>0.39277745642382039</v>
      </c>
      <c r="M64" s="972"/>
      <c r="N64" s="26"/>
      <c r="O64" s="719"/>
      <c r="P64" s="26"/>
      <c r="Q64" s="212"/>
      <c r="R64" s="90"/>
      <c r="T64" s="1481"/>
      <c r="U64" s="94"/>
    </row>
    <row r="65" spans="2:21" ht="25" customHeight="1">
      <c r="B65" s="83"/>
      <c r="C65" s="952" t="s">
        <v>1844</v>
      </c>
      <c r="D65" s="1231">
        <f>T65</f>
        <v>7</v>
      </c>
      <c r="G65" s="970"/>
      <c r="H65" s="972">
        <f>I65+K65</f>
        <v>43757.952000000005</v>
      </c>
      <c r="I65" s="972">
        <f>((D65)*I$63*H15)*SCHEDULES!I6/1000</f>
        <v>29371.776000000002</v>
      </c>
      <c r="J65" s="981">
        <f>I65/I$71</f>
        <v>0.2656598628145786</v>
      </c>
      <c r="K65" s="972">
        <f>((D65)*I$63*H15)*SCHEDULES!I4/1000</f>
        <v>14386.175999999999</v>
      </c>
      <c r="L65" s="954">
        <f>K65/K$71</f>
        <v>0.26565986281457854</v>
      </c>
      <c r="M65" s="1977">
        <f>T65/D65</f>
        <v>1</v>
      </c>
      <c r="N65" s="26"/>
      <c r="O65" s="719"/>
      <c r="P65" s="26"/>
      <c r="Q65" s="212"/>
      <c r="R65" s="90"/>
      <c r="T65" s="1490">
        <f>INDEX('CODE-VALUES'!$C65:$S65, 1, MATCH(S2RefStandard, 'CODE-VALUES'!$C$2:$S$2, 0))</f>
        <v>7</v>
      </c>
      <c r="U65" s="94"/>
    </row>
    <row r="66" spans="2:21" ht="25" customHeight="1">
      <c r="B66" s="83"/>
      <c r="C66" s="952" t="s">
        <v>1845</v>
      </c>
      <c r="D66" s="1946">
        <f>T66</f>
        <v>2</v>
      </c>
      <c r="E66" s="974"/>
      <c r="F66" s="975"/>
      <c r="G66" s="970"/>
      <c r="H66" s="972">
        <f>I66+K66</f>
        <v>12502.272000000001</v>
      </c>
      <c r="I66" s="972">
        <f>D66*I$63*H15*SCHEDULES!I6/1000</f>
        <v>8391.9359999999997</v>
      </c>
      <c r="J66" s="981">
        <f>I66/I$71</f>
        <v>7.5902817947022444E-2</v>
      </c>
      <c r="K66" s="972">
        <f>((D66)*I$63*H$15)*SCHEDULES!I4/1000</f>
        <v>4110.3360000000002</v>
      </c>
      <c r="L66" s="954">
        <f>K66/K$71</f>
        <v>7.5902817947022444E-2</v>
      </c>
      <c r="M66" s="1977">
        <f>T66/D66</f>
        <v>1</v>
      </c>
      <c r="N66" s="26"/>
      <c r="O66" s="719"/>
      <c r="P66" s="26"/>
      <c r="Q66" s="212"/>
      <c r="R66" s="90"/>
      <c r="T66" s="1490">
        <f>INDEX('CODE-VALUES'!$C66:$S66, 1, MATCH(S2RefStandard, 'CODE-VALUES'!$C$2:$S$2, 0))</f>
        <v>2</v>
      </c>
      <c r="U66" s="94"/>
    </row>
    <row r="67" spans="2:21" ht="25" customHeight="1">
      <c r="B67" s="83"/>
      <c r="C67" s="1032" t="s">
        <v>1846</v>
      </c>
      <c r="D67" s="969">
        <f>INDEX(SCHEDULES!J13:K28,MATCH(SCHEDULES!J37,SCHEDULES!I13:I28,0),MATCH(REFERENCE!D68,SCHEDULES!J12:K12,0))</f>
        <v>7</v>
      </c>
      <c r="E67" s="1864"/>
      <c r="F67" s="1681" t="s">
        <v>1847</v>
      </c>
      <c r="G67" s="1871" t="s">
        <v>1957</v>
      </c>
      <c r="H67" s="972">
        <f>I67+K67</f>
        <v>43757.952000000005</v>
      </c>
      <c r="I67" s="972">
        <f>D67*I63*H$15*SCHEDULES!I6/1000</f>
        <v>29371.776000000002</v>
      </c>
      <c r="J67" s="1876">
        <f>I67/I$71</f>
        <v>0.2656598628145786</v>
      </c>
      <c r="K67" s="972">
        <f>D67*I63*H$15*SCHEDULES!I4/1000</f>
        <v>14386.175999999999</v>
      </c>
      <c r="L67" s="1432">
        <f>K67/K$71</f>
        <v>0.26565986281457854</v>
      </c>
      <c r="N67" s="26"/>
      <c r="O67" s="719"/>
      <c r="P67" s="26"/>
      <c r="R67" s="1977">
        <f>T67/D67</f>
        <v>0.7142857142857143</v>
      </c>
      <c r="T67" s="1490">
        <f>INDEX('CODE-VALUES'!$C67:$S67, 1, MATCH(S2RefStandard, 'CODE-VALUES'!$C$2:$S$2, 0))</f>
        <v>5</v>
      </c>
      <c r="U67" s="94"/>
    </row>
    <row r="68" spans="2:21" ht="25" customHeight="1">
      <c r="B68" s="83"/>
      <c r="C68" s="1032" t="s">
        <v>2031</v>
      </c>
      <c r="D68" s="1430" t="s">
        <v>574</v>
      </c>
      <c r="E68" s="24"/>
      <c r="F68" s="1701"/>
      <c r="M68" s="1877"/>
      <c r="N68" s="26"/>
      <c r="O68" s="719"/>
      <c r="P68" s="26"/>
      <c r="Q68" s="212"/>
      <c r="R68" s="90"/>
      <c r="T68" s="1493"/>
      <c r="U68" s="94"/>
    </row>
    <row r="69" spans="2:21" ht="25" customHeight="1">
      <c r="B69" s="83"/>
      <c r="C69" s="1869" t="s">
        <v>1986</v>
      </c>
      <c r="E69" s="1872"/>
      <c r="F69" s="1873"/>
      <c r="G69" s="1874"/>
      <c r="H69" s="1429">
        <f>D54</f>
        <v>3848.4432000000002</v>
      </c>
      <c r="I69" s="1688">
        <f>H69*SCHEDULES!I6</f>
        <v>2583.2016000000003</v>
      </c>
      <c r="J69" s="982">
        <f>I69/I$71</f>
        <v>2.336436797960055E-2</v>
      </c>
      <c r="K69" s="1688">
        <f>H69*SCHEDULES!I4</f>
        <v>1265.2416000000001</v>
      </c>
      <c r="L69" s="1432">
        <f>K69/K$71</f>
        <v>2.3364367979600544E-2</v>
      </c>
      <c r="M69" s="117"/>
      <c r="N69" s="26"/>
      <c r="O69" s="719"/>
      <c r="P69" s="26"/>
      <c r="Q69" s="212"/>
      <c r="R69" s="90"/>
      <c r="T69" s="1493"/>
      <c r="U69" s="94"/>
    </row>
    <row r="70" spans="2:21" ht="25" customHeight="1" thickBot="1">
      <c r="B70" s="83"/>
      <c r="C70" s="1813" t="s">
        <v>1871</v>
      </c>
      <c r="D70" s="1033"/>
      <c r="E70" s="1033"/>
      <c r="F70" s="1033"/>
      <c r="G70" s="1033"/>
      <c r="H70" s="1814">
        <f>SUM(H65:H67)</f>
        <v>100018.17600000001</v>
      </c>
      <c r="I70" s="1814">
        <f>SUM(I65:I69)</f>
        <v>69718.689599999998</v>
      </c>
      <c r="J70" s="1815"/>
      <c r="K70" s="1814">
        <f>SUM(K65:K69)</f>
        <v>34147.929599999996</v>
      </c>
      <c r="L70" s="1815"/>
      <c r="M70" s="1816"/>
      <c r="N70" s="26"/>
      <c r="O70" s="719"/>
      <c r="P70" s="26"/>
      <c r="Q70" s="212"/>
      <c r="R70" s="90"/>
      <c r="T70" s="1481"/>
      <c r="U70" s="94"/>
    </row>
    <row r="71" spans="2:21" ht="50" customHeight="1" thickTop="1">
      <c r="B71" s="83"/>
      <c r="C71" s="1810" t="s">
        <v>1777</v>
      </c>
      <c r="F71" s="948"/>
      <c r="H71" s="980">
        <f>SUM(H64:H67)</f>
        <v>164714.20084464</v>
      </c>
      <c r="I71" s="973">
        <f>SUM(I64:I67)</f>
        <v>110561.58686832</v>
      </c>
      <c r="J71" s="983">
        <f>SUM(J64:J67)</f>
        <v>1</v>
      </c>
      <c r="K71" s="973">
        <f>SUM(K64:K67)</f>
        <v>54152.613976320004</v>
      </c>
      <c r="L71" s="992">
        <f>SUM(L64:L67)</f>
        <v>1</v>
      </c>
      <c r="M71" s="980"/>
      <c r="N71" s="26"/>
      <c r="O71" s="719"/>
      <c r="P71" s="26"/>
      <c r="Q71" s="212"/>
      <c r="R71" s="90"/>
      <c r="T71" s="1481"/>
      <c r="U71" s="94"/>
    </row>
    <row r="72" spans="2:21" ht="50" customHeight="1" thickBot="1">
      <c r="B72" s="83"/>
      <c r="C72" s="1206" t="s">
        <v>2071</v>
      </c>
      <c r="D72" s="1210"/>
      <c r="E72" s="1214" t="s">
        <v>1789</v>
      </c>
      <c r="F72" s="1214" t="s">
        <v>1790</v>
      </c>
      <c r="G72" s="1211" t="s">
        <v>1759</v>
      </c>
      <c r="H72" s="1211" t="s">
        <v>1760</v>
      </c>
      <c r="I72" s="1211" t="s">
        <v>1791</v>
      </c>
      <c r="J72" s="1211" t="s">
        <v>1792</v>
      </c>
      <c r="K72" s="1211" t="s">
        <v>1793</v>
      </c>
      <c r="L72" s="1213" t="s">
        <v>1794</v>
      </c>
      <c r="M72" s="1215" t="s">
        <v>1795</v>
      </c>
      <c r="N72" s="26"/>
      <c r="O72" s="719"/>
      <c r="P72" s="95" t="s">
        <v>1782</v>
      </c>
      <c r="Q72" s="212"/>
      <c r="R72" s="90"/>
      <c r="T72" s="1481"/>
      <c r="U72" s="94"/>
    </row>
    <row r="73" spans="2:21" ht="25" customHeight="1" thickTop="1">
      <c r="B73" s="83"/>
      <c r="C73" s="930" t="s">
        <v>1753</v>
      </c>
      <c r="D73" s="1232">
        <f>REPORT!D73</f>
        <v>7.5</v>
      </c>
      <c r="E73" s="1950" t="s">
        <v>1826</v>
      </c>
      <c r="F73" s="2253">
        <v>0.5</v>
      </c>
      <c r="G73" s="986">
        <v>0</v>
      </c>
      <c r="H73" s="986">
        <v>0</v>
      </c>
      <c r="I73" s="994">
        <f>D73*M73*F73/0.5*(1-G73)</f>
        <v>375</v>
      </c>
      <c r="J73" s="954">
        <f>I73/I$79</f>
        <v>2.5638043388758091E-2</v>
      </c>
      <c r="K73" s="989">
        <f>D73*M73*F73/0.5*(1-H73)*0.5</f>
        <v>187.5</v>
      </c>
      <c r="L73" s="954">
        <f>K73/K$79</f>
        <v>2.5638043388758091E-2</v>
      </c>
      <c r="M73" s="988">
        <f t="shared" ref="M73:M77" si="0">IF(E73="North",1.31,IF(E73="NorthEast",34.69,IF(E73="East",76.94,IF(E73="SouthEast",86.59,IF(E73="South",70.74,IF(E73="SouthWest",60.4,IF(E73="West",25.86,IF(E73="NorthWest",2.88,50))))))))</f>
        <v>50</v>
      </c>
      <c r="N73" s="26"/>
      <c r="O73" s="721" t="s">
        <v>524</v>
      </c>
      <c r="P73" s="102">
        <f t="shared" ref="P73:P78" si="1">L$12*(K73-I73)</f>
        <v>-24.375</v>
      </c>
      <c r="Q73" s="212"/>
      <c r="R73" s="90"/>
      <c r="T73" s="1481"/>
      <c r="U73" s="94"/>
    </row>
    <row r="74" spans="2:21" ht="25" customHeight="1">
      <c r="B74" s="83"/>
      <c r="C74" s="956" t="s">
        <v>1754</v>
      </c>
      <c r="D74" s="1232">
        <f>REPORT!D74</f>
        <v>81.14</v>
      </c>
      <c r="E74" s="1947" t="s">
        <v>1762</v>
      </c>
      <c r="F74" s="2253">
        <v>0.5</v>
      </c>
      <c r="G74" s="986">
        <v>0</v>
      </c>
      <c r="H74" s="986">
        <v>0</v>
      </c>
      <c r="I74" s="994">
        <f t="shared" ref="I74:I78" si="2">D74*M74*F74/0.5*(1-G74)</f>
        <v>106.29340000000001</v>
      </c>
      <c r="J74" s="954">
        <f t="shared" ref="J74:J78" si="3">I74/I$79</f>
        <v>7.2670794697029849E-3</v>
      </c>
      <c r="K74" s="989">
        <f t="shared" ref="K74:K76" si="4">D74*M74*F74/0.5*(1-H74)*0.5</f>
        <v>53.146700000000003</v>
      </c>
      <c r="L74" s="954">
        <f t="shared" ref="L74:L78" si="5">K74/K$79</f>
        <v>7.2670794697029849E-3</v>
      </c>
      <c r="M74" s="988">
        <f t="shared" si="0"/>
        <v>1.31</v>
      </c>
      <c r="N74" s="26"/>
      <c r="O74" s="719"/>
      <c r="P74" s="102">
        <f t="shared" si="1"/>
        <v>-6.9090710000000009</v>
      </c>
      <c r="Q74" s="212"/>
      <c r="R74" s="90"/>
      <c r="T74" s="1481"/>
      <c r="U74" s="94"/>
    </row>
    <row r="75" spans="2:21" ht="25" customHeight="1">
      <c r="B75" s="83"/>
      <c r="C75" s="956" t="s">
        <v>1755</v>
      </c>
      <c r="D75" s="1232">
        <f>REPORT!D75</f>
        <v>3.83</v>
      </c>
      <c r="E75" s="1947" t="s">
        <v>1763</v>
      </c>
      <c r="F75" s="2253">
        <v>0.5</v>
      </c>
      <c r="G75" s="986">
        <v>0</v>
      </c>
      <c r="H75" s="986">
        <v>0</v>
      </c>
      <c r="I75" s="994">
        <f t="shared" si="2"/>
        <v>294.68020000000001</v>
      </c>
      <c r="J75" s="954">
        <f t="shared" si="3"/>
        <v>2.0146730009087763E-2</v>
      </c>
      <c r="K75" s="989">
        <f t="shared" si="4"/>
        <v>147.34010000000001</v>
      </c>
      <c r="L75" s="954">
        <f t="shared" si="5"/>
        <v>2.0146730009087763E-2</v>
      </c>
      <c r="M75" s="988">
        <f t="shared" si="0"/>
        <v>76.94</v>
      </c>
      <c r="N75" s="26"/>
      <c r="O75" s="719"/>
      <c r="P75" s="102">
        <f t="shared" si="1"/>
        <v>-19.154213000000002</v>
      </c>
      <c r="Q75" s="212"/>
      <c r="R75" s="90"/>
      <c r="T75" s="1481"/>
      <c r="U75" s="94"/>
    </row>
    <row r="76" spans="2:21" ht="25" customHeight="1">
      <c r="B76" s="83"/>
      <c r="C76" s="956" t="s">
        <v>1756</v>
      </c>
      <c r="D76" s="1232">
        <f>REPORT!D76</f>
        <v>159</v>
      </c>
      <c r="E76" s="1947" t="s">
        <v>1764</v>
      </c>
      <c r="F76" s="2253">
        <v>0.5</v>
      </c>
      <c r="G76" s="986">
        <v>0</v>
      </c>
      <c r="H76" s="987">
        <v>0</v>
      </c>
      <c r="I76" s="994">
        <f t="shared" si="2"/>
        <v>11247.66</v>
      </c>
      <c r="J76" s="954">
        <f t="shared" si="3"/>
        <v>0.76898132027199684</v>
      </c>
      <c r="K76" s="989">
        <f t="shared" si="4"/>
        <v>5623.83</v>
      </c>
      <c r="L76" s="954">
        <f t="shared" si="5"/>
        <v>0.76898132027199684</v>
      </c>
      <c r="M76" s="988">
        <f t="shared" si="0"/>
        <v>70.739999999999995</v>
      </c>
      <c r="N76" s="26"/>
      <c r="O76" s="719"/>
      <c r="P76" s="102">
        <f t="shared" si="1"/>
        <v>-731.09789999999998</v>
      </c>
      <c r="Q76" s="212"/>
      <c r="R76" s="90"/>
      <c r="T76" s="1481"/>
      <c r="U76" s="94"/>
    </row>
    <row r="77" spans="2:21" ht="25" customHeight="1">
      <c r="B77" s="83"/>
      <c r="C77" s="1539" t="s">
        <v>1757</v>
      </c>
      <c r="D77" s="1777">
        <f>REPORT!D77</f>
        <v>100.66</v>
      </c>
      <c r="E77" s="1948" t="s">
        <v>1765</v>
      </c>
      <c r="F77" s="2254">
        <v>0.5</v>
      </c>
      <c r="G77" s="1529">
        <v>0</v>
      </c>
      <c r="H77" s="1530">
        <v>0</v>
      </c>
      <c r="I77" s="1531">
        <f t="shared" ref="I77" si="6">D77*M77*F77/0.5*(1-G77)</f>
        <v>2603.0675999999999</v>
      </c>
      <c r="J77" s="1532">
        <f t="shared" ref="J77" si="7">I77/I$79</f>
        <v>0.17796682686045434</v>
      </c>
      <c r="K77" s="1540">
        <f t="shared" ref="K77" si="8">D77*M77*F77/0.5*(1-H77)*0.5</f>
        <v>1301.5337999999999</v>
      </c>
      <c r="L77" s="1532">
        <f t="shared" ref="L77" si="9">K77/K$79</f>
        <v>0.17796682686045434</v>
      </c>
      <c r="M77" s="1534">
        <f t="shared" si="0"/>
        <v>25.86</v>
      </c>
      <c r="N77" s="26"/>
      <c r="O77" s="719"/>
      <c r="P77" s="102">
        <f t="shared" si="1"/>
        <v>-169.19939399999998</v>
      </c>
      <c r="Q77" s="212"/>
      <c r="R77" s="90"/>
      <c r="T77" s="1481"/>
      <c r="U77" s="94"/>
    </row>
    <row r="78" spans="2:21" ht="25" customHeight="1" thickBot="1">
      <c r="B78" s="83"/>
      <c r="C78" s="1535" t="s">
        <v>1902</v>
      </c>
      <c r="D78" s="1235">
        <f>REPORT!D78</f>
        <v>0</v>
      </c>
      <c r="E78" s="1947" t="s">
        <v>1904</v>
      </c>
      <c r="F78" s="2255">
        <v>0.5</v>
      </c>
      <c r="G78" s="1530">
        <v>0</v>
      </c>
      <c r="H78" s="1530">
        <v>0</v>
      </c>
      <c r="I78" s="1039">
        <f t="shared" si="2"/>
        <v>0</v>
      </c>
      <c r="J78" s="1040">
        <f t="shared" si="3"/>
        <v>0</v>
      </c>
      <c r="K78" s="1525">
        <f>D78*M78*F78/0.5*(1-H78)*1.25</f>
        <v>0</v>
      </c>
      <c r="L78" s="1040">
        <f t="shared" si="5"/>
        <v>0</v>
      </c>
      <c r="M78" s="1537">
        <f>IF(E78="Skylight",75,IF(E78="North",1.31,IF(E78="NorthEast",34.69,IF(E78="East",76.94,IF(E78="SouthEast",86.59,IF(E78="South",70.74,IF(E78="SouthWest",60.4,IF(E78="West",25.86,IF(E78="NorthWest",2.88,50)))))))))</f>
        <v>75</v>
      </c>
      <c r="N78" s="26"/>
      <c r="O78" s="719"/>
      <c r="P78" s="102">
        <f t="shared" si="1"/>
        <v>0</v>
      </c>
      <c r="Q78" s="212"/>
      <c r="R78" s="90"/>
      <c r="T78" s="1481"/>
      <c r="U78" s="94"/>
    </row>
    <row r="79" spans="2:21" ht="25" customHeight="1" thickTop="1">
      <c r="B79" s="83"/>
      <c r="C79" s="1041" t="s">
        <v>1848</v>
      </c>
      <c r="D79" s="1034"/>
      <c r="E79" s="1035"/>
      <c r="F79" s="1036"/>
      <c r="G79" s="1037"/>
      <c r="H79" s="1038"/>
      <c r="I79" s="990">
        <f>SUM(I73:I78)</f>
        <v>14626.7012</v>
      </c>
      <c r="J79" s="991">
        <f>IF(D80="NRC 0%",0.001,SUM(J73:J78))</f>
        <v>1</v>
      </c>
      <c r="K79" s="990">
        <f>SUM(K73:K78)</f>
        <v>7313.3505999999998</v>
      </c>
      <c r="L79" s="991">
        <f>SUM(L73:L78)</f>
        <v>1</v>
      </c>
      <c r="M79" s="1026"/>
      <c r="N79" s="26"/>
      <c r="O79" s="719"/>
      <c r="P79" s="26"/>
      <c r="Q79" s="212"/>
      <c r="R79" s="90"/>
      <c r="T79" s="1481"/>
      <c r="U79" s="94"/>
    </row>
    <row r="80" spans="2:21" ht="25" customHeight="1">
      <c r="B80" s="83"/>
      <c r="C80" s="957" t="s">
        <v>1849</v>
      </c>
      <c r="D80" s="1951" t="s">
        <v>1806</v>
      </c>
      <c r="E80" s="985">
        <f>I71+I79</f>
        <v>125188.28806831999</v>
      </c>
      <c r="F80" s="963" t="s">
        <v>1735</v>
      </c>
      <c r="G80" s="1030">
        <f>IF(D80="NRC 0%", "0.0", IF(D80="NRC 40%", 0.4, IF(D80="NRC 50%", 0.5, IF(D80="NRC 60%", 0.6, IF(D80="PH Method", G81)))))</f>
        <v>0.5</v>
      </c>
      <c r="H80" s="113"/>
      <c r="I80" s="113">
        <f>E80*G80</f>
        <v>62594.144034159995</v>
      </c>
      <c r="J80" s="1427" t="s">
        <v>1807</v>
      </c>
      <c r="K80" s="955"/>
      <c r="L80" s="964"/>
      <c r="M80" s="965"/>
      <c r="N80" s="26"/>
      <c r="O80" s="719"/>
      <c r="P80" s="26"/>
      <c r="Q80" s="212"/>
      <c r="R80" s="90"/>
      <c r="T80" s="1481"/>
      <c r="U80" s="94"/>
    </row>
    <row r="81" spans="2:21" ht="25" customHeight="1">
      <c r="B81" s="83"/>
      <c r="C81" s="957" t="s">
        <v>1851</v>
      </c>
      <c r="D81" s="1001" t="s">
        <v>1607</v>
      </c>
      <c r="E81" s="984">
        <f>I71+I79</f>
        <v>125188.28806831999</v>
      </c>
      <c r="F81" s="1002" t="s">
        <v>1735</v>
      </c>
      <c r="G81" s="1031">
        <f>(1-((I79+I71)/(I97+I103+M121+I98))^5)/(1-((I79+I71)/(I97+I103+M121+I98))^6)</f>
        <v>0.99791578138242831</v>
      </c>
      <c r="H81" s="1003"/>
      <c r="I81" s="976">
        <f>E81*G81</f>
        <v>124927.36830762606</v>
      </c>
      <c r="J81" s="1426" t="s">
        <v>1853</v>
      </c>
      <c r="K81" s="1004"/>
      <c r="L81" s="964"/>
      <c r="M81" s="965"/>
      <c r="N81" s="26"/>
      <c r="O81" s="719"/>
      <c r="P81" s="26"/>
      <c r="Q81" s="212"/>
      <c r="R81" s="90"/>
      <c r="T81" s="1481"/>
      <c r="U81" s="94"/>
    </row>
    <row r="82" spans="2:21" ht="25" customHeight="1">
      <c r="B82" s="83"/>
      <c r="C82" s="958"/>
      <c r="D82" s="345"/>
      <c r="E82" s="107"/>
      <c r="F82" s="108"/>
      <c r="G82" s="108"/>
      <c r="H82" s="109"/>
      <c r="I82" s="1006">
        <f>E80-I80</f>
        <v>62594.144034159995</v>
      </c>
      <c r="J82" s="1005" t="s">
        <v>1852</v>
      </c>
      <c r="K82" s="105"/>
      <c r="L82" s="110"/>
      <c r="M82" s="959"/>
      <c r="N82" s="26"/>
      <c r="O82" s="719"/>
      <c r="P82" s="26"/>
      <c r="Q82" s="212"/>
      <c r="R82" s="90"/>
      <c r="T82" s="1481"/>
      <c r="U82" s="94"/>
    </row>
    <row r="83" spans="2:21" ht="25" customHeight="1">
      <c r="B83" s="83"/>
      <c r="C83" s="301"/>
      <c r="D83" s="464"/>
      <c r="E83" s="302"/>
      <c r="F83" s="203"/>
      <c r="G83" s="302"/>
      <c r="H83" s="302"/>
      <c r="I83" s="203"/>
      <c r="J83" s="303"/>
      <c r="K83" s="204"/>
      <c r="L83" s="204"/>
      <c r="M83" s="203"/>
      <c r="N83" s="26"/>
      <c r="O83" s="719"/>
      <c r="P83" s="26"/>
      <c r="Q83" s="212"/>
      <c r="R83" s="90"/>
      <c r="T83" s="1481"/>
      <c r="U83" s="94"/>
    </row>
    <row r="84" spans="2:21" ht="50" customHeight="1" thickBot="1">
      <c r="B84" s="760"/>
      <c r="C84" s="1206" t="s">
        <v>2070</v>
      </c>
      <c r="D84" s="1209" t="s">
        <v>309</v>
      </c>
      <c r="E84" s="1211" t="s">
        <v>1796</v>
      </c>
      <c r="F84" s="1215" t="s">
        <v>1797</v>
      </c>
      <c r="G84" s="1215" t="s">
        <v>1798</v>
      </c>
      <c r="H84" s="1211" t="s">
        <v>1799</v>
      </c>
      <c r="I84" s="1211" t="s">
        <v>1800</v>
      </c>
      <c r="J84" s="1216" t="s">
        <v>320</v>
      </c>
      <c r="K84" s="1211" t="s">
        <v>1801</v>
      </c>
      <c r="L84" s="1217" t="s">
        <v>814</v>
      </c>
      <c r="M84" s="1200" t="s">
        <v>815</v>
      </c>
      <c r="N84" s="25"/>
      <c r="O84" s="719"/>
      <c r="P84" s="95" t="s">
        <v>1884</v>
      </c>
      <c r="Q84" s="212"/>
      <c r="R84" s="31"/>
      <c r="T84" s="1481"/>
      <c r="U84" s="143"/>
    </row>
    <row r="85" spans="2:21" ht="25" customHeight="1" thickTop="1">
      <c r="C85" s="930" t="s">
        <v>803</v>
      </c>
      <c r="D85" s="879">
        <f>REPORT!D85</f>
        <v>1411.52</v>
      </c>
      <c r="E85" s="1007">
        <f>F85*5.678</f>
        <v>30.093399999999999</v>
      </c>
      <c r="F85" s="1401">
        <f>T85</f>
        <v>5.3</v>
      </c>
      <c r="G85" s="1008">
        <f>1/F85</f>
        <v>0.18867924528301888</v>
      </c>
      <c r="H85" s="1009">
        <f t="shared" ref="H85:H93" si="10">D85/D$101</f>
        <v>0.56993806074407871</v>
      </c>
      <c r="I85" s="1010">
        <f t="shared" ref="I85:I93" si="11">D85*(D$20*24)/(F85*1000)</f>
        <v>29402.227924528303</v>
      </c>
      <c r="J85" s="954">
        <f t="shared" ref="J85:J95" si="12">I85/I$98</f>
        <v>0.24694355270949178</v>
      </c>
      <c r="K85" s="1010">
        <f t="shared" ref="K85:K93" si="13">D85*(D$21*24)/(F85*1000)</f>
        <v>1252.7905811320754</v>
      </c>
      <c r="L85" s="954">
        <f t="shared" ref="L85:L95" si="14">-K85/K$98</f>
        <v>0.66096346608351775</v>
      </c>
      <c r="M85" s="1980">
        <f>F85/T85</f>
        <v>1</v>
      </c>
      <c r="N85" s="25"/>
      <c r="O85" s="719"/>
      <c r="P85" s="102">
        <f>I85*L$12</f>
        <v>3822.2896301886794</v>
      </c>
      <c r="Q85" s="215"/>
      <c r="R85" s="56"/>
      <c r="T85" s="1490">
        <f>INDEX('CODE-VALUES'!$C85:$S85, 1, MATCH(S2RefStandard, 'CODE-VALUES'!$C$2:$S$2, 0))</f>
        <v>5.3</v>
      </c>
      <c r="U85" s="91" t="s">
        <v>30</v>
      </c>
    </row>
    <row r="86" spans="2:21" ht="25" customHeight="1">
      <c r="B86" s="83"/>
      <c r="C86" s="316" t="s">
        <v>804</v>
      </c>
      <c r="D86" s="1232">
        <f>REPORT!D86</f>
        <v>712.97</v>
      </c>
      <c r="E86" s="96">
        <f t="shared" ref="E86:E93" si="15">F86*5.678</f>
        <v>23.279799999999998</v>
      </c>
      <c r="F86" s="1402">
        <f>T86</f>
        <v>4.0999999999999996</v>
      </c>
      <c r="G86" s="97">
        <f>1/F86</f>
        <v>0.24390243902439027</v>
      </c>
      <c r="H86" s="98">
        <f t="shared" si="10"/>
        <v>0.28788025615556695</v>
      </c>
      <c r="I86" s="346">
        <f t="shared" si="11"/>
        <v>19198.021463414636</v>
      </c>
      <c r="J86" s="100">
        <f t="shared" si="12"/>
        <v>0.16124042155369228</v>
      </c>
      <c r="K86" s="346">
        <f t="shared" si="13"/>
        <v>818.0026536585367</v>
      </c>
      <c r="L86" s="100">
        <f t="shared" si="14"/>
        <v>0.43157242508886778</v>
      </c>
      <c r="M86" s="1980">
        <f>F86/T86</f>
        <v>1</v>
      </c>
      <c r="N86" s="25"/>
      <c r="O86" s="719"/>
      <c r="P86" s="102">
        <f>I86*L$12</f>
        <v>2495.7427902439026</v>
      </c>
      <c r="Q86" s="215"/>
      <c r="R86" s="56"/>
      <c r="T86" s="1490">
        <f>INDEX('CODE-VALUES'!$C86:$S86, 1, MATCH(S2RefStandard, 'CODE-VALUES'!$C$2:$S$2, 0))</f>
        <v>4.0999999999999996</v>
      </c>
      <c r="U86" s="91" t="s">
        <v>30</v>
      </c>
    </row>
    <row r="87" spans="2:21" ht="25" customHeight="1">
      <c r="B87" s="83"/>
      <c r="C87" s="312" t="s">
        <v>805</v>
      </c>
      <c r="D87" s="1232">
        <f>REPORT!D87</f>
        <v>0</v>
      </c>
      <c r="E87" s="96">
        <f t="shared" si="15"/>
        <v>37.474799999999995</v>
      </c>
      <c r="F87" s="1402">
        <f>T87</f>
        <v>6.6</v>
      </c>
      <c r="G87" s="97">
        <f>1/F87</f>
        <v>0.15151515151515152</v>
      </c>
      <c r="H87" s="98">
        <f t="shared" si="10"/>
        <v>0</v>
      </c>
      <c r="I87" s="346">
        <f t="shared" si="11"/>
        <v>0</v>
      </c>
      <c r="J87" s="100">
        <f t="shared" si="12"/>
        <v>0</v>
      </c>
      <c r="K87" s="346">
        <f t="shared" si="13"/>
        <v>0</v>
      </c>
      <c r="L87" s="100">
        <f t="shared" si="14"/>
        <v>0</v>
      </c>
      <c r="M87" s="1980">
        <f>F87/T87</f>
        <v>1</v>
      </c>
      <c r="N87" s="25"/>
      <c r="O87" s="719"/>
      <c r="P87" s="102">
        <f>I87*L$12</f>
        <v>0</v>
      </c>
      <c r="Q87" s="215"/>
      <c r="R87" s="56"/>
      <c r="T87" s="1490">
        <f>INDEX('CODE-VALUES'!$C87:$S87, 1, MATCH(S2RefStandard, 'CODE-VALUES'!$C$2:$S$2, 0))</f>
        <v>6.6</v>
      </c>
      <c r="U87" s="91" t="s">
        <v>285</v>
      </c>
    </row>
    <row r="88" spans="2:21" ht="25" customHeight="1">
      <c r="B88" s="83"/>
      <c r="C88" s="312" t="s">
        <v>1731</v>
      </c>
      <c r="D88" s="978">
        <f t="shared" ref="D88:D93" si="16">D73</f>
        <v>7.5</v>
      </c>
      <c r="E88" s="96">
        <f t="shared" si="15"/>
        <v>2.8532663316582911</v>
      </c>
      <c r="F88" s="907">
        <f>1/G88</f>
        <v>0.50251256281407031</v>
      </c>
      <c r="G88" s="1404">
        <f t="shared" ref="G88:G93" si="17">T88</f>
        <v>1.99</v>
      </c>
      <c r="H88" s="98">
        <f t="shared" si="10"/>
        <v>3.0283208566514045E-3</v>
      </c>
      <c r="I88" s="346">
        <f t="shared" si="11"/>
        <v>1647.7200000000003</v>
      </c>
      <c r="J88" s="100">
        <f t="shared" si="12"/>
        <v>1.3838877506661313E-2</v>
      </c>
      <c r="K88" s="346">
        <f t="shared" si="13"/>
        <v>70.207200000000014</v>
      </c>
      <c r="L88" s="100">
        <f t="shared" si="14"/>
        <v>3.7040823067240616E-2</v>
      </c>
      <c r="M88" s="1980">
        <f t="shared" ref="M88:M93" si="18">T88/G88</f>
        <v>1</v>
      </c>
      <c r="N88" s="25"/>
      <c r="O88" s="719"/>
      <c r="P88" s="102">
        <f t="shared" ref="P88:P93" si="19">(I88-I73)*L$12</f>
        <v>165.45360000000005</v>
      </c>
      <c r="Q88" s="215"/>
      <c r="R88" s="56"/>
      <c r="T88" s="1490">
        <f>INDEX('CODE-VALUES'!$C88:$S88, 1, MATCH(S2RefStandard, 'CODE-VALUES'!$C$2:$S$2, 0))</f>
        <v>1.99</v>
      </c>
      <c r="U88" s="91" t="s">
        <v>30</v>
      </c>
    </row>
    <row r="89" spans="2:21" ht="25" customHeight="1">
      <c r="B89" s="83"/>
      <c r="C89" s="312" t="s">
        <v>806</v>
      </c>
      <c r="D89" s="978">
        <f t="shared" si="16"/>
        <v>81.14</v>
      </c>
      <c r="E89" s="96">
        <f t="shared" si="15"/>
        <v>3.9985915492957749</v>
      </c>
      <c r="F89" s="907">
        <f>1/G89</f>
        <v>0.70422535211267612</v>
      </c>
      <c r="G89" s="1404">
        <f t="shared" si="17"/>
        <v>1.42</v>
      </c>
      <c r="H89" s="98">
        <f t="shared" si="10"/>
        <v>3.2762393907825996E-2</v>
      </c>
      <c r="I89" s="346">
        <f t="shared" si="11"/>
        <v>12720.15552</v>
      </c>
      <c r="J89" s="100">
        <f t="shared" si="12"/>
        <v>0.1068340944498833</v>
      </c>
      <c r="K89" s="346">
        <f t="shared" si="13"/>
        <v>541.98923519999994</v>
      </c>
      <c r="L89" s="100">
        <f t="shared" si="14"/>
        <v>0.28594969412527849</v>
      </c>
      <c r="M89" s="1980">
        <f t="shared" si="18"/>
        <v>1</v>
      </c>
      <c r="N89" s="25"/>
      <c r="O89" s="719"/>
      <c r="P89" s="102">
        <f t="shared" si="19"/>
        <v>1639.8020756000001</v>
      </c>
      <c r="Q89" s="215"/>
      <c r="R89" s="56"/>
      <c r="T89" s="1490">
        <f>INDEX('CODE-VALUES'!$C89:$S89, 1, MATCH(S2RefStandard, 'CODE-VALUES'!$C$2:$S$2, 0))</f>
        <v>1.42</v>
      </c>
      <c r="U89" s="91" t="s">
        <v>30</v>
      </c>
    </row>
    <row r="90" spans="2:21" ht="25" customHeight="1">
      <c r="B90" s="83"/>
      <c r="C90" s="312" t="s">
        <v>807</v>
      </c>
      <c r="D90" s="978">
        <f t="shared" si="16"/>
        <v>3.83</v>
      </c>
      <c r="E90" s="96">
        <f t="shared" si="15"/>
        <v>3.9985915492957749</v>
      </c>
      <c r="F90" s="907">
        <f>1/G90</f>
        <v>0.70422535211267612</v>
      </c>
      <c r="G90" s="1404">
        <f t="shared" si="17"/>
        <v>1.42</v>
      </c>
      <c r="H90" s="98">
        <f t="shared" si="10"/>
        <v>1.5464625174633174E-3</v>
      </c>
      <c r="I90" s="346">
        <f t="shared" si="11"/>
        <v>600.42143999999996</v>
      </c>
      <c r="J90" s="100">
        <f t="shared" si="12"/>
        <v>5.0428220574692262E-3</v>
      </c>
      <c r="K90" s="346">
        <f t="shared" si="13"/>
        <v>25.583174399999997</v>
      </c>
      <c r="L90" s="100">
        <f t="shared" si="14"/>
        <v>1.3497502199899146E-2</v>
      </c>
      <c r="M90" s="1980">
        <f t="shared" si="18"/>
        <v>1</v>
      </c>
      <c r="N90" s="26"/>
      <c r="O90" s="719"/>
      <c r="P90" s="102">
        <f t="shared" si="19"/>
        <v>39.746361199999996</v>
      </c>
      <c r="Q90" s="215"/>
      <c r="R90" s="90"/>
      <c r="T90" s="1490">
        <f>INDEX('CODE-VALUES'!$C90:$S90, 1, MATCH(S2RefStandard, 'CODE-VALUES'!$C$2:$S$2, 0))</f>
        <v>1.42</v>
      </c>
      <c r="U90" s="91"/>
    </row>
    <row r="91" spans="2:21" ht="25" customHeight="1">
      <c r="B91" s="83"/>
      <c r="C91" s="312" t="s">
        <v>808</v>
      </c>
      <c r="D91" s="978">
        <f t="shared" si="16"/>
        <v>159</v>
      </c>
      <c r="E91" s="96">
        <f t="shared" si="15"/>
        <v>3.9985915492957749</v>
      </c>
      <c r="F91" s="907">
        <f t="shared" ref="F91:F93" si="20">1/G91</f>
        <v>0.70422535211267612</v>
      </c>
      <c r="G91" s="1404">
        <f t="shared" si="17"/>
        <v>1.42</v>
      </c>
      <c r="H91" s="98">
        <f t="shared" si="10"/>
        <v>6.4200402161009779E-2</v>
      </c>
      <c r="I91" s="346">
        <f t="shared" si="11"/>
        <v>24926.111999999997</v>
      </c>
      <c r="J91" s="100">
        <f t="shared" si="12"/>
        <v>0.20934953188971459</v>
      </c>
      <c r="K91" s="346">
        <f t="shared" si="13"/>
        <v>1062.0691199999999</v>
      </c>
      <c r="L91" s="100">
        <f t="shared" si="14"/>
        <v>0.56034016965638755</v>
      </c>
      <c r="M91" s="1980">
        <f t="shared" si="18"/>
        <v>1</v>
      </c>
      <c r="N91" s="26"/>
      <c r="O91" s="719"/>
      <c r="P91" s="102">
        <f t="shared" si="19"/>
        <v>1778.1987599999998</v>
      </c>
      <c r="Q91" s="215"/>
      <c r="R91" s="90"/>
      <c r="T91" s="1490">
        <f>INDEX('CODE-VALUES'!$C91:$S91, 1, MATCH(S2RefStandard, 'CODE-VALUES'!$C$2:$S$2, 0))</f>
        <v>1.42</v>
      </c>
      <c r="U91" s="91"/>
    </row>
    <row r="92" spans="2:21" ht="25" customHeight="1">
      <c r="B92" s="83"/>
      <c r="C92" s="312" t="s">
        <v>809</v>
      </c>
      <c r="D92" s="978">
        <f t="shared" si="16"/>
        <v>100.66</v>
      </c>
      <c r="E92" s="96">
        <f t="shared" ref="E92" si="21">F92*5.678</f>
        <v>3.9985915492957749</v>
      </c>
      <c r="F92" s="907">
        <f t="shared" ref="F92" si="22">1/G92</f>
        <v>0.70422535211267612</v>
      </c>
      <c r="G92" s="1404">
        <f t="shared" si="17"/>
        <v>1.42</v>
      </c>
      <c r="H92" s="98">
        <f t="shared" si="10"/>
        <v>4.0644103657404049E-2</v>
      </c>
      <c r="I92" s="346">
        <f t="shared" si="11"/>
        <v>15780.266879999999</v>
      </c>
      <c r="J92" s="100">
        <f t="shared" ref="J92" si="23">I92/I$98</f>
        <v>0.13253537031458285</v>
      </c>
      <c r="K92" s="346">
        <f t="shared" si="13"/>
        <v>672.37658879999992</v>
      </c>
      <c r="L92" s="100">
        <f t="shared" ref="L92" si="24">-K92/K$98</f>
        <v>0.35474114136862872</v>
      </c>
      <c r="M92" s="1980">
        <f t="shared" si="18"/>
        <v>1</v>
      </c>
      <c r="N92" s="26"/>
      <c r="O92" s="719"/>
      <c r="P92" s="102">
        <f t="shared" si="19"/>
        <v>1713.0359063999999</v>
      </c>
      <c r="Q92" s="215"/>
      <c r="R92" s="90"/>
      <c r="T92" s="1490">
        <f>INDEX('CODE-VALUES'!$C91:$S91, 1, MATCH(S2RefStandard, 'CODE-VALUES'!$C$2:$S$2, 0))</f>
        <v>1.42</v>
      </c>
      <c r="U92" s="91"/>
    </row>
    <row r="93" spans="2:21" ht="25" customHeight="1">
      <c r="B93" s="83"/>
      <c r="C93" s="312" t="s">
        <v>1903</v>
      </c>
      <c r="D93" s="978">
        <f t="shared" si="16"/>
        <v>0</v>
      </c>
      <c r="E93" s="96">
        <f t="shared" si="15"/>
        <v>3.9985915492957749</v>
      </c>
      <c r="F93" s="907">
        <f t="shared" si="20"/>
        <v>0.70422535211267612</v>
      </c>
      <c r="G93" s="1404">
        <f t="shared" si="17"/>
        <v>1.42</v>
      </c>
      <c r="H93" s="98">
        <f t="shared" si="10"/>
        <v>0</v>
      </c>
      <c r="I93" s="346">
        <f t="shared" si="11"/>
        <v>0</v>
      </c>
      <c r="J93" s="100">
        <f t="shared" si="12"/>
        <v>0</v>
      </c>
      <c r="K93" s="346">
        <f t="shared" si="13"/>
        <v>0</v>
      </c>
      <c r="L93" s="100">
        <f t="shared" si="14"/>
        <v>0</v>
      </c>
      <c r="M93" s="1980">
        <f t="shared" si="18"/>
        <v>1</v>
      </c>
      <c r="N93" s="26"/>
      <c r="O93" s="719"/>
      <c r="P93" s="102">
        <f t="shared" si="19"/>
        <v>0</v>
      </c>
      <c r="Q93" s="215"/>
      <c r="R93" s="90"/>
      <c r="T93" s="1490">
        <f>INDEX('CODE-VALUES'!$C93:$S93, 1, MATCH(S2RefStandard, 'CODE-VALUES'!$C$2:$S$2, 0))</f>
        <v>1.42</v>
      </c>
      <c r="U93" s="91"/>
    </row>
    <row r="94" spans="2:21" ht="25" customHeight="1">
      <c r="B94" s="83"/>
      <c r="C94" s="312" t="s">
        <v>906</v>
      </c>
      <c r="D94" s="1232">
        <f>REPORT!D94</f>
        <v>0</v>
      </c>
      <c r="E94" s="96">
        <f>F94*5.678</f>
        <v>10.2204</v>
      </c>
      <c r="F94" s="1402">
        <f>T94</f>
        <v>1.8</v>
      </c>
      <c r="G94" s="97">
        <f>1/F94</f>
        <v>0.55555555555555558</v>
      </c>
      <c r="H94" s="104">
        <f>D94/D$102</f>
        <v>0</v>
      </c>
      <c r="I94" s="346">
        <f>D94*(D$22*24)/(F94*1000)</f>
        <v>0</v>
      </c>
      <c r="J94" s="100">
        <f t="shared" si="12"/>
        <v>0</v>
      </c>
      <c r="K94" s="1063">
        <f>I$21*D94*H$22*24/(F94*1000)</f>
        <v>0</v>
      </c>
      <c r="L94" s="100">
        <f t="shared" si="14"/>
        <v>0</v>
      </c>
      <c r="M94" s="1980">
        <f>F94/T94</f>
        <v>1</v>
      </c>
      <c r="N94" s="25"/>
      <c r="O94" s="719"/>
      <c r="P94" s="102">
        <f>I94*L$12</f>
        <v>0</v>
      </c>
      <c r="Q94" s="215"/>
      <c r="R94" s="56"/>
      <c r="T94" s="1490">
        <f>INDEX('CODE-VALUES'!$C94:$S94, 1, MATCH(S2RefStandard, 'CODE-VALUES'!$C$2:$S$2, 0))</f>
        <v>1.8</v>
      </c>
      <c r="U94" s="91" t="s">
        <v>30</v>
      </c>
    </row>
    <row r="95" spans="2:21" ht="25" customHeight="1">
      <c r="B95" s="83"/>
      <c r="C95" s="1057" t="s">
        <v>905</v>
      </c>
      <c r="D95" s="1234">
        <f>REPORT!D95</f>
        <v>1100.42</v>
      </c>
      <c r="E95" s="1059">
        <f>F95*5.678</f>
        <v>19.873000000000001</v>
      </c>
      <c r="F95" s="1403">
        <f>T95</f>
        <v>3.5</v>
      </c>
      <c r="G95" s="1061">
        <f>1/F95</f>
        <v>0.2857142857142857</v>
      </c>
      <c r="H95" s="1062">
        <f>D95/D$102</f>
        <v>1</v>
      </c>
      <c r="I95" s="1063">
        <f>D95*(D$22*24)/(F95*1000)</f>
        <v>14789.644800000002</v>
      </c>
      <c r="J95" s="1064">
        <f t="shared" si="12"/>
        <v>0.12421532951850463</v>
      </c>
      <c r="K95" s="1063">
        <f>I$21*D95*H$22*24/(F95*1000)</f>
        <v>-6338.4192000000012</v>
      </c>
      <c r="L95" s="1064">
        <f t="shared" si="14"/>
        <v>-3.3441052215898202</v>
      </c>
      <c r="M95" s="1980">
        <f>F95/T95</f>
        <v>1</v>
      </c>
      <c r="N95" s="25"/>
      <c r="O95" s="719"/>
      <c r="P95" s="102">
        <f>I95*L$12</f>
        <v>1922.6538240000002</v>
      </c>
      <c r="Q95" s="215"/>
      <c r="R95" s="56"/>
      <c r="T95" s="1490">
        <f>INDEX('CODE-VALUES'!$C95:$S95, 1, MATCH(S2RefStandard, 'CODE-VALUES'!$C$2:$S$2, 0))</f>
        <v>3.5</v>
      </c>
      <c r="U95" s="91" t="s">
        <v>30</v>
      </c>
    </row>
    <row r="96" spans="2:21" ht="25" customHeight="1">
      <c r="B96" s="105"/>
      <c r="C96" s="1065" t="s">
        <v>810</v>
      </c>
      <c r="D96" s="1235">
        <f>REPORT!D96</f>
        <v>29.7</v>
      </c>
      <c r="E96" s="1067" t="s">
        <v>34</v>
      </c>
      <c r="F96" s="1068" t="s">
        <v>34</v>
      </c>
      <c r="G96" s="1069" t="s">
        <v>34</v>
      </c>
      <c r="H96" s="1070" t="s">
        <v>34</v>
      </c>
      <c r="I96" s="1071" t="s">
        <v>34</v>
      </c>
      <c r="J96" s="1071" t="s">
        <v>34</v>
      </c>
      <c r="K96" s="1071" t="s">
        <v>34</v>
      </c>
      <c r="L96" s="1071" t="s">
        <v>34</v>
      </c>
      <c r="M96" s="1072"/>
      <c r="T96" s="1481"/>
      <c r="U96" s="105"/>
    </row>
    <row r="97" spans="2:21" ht="25" customHeight="1" thickBot="1">
      <c r="B97" s="105"/>
      <c r="C97" s="1073" t="s">
        <v>812</v>
      </c>
      <c r="D97" s="1952">
        <v>0.5</v>
      </c>
      <c r="E97" s="1236" t="s">
        <v>1805</v>
      </c>
      <c r="F97" s="1033"/>
      <c r="G97" s="1075"/>
      <c r="H97" s="1033"/>
      <c r="I97" s="1076">
        <f>I98*D97</f>
        <v>59532.285013971472</v>
      </c>
      <c r="J97" s="1033"/>
      <c r="K97" s="1076">
        <f>IF(H21="Static", 0, K98*D97)</f>
        <v>-947.7003234046947</v>
      </c>
      <c r="L97" s="1077"/>
      <c r="M97" s="1078"/>
      <c r="P97" s="453">
        <f>(I97*L$12)+(K97*L$12)</f>
        <v>7615.9960097736812</v>
      </c>
      <c r="T97" s="1481"/>
      <c r="U97" s="105"/>
    </row>
    <row r="98" spans="2:21" ht="25" customHeight="1" thickTop="1">
      <c r="B98" s="105"/>
      <c r="C98" s="1824" t="s">
        <v>811</v>
      </c>
      <c r="D98" s="345">
        <f>SUM(D85:D95)</f>
        <v>3577.0399999999995</v>
      </c>
      <c r="E98" s="107">
        <f>IF(D94+D95=0, 1/G101*5.678, 1/G102*5.678)</f>
        <v>13.248666666666667</v>
      </c>
      <c r="F98" s="108"/>
      <c r="G98" s="108"/>
      <c r="H98" s="109">
        <f>SUM(H85:H93)</f>
        <v>1</v>
      </c>
      <c r="I98" s="110">
        <f>SUM(I85:I95)</f>
        <v>119064.57002794294</v>
      </c>
      <c r="J98" s="109">
        <f>SUM(J85:J95)</f>
        <v>1</v>
      </c>
      <c r="K98" s="110">
        <f>SUM(K85:K95)</f>
        <v>-1895.4006468093894</v>
      </c>
      <c r="L98" s="109">
        <f>ABS(SUM(L85:L95))</f>
        <v>1.0000000000000004</v>
      </c>
      <c r="M98" s="959"/>
      <c r="P98" s="112">
        <f>SUM(P85:P97)</f>
        <v>21192.918957406266</v>
      </c>
      <c r="Q98" s="216"/>
      <c r="T98" s="1481"/>
      <c r="U98" s="105"/>
    </row>
    <row r="99" spans="2:21" ht="25" customHeight="1">
      <c r="B99" s="105"/>
      <c r="C99" s="305"/>
      <c r="D99" s="106"/>
      <c r="E99" s="106"/>
      <c r="F99" s="107"/>
      <c r="G99" s="108"/>
      <c r="H99" s="108"/>
      <c r="I99" s="109"/>
      <c r="J99" s="110"/>
      <c r="K99" s="111"/>
      <c r="L99" s="111"/>
      <c r="M99" s="352"/>
      <c r="P99" s="306"/>
      <c r="Q99" s="216"/>
      <c r="T99" s="1481"/>
      <c r="U99" s="105"/>
    </row>
    <row r="100" spans="2:21" ht="50" customHeight="1" thickBot="1">
      <c r="C100" s="1219" t="s">
        <v>2072</v>
      </c>
      <c r="D100" s="1195"/>
      <c r="E100" s="1219"/>
      <c r="F100" s="1195"/>
      <c r="G100" s="1195"/>
      <c r="H100" s="1212" t="s">
        <v>1802</v>
      </c>
      <c r="I100" s="1212" t="s">
        <v>1800</v>
      </c>
      <c r="J100" s="1212" t="s">
        <v>1803</v>
      </c>
      <c r="K100" s="1211" t="s">
        <v>1801</v>
      </c>
      <c r="L100" s="1213" t="s">
        <v>320</v>
      </c>
      <c r="M100" s="1200" t="s">
        <v>815</v>
      </c>
      <c r="T100" s="1481"/>
      <c r="U100" s="149" t="s">
        <v>342</v>
      </c>
    </row>
    <row r="101" spans="2:21" ht="25" customHeight="1" thickTop="1">
      <c r="C101" s="569" t="s">
        <v>813</v>
      </c>
      <c r="D101" s="1022">
        <f>SUM(D85:D93)</f>
        <v>2476.6199999999994</v>
      </c>
      <c r="E101" s="566" t="s">
        <v>303</v>
      </c>
      <c r="F101" s="1846" t="s">
        <v>1772</v>
      </c>
      <c r="G101" s="1081">
        <f>(SUMPRODUCT(G85:G93,H85:H93)/SUM(H85:H93))*(D97+1)</f>
        <v>0.57206146901004584</v>
      </c>
      <c r="H101" s="873">
        <f>(D$20*G101*24)/1000</f>
        <v>63.155586178709072</v>
      </c>
      <c r="I101" s="872">
        <f>H101*D101</f>
        <v>156412.38784191443</v>
      </c>
      <c r="J101" s="128">
        <f>(D21*G101*24)/1000</f>
        <v>2.6909771502232558</v>
      </c>
      <c r="K101" s="116">
        <f>J101*D101</f>
        <v>6664.5278297859186</v>
      </c>
      <c r="L101" s="954">
        <f>I101/I104</f>
        <v>0.77518126728108816</v>
      </c>
      <c r="T101" s="1481"/>
      <c r="U101" s="144" t="s">
        <v>424</v>
      </c>
    </row>
    <row r="102" spans="2:21" ht="25" customHeight="1">
      <c r="C102" s="1850" t="s">
        <v>1857</v>
      </c>
      <c r="D102" s="1851">
        <f>IF(D95+D94=0, 0.0000001, D94+D95)</f>
        <v>1100.42</v>
      </c>
      <c r="E102" s="1852" t="s">
        <v>303</v>
      </c>
      <c r="F102" s="1852" t="s">
        <v>1773</v>
      </c>
      <c r="G102" s="1853">
        <f>IF(D94+D95=0,0.0000001,(SUMPRODUCT(G94:G95,H94:H95)/SUM(H94:H95))*(D97+1))</f>
        <v>0.42857142857142855</v>
      </c>
      <c r="H102" s="1827">
        <f>(D$22*G102*24)/1000</f>
        <v>20.16</v>
      </c>
      <c r="I102" s="1828">
        <f>H102*D102</f>
        <v>22184.467200000003</v>
      </c>
      <c r="J102" s="1827">
        <f>(H22*G102*24)/1000</f>
        <v>-17.28</v>
      </c>
      <c r="K102" s="1828">
        <f>J102*D102</f>
        <v>-19015.257600000001</v>
      </c>
      <c r="L102" s="100">
        <f>I102/I104</f>
        <v>0.10994642838285085</v>
      </c>
      <c r="M102" s="965"/>
      <c r="S102" s="454" t="s">
        <v>878</v>
      </c>
      <c r="T102" s="1481"/>
      <c r="U102" s="150" t="s">
        <v>1714</v>
      </c>
    </row>
    <row r="103" spans="2:21" ht="25" customHeight="1" thickBot="1">
      <c r="C103" s="1830" t="s">
        <v>1858</v>
      </c>
      <c r="D103" s="1859">
        <f>REPORT!D103</f>
        <v>1.5</v>
      </c>
      <c r="E103" s="1832" t="s">
        <v>462</v>
      </c>
      <c r="F103" s="1832" t="s">
        <v>2019</v>
      </c>
      <c r="G103" s="1854" t="str">
        <f>REPORT!G103</f>
        <v>Normal</v>
      </c>
      <c r="H103" s="1855">
        <f>I103/H15</f>
        <v>16.24046175223544</v>
      </c>
      <c r="I103" s="1855">
        <f>(1.21*G108*D20*24/1000)*D101/G110</f>
        <v>23178.387012790419</v>
      </c>
      <c r="J103" s="1855">
        <f>K103/H15</f>
        <v>0.69198489205177072</v>
      </c>
      <c r="K103" s="1855">
        <f>(1.21*G108*D21*24/1000)*D101/G110</f>
        <v>987.60083793628723</v>
      </c>
      <c r="L103" s="1040">
        <f>I103/I104</f>
        <v>0.11487230433606094</v>
      </c>
      <c r="M103" s="1836"/>
      <c r="T103" s="1481"/>
      <c r="U103" s="149" t="s">
        <v>361</v>
      </c>
    </row>
    <row r="104" spans="2:21" ht="50" customHeight="1" thickTop="1">
      <c r="C104" s="1847" t="s">
        <v>2025</v>
      </c>
      <c r="D104" s="1825"/>
      <c r="E104" s="1825"/>
      <c r="F104" s="1858"/>
      <c r="G104" s="1856">
        <f>(G101*D101/(SUM(D101:D102)+0.000001) + G102*D102/(SUM(D101:D102)+0.000001))</f>
        <v>0.52791901859646861</v>
      </c>
      <c r="H104" s="1857"/>
      <c r="I104" s="1843">
        <f>SUM(I101:I103)</f>
        <v>201775.24205470487</v>
      </c>
      <c r="J104" s="1844"/>
      <c r="K104" s="1845">
        <f>IF(H21="Capacitance", K98, SUM(K101:K102))</f>
        <v>-1895.4006468093894</v>
      </c>
      <c r="L104" s="1848">
        <f>SUM(L101:L103)</f>
        <v>1</v>
      </c>
      <c r="M104" s="1981" t="str">
        <f>IF(T104="-", "N/A", T104/G104)</f>
        <v>N/A</v>
      </c>
      <c r="T104" s="1494" t="str">
        <f>INDEX('CODE-VALUES'!$C104:$S104, 1, MATCH(S2RefStandard, 'CODE-VALUES'!$C$2:$S$2, 0))</f>
        <v>-</v>
      </c>
      <c r="U104" s="149" t="s">
        <v>343</v>
      </c>
    </row>
    <row r="105" spans="2:21" ht="25" customHeight="1">
      <c r="C105" s="1045" t="s">
        <v>1855</v>
      </c>
      <c r="D105" s="1238">
        <f>REPORT!D105</f>
        <v>8000</v>
      </c>
      <c r="E105" s="937" t="s">
        <v>31</v>
      </c>
      <c r="F105" s="1839" t="s">
        <v>2026</v>
      </c>
      <c r="G105" s="1838">
        <f>D105/D101</f>
        <v>3.2302089137614982</v>
      </c>
      <c r="H105" s="1043" t="s">
        <v>2027</v>
      </c>
      <c r="I105" s="1838">
        <f>D101/D105</f>
        <v>0.30957749999999995</v>
      </c>
      <c r="J105" s="1806"/>
      <c r="K105" s="1861"/>
      <c r="L105" s="1806"/>
      <c r="M105" s="1044"/>
      <c r="T105" s="1481"/>
      <c r="U105" s="149"/>
    </row>
    <row r="106" spans="2:21" ht="25" customHeight="1">
      <c r="C106" s="1817" t="s">
        <v>2010</v>
      </c>
      <c r="D106" s="1021">
        <f>D87+D95+D96</f>
        <v>1130.1200000000001</v>
      </c>
      <c r="E106" s="937" t="s">
        <v>2009</v>
      </c>
      <c r="H106" s="1046"/>
      <c r="I106" s="105"/>
      <c r="J106" s="938"/>
      <c r="K106" s="758"/>
      <c r="L106" s="866"/>
      <c r="M106" s="1982"/>
      <c r="T106" s="1481"/>
      <c r="U106" s="149" t="s">
        <v>342</v>
      </c>
    </row>
    <row r="107" spans="2:21" ht="25" customHeight="1">
      <c r="C107" s="1079" t="s">
        <v>1856</v>
      </c>
      <c r="D107" s="1080">
        <f>SUM(D88:D93)/(D86+SUM(D88:D93))</f>
        <v>0.33060745469908931</v>
      </c>
      <c r="E107" s="955"/>
      <c r="F107" s="971"/>
      <c r="G107" s="971"/>
      <c r="H107" s="971"/>
      <c r="I107" s="971"/>
      <c r="M107" s="2126">
        <f>D107/T108</f>
        <v>0.6145119975819503</v>
      </c>
      <c r="T107" s="1494">
        <f>INDEX('CODE-VALUES'!$C107:$S107, 1, MATCH(S2RefStandard, 'CODE-VALUES'!$C$2:$S$2, 0))</f>
        <v>0.4</v>
      </c>
      <c r="U107" s="149" t="s">
        <v>342</v>
      </c>
    </row>
    <row r="108" spans="2:21" ht="25" customHeight="1">
      <c r="C108" s="568" t="s">
        <v>2022</v>
      </c>
      <c r="D108" s="1237" t="str">
        <f>REPORT!D108</f>
        <v>AL-1B</v>
      </c>
      <c r="F108" s="566" t="s">
        <v>2021</v>
      </c>
      <c r="G108" s="1818">
        <f>IF(D108="Measured",((G109*D105)/(D101*3.6)),IF(D108="AL-1A",0.89,IF(D108="AL-2A",0.71,IF(D108="AL-3A",0.53,IF(D108="AL-4A",0.35,IF(D108="AL-5A",0.21,IF(D108="AL-1B",1.17,IF(D108="AL-2B",0.98,IF(D108="AL-3B",0.78,IF(D108="AL-4B",0.59,IF(D108="AL-5B",0.39,IF(D108="AL-6B",0.23,IF(D108="PH Classic",((0.6*D105)/(D101*3.6)),IF(D108="PH Low",((1*D105)/(D101*3.6)), IF(D108="PH+",0.1,)))))))))))))))</f>
        <v>1.17</v>
      </c>
      <c r="H108" s="570" t="s">
        <v>278</v>
      </c>
      <c r="I108" s="573"/>
      <c r="J108" s="570"/>
      <c r="K108" s="566"/>
      <c r="L108" s="567"/>
      <c r="M108" s="1983"/>
      <c r="P108" s="1122" t="s">
        <v>866</v>
      </c>
      <c r="T108" s="1494">
        <f>INDEX('CODE-VALUES'!$C108:$S108, 1, MATCH(S2RefStandard, 'CODE-VALUES'!$C$2:$S$2, 0))</f>
        <v>0.53800000000000003</v>
      </c>
      <c r="U108" s="149" t="s">
        <v>359</v>
      </c>
    </row>
    <row r="109" spans="2:21" ht="25" customHeight="1">
      <c r="C109" s="568" t="s">
        <v>2018</v>
      </c>
      <c r="D109" s="571">
        <f>G108*(D101/D105)*3.6</f>
        <v>1.3039404299999997</v>
      </c>
      <c r="E109" s="570" t="s">
        <v>292</v>
      </c>
      <c r="F109" s="566" t="s">
        <v>2016</v>
      </c>
      <c r="G109" s="1895">
        <v>1.5</v>
      </c>
      <c r="H109" s="570"/>
      <c r="I109" s="566"/>
      <c r="J109" s="566"/>
      <c r="K109" s="572"/>
      <c r="L109" s="567"/>
      <c r="M109" s="1983">
        <f>T109/G109</f>
        <v>1.3333333333333333</v>
      </c>
      <c r="T109" s="1494">
        <f>INDEX('CODE-VALUES'!$C109:$S109, 1, MATCH(S2RefStandard, 'CODE-VALUES'!$C$2:$S$2, 0))</f>
        <v>2</v>
      </c>
      <c r="U109" s="149" t="s">
        <v>360</v>
      </c>
    </row>
    <row r="110" spans="2:21" ht="25" customHeight="1">
      <c r="C110" s="1027" t="s">
        <v>2012</v>
      </c>
      <c r="D110" s="1029">
        <f>D109*D105/3600</f>
        <v>2.8976453999999991</v>
      </c>
      <c r="E110" s="1028"/>
      <c r="F110" s="1821" t="s">
        <v>1859</v>
      </c>
      <c r="G110" s="1819">
        <f>REPORT!G110</f>
        <v>16.7</v>
      </c>
      <c r="H110" s="1837" t="s">
        <v>2020</v>
      </c>
      <c r="I110" s="1822">
        <f>REPORT!I110</f>
        <v>2</v>
      </c>
      <c r="J110" s="1119"/>
      <c r="L110" s="1120"/>
      <c r="M110" s="1984">
        <f>T110/D110</f>
        <v>1.7255389496589202</v>
      </c>
      <c r="T110" s="1494">
        <f>INDEX('CODE-VALUES'!$C110:$S110, 1, MATCH(S2RefStandard, 'CODE-VALUES'!$C$2:$S$2, 0))</f>
        <v>5</v>
      </c>
      <c r="U110" s="150" t="s">
        <v>344</v>
      </c>
    </row>
    <row r="111" spans="2:21" ht="25" customHeight="1">
      <c r="T111" s="1481"/>
      <c r="U111" s="114" t="s">
        <v>423</v>
      </c>
    </row>
    <row r="112" spans="2:21" ht="40" customHeight="1" thickBot="1">
      <c r="B112" s="105"/>
      <c r="C112" s="1218" t="s">
        <v>2073</v>
      </c>
      <c r="D112" s="2181" t="s">
        <v>0</v>
      </c>
      <c r="E112" s="1220"/>
      <c r="F112" s="1221"/>
      <c r="G112" s="1220"/>
      <c r="H112" s="1196"/>
      <c r="I112" s="1222"/>
      <c r="J112" s="1223"/>
      <c r="K112" s="1223"/>
      <c r="L112" s="1223"/>
      <c r="M112" s="1200" t="s">
        <v>815</v>
      </c>
      <c r="T112" s="1481"/>
    </row>
    <row r="113" spans="2:21" ht="25" customHeight="1" thickTop="1">
      <c r="B113" s="83"/>
      <c r="C113" s="2102" t="s">
        <v>2130</v>
      </c>
      <c r="D113" s="2154" t="s">
        <v>1991</v>
      </c>
      <c r="E113" s="2103" t="s">
        <v>2131</v>
      </c>
      <c r="F113" s="2155">
        <f>T113</f>
        <v>7.1</v>
      </c>
      <c r="G113" s="2105" t="s">
        <v>2132</v>
      </c>
      <c r="H113" s="2106">
        <f>IF(D113="Heatpump", (F113/3.412), 1)</f>
        <v>2.0808909730363423</v>
      </c>
      <c r="I113" s="2105" t="s">
        <v>2133</v>
      </c>
      <c r="J113" s="2148">
        <f>H113-1</f>
        <v>1.0808909730363423</v>
      </c>
      <c r="K113" s="2105" t="s">
        <v>2135</v>
      </c>
      <c r="L113" s="2179">
        <f>IF(D113="Heatpump",((D114*H113)-D114),0)</f>
        <v>174836.42627696274</v>
      </c>
      <c r="M113" s="2107">
        <f>F113/T113</f>
        <v>1</v>
      </c>
      <c r="N113" s="25"/>
      <c r="O113" s="719"/>
      <c r="Q113" s="218"/>
      <c r="R113" s="56"/>
      <c r="T113" s="1491">
        <f>INDEX('CODE-VALUES'!$C113:$S113, 1, MATCH(S2RefStandard, 'CODE-VALUES'!$C$2:$S$2, 0))</f>
        <v>7.1</v>
      </c>
      <c r="U113" s="91" t="s">
        <v>417</v>
      </c>
    </row>
    <row r="114" spans="2:21" s="122" customFormat="1" ht="25" customHeight="1">
      <c r="C114" s="2114" t="s">
        <v>1860</v>
      </c>
      <c r="D114" s="2146">
        <f>IF(D113="Heatpump",D127/H113,D127)</f>
        <v>161752.13841024862</v>
      </c>
      <c r="E114" s="2147"/>
      <c r="F114" s="2115"/>
      <c r="G114" s="2116"/>
      <c r="H114" s="2115"/>
      <c r="I114" s="2135" t="s">
        <v>2137</v>
      </c>
      <c r="J114" s="2149">
        <f>3.412*J113</f>
        <v>3.6879999999999997</v>
      </c>
      <c r="K114" s="2135" t="s">
        <v>2138</v>
      </c>
      <c r="L114" s="2180">
        <f>IF(D113="Heatpump", IF(D116="Cooling", ((D117*J113)-D117), 0), 0)</f>
        <v>2361.4733097019271</v>
      </c>
      <c r="M114" s="2115"/>
      <c r="O114" s="724"/>
      <c r="P114" s="452">
        <f>IF(D113="Gas", 0, D114*L$12)</f>
        <v>21027.777993332322</v>
      </c>
      <c r="Q114" s="217"/>
      <c r="S114" s="224" t="s">
        <v>878</v>
      </c>
      <c r="T114" s="1481"/>
      <c r="U114" s="146" t="s">
        <v>384</v>
      </c>
    </row>
    <row r="115" spans="2:21" s="122" customFormat="1" ht="25" customHeight="1">
      <c r="C115" s="2114" t="s">
        <v>2134</v>
      </c>
      <c r="D115" s="2146">
        <f>IF(D113="Gas",D127/(J115),0)</f>
        <v>0</v>
      </c>
      <c r="E115" s="2147"/>
      <c r="G115" s="2143" t="s">
        <v>2139</v>
      </c>
      <c r="H115" s="2142">
        <f>D115/0.0373/277.7778</f>
        <v>0</v>
      </c>
      <c r="I115" s="2118" t="s">
        <v>2143</v>
      </c>
      <c r="J115" s="2326">
        <v>0.98</v>
      </c>
      <c r="K115" s="2120" t="s">
        <v>2144</v>
      </c>
      <c r="L115" s="2121">
        <f>IF(D113="Gas", D115-D114, 0)</f>
        <v>0</v>
      </c>
      <c r="M115" s="2120" t="s">
        <v>0</v>
      </c>
      <c r="O115" s="724"/>
      <c r="P115" s="452">
        <f>H115*L$13</f>
        <v>0</v>
      </c>
      <c r="Q115" s="217"/>
      <c r="S115" s="224" t="s">
        <v>878</v>
      </c>
      <c r="T115" s="1481"/>
      <c r="U115" s="146" t="s">
        <v>384</v>
      </c>
    </row>
    <row r="116" spans="2:21" ht="25" customHeight="1">
      <c r="B116" s="83"/>
      <c r="C116" s="2122" t="s">
        <v>2145</v>
      </c>
      <c r="D116" s="2153" t="str">
        <f>REPORT!D116</f>
        <v>Cooling</v>
      </c>
      <c r="E116" s="2144"/>
      <c r="F116" s="2139"/>
      <c r="G116" s="2123" t="s">
        <v>2146</v>
      </c>
      <c r="H116" s="2124"/>
      <c r="I116" s="2124"/>
      <c r="J116" s="2145">
        <f>T116</f>
        <v>3.3</v>
      </c>
      <c r="K116" s="2135" t="s">
        <v>2136</v>
      </c>
      <c r="L116" s="2125">
        <f>IF(D116="Cooling",((D117*J116)-D117),0)</f>
        <v>67144.5577725248</v>
      </c>
      <c r="M116" s="1980">
        <f>T116/J116</f>
        <v>1</v>
      </c>
      <c r="N116" s="25"/>
      <c r="O116" s="719"/>
      <c r="P116" s="26"/>
      <c r="Q116" s="212"/>
      <c r="R116" s="56"/>
      <c r="T116" s="1490">
        <f>INDEX('CODE-VALUES'!$C116:$S116, 1, MATCH(S2RefStandard, 'CODE-VALUES'!$C$2:$S$2, 0))</f>
        <v>3.3</v>
      </c>
      <c r="U116" s="145" t="s">
        <v>421</v>
      </c>
    </row>
    <row r="117" spans="2:21" ht="25" customHeight="1">
      <c r="C117" s="2114" t="s">
        <v>2147</v>
      </c>
      <c r="D117" s="2178">
        <f>IF(D116="No Cooling", 0, IF(D113="Heatpump", M129/J113, IF(D116="Cooling", M129/J116)))</f>
        <v>29193.28598805426</v>
      </c>
      <c r="E117" s="2147"/>
      <c r="F117" s="2146">
        <f>D117/H15</f>
        <v>20.454936931091829</v>
      </c>
      <c r="G117" s="2182" t="s">
        <v>273</v>
      </c>
      <c r="H117" s="2127"/>
      <c r="I117" s="2117" t="s">
        <v>864</v>
      </c>
      <c r="J117" s="2141">
        <f>J116*3.412</f>
        <v>11.259599999999999</v>
      </c>
      <c r="K117" s="2124"/>
      <c r="L117" s="2124"/>
      <c r="M117" s="2126">
        <f>F117/T117</f>
        <v>0.4090987386218366</v>
      </c>
      <c r="P117" s="452">
        <f>D117*L$12</f>
        <v>3795.1271784470541</v>
      </c>
      <c r="Q117" s="217"/>
      <c r="S117" s="224" t="s">
        <v>878</v>
      </c>
      <c r="T117" s="1490">
        <f>INDEX('CODE-VALUES'!$C117:$S117, 1, MATCH(S2RefStandard, 'CODE-VALUES'!$C$2:$S$2, 0))</f>
        <v>50</v>
      </c>
      <c r="U117" s="146" t="s">
        <v>422</v>
      </c>
    </row>
    <row r="118" spans="2:21" ht="25" customHeight="1">
      <c r="B118" s="83"/>
      <c r="C118" s="2156" t="s">
        <v>1861</v>
      </c>
      <c r="D118" s="2151">
        <f>T118</f>
        <v>0.81</v>
      </c>
      <c r="E118" s="1634"/>
      <c r="F118" s="2109" t="s">
        <v>1862</v>
      </c>
      <c r="G118" s="1806"/>
      <c r="H118" s="2256" t="s">
        <v>1981</v>
      </c>
      <c r="I118" s="1806"/>
      <c r="J118" s="2109" t="s">
        <v>1863</v>
      </c>
      <c r="K118" s="1806"/>
      <c r="L118" s="2327">
        <f>T120</f>
        <v>3.5</v>
      </c>
      <c r="M118" s="2112">
        <f>D118/T120</f>
        <v>0.23142857142857146</v>
      </c>
      <c r="N118" s="25"/>
      <c r="O118" s="719"/>
      <c r="P118" s="2257" t="s">
        <v>2167</v>
      </c>
      <c r="Q118" s="2325"/>
      <c r="R118" s="56"/>
      <c r="T118" s="1490">
        <f>INDEX('CODE-VALUES'!$C118:$S118, 1, MATCH(S2RefStandard, 'CODE-VALUES'!$C$2:$S$2, 0))</f>
        <v>0.81</v>
      </c>
      <c r="U118" s="145" t="s">
        <v>837</v>
      </c>
    </row>
    <row r="119" spans="2:21" ht="25" customHeight="1">
      <c r="C119" s="2157" t="s">
        <v>1887</v>
      </c>
      <c r="D119" s="2152">
        <f>T119</f>
        <v>12.5</v>
      </c>
      <c r="E119" s="64" t="s">
        <v>1605</v>
      </c>
      <c r="F119" s="755">
        <f>D119*2.11888</f>
        <v>26.485999999999997</v>
      </c>
      <c r="G119" s="363" t="s">
        <v>329</v>
      </c>
      <c r="H119" s="756">
        <f>D119*3.6</f>
        <v>45</v>
      </c>
      <c r="I119" s="757" t="s">
        <v>385</v>
      </c>
      <c r="J119" s="868" t="s">
        <v>2129</v>
      </c>
      <c r="L119" s="2083" t="s">
        <v>856</v>
      </c>
      <c r="M119" s="1977">
        <f>D119/T119</f>
        <v>1</v>
      </c>
      <c r="Q119" s="217"/>
      <c r="S119" s="224" t="s">
        <v>878</v>
      </c>
      <c r="T119" s="1490">
        <f>INDEX('CODE-VALUES'!$C119:$S119, 1, MATCH(S2RefStandard, 'CODE-VALUES'!$C$2:$S$2, 0))</f>
        <v>12.5</v>
      </c>
      <c r="U119" s="329" t="s">
        <v>1489</v>
      </c>
    </row>
    <row r="120" spans="2:21" ht="25" customHeight="1">
      <c r="C120" s="2158" t="s">
        <v>1888</v>
      </c>
      <c r="D120" s="1515">
        <f>IF(H118="Occupant Constant", D63*D119, IF(H118="Occupant by Schedule", D63*D119*(I63/J63), IF(H118="Volume by Schedule", L118*D105/3.6*(I63/J63), L118*D105/3.6)))</f>
        <v>7777.7777777777774</v>
      </c>
      <c r="E120" s="55" t="s">
        <v>32</v>
      </c>
      <c r="F120" s="1524">
        <f>D120*2.11888</f>
        <v>16480.177777777775</v>
      </c>
      <c r="G120" s="64" t="s">
        <v>329</v>
      </c>
      <c r="H120" s="124">
        <f>D120*3.6</f>
        <v>28000</v>
      </c>
      <c r="I120" s="233" t="s">
        <v>385</v>
      </c>
      <c r="J120" s="754"/>
      <c r="K120" s="141"/>
      <c r="L120" s="202"/>
      <c r="M120" s="1985"/>
      <c r="T120" s="1490">
        <f>INDEX('CODE-VALUES'!$C120:$S120, 1, MATCH(S2RefStandard, 'CODE-VALUES'!$C$2:$S$2, 0))</f>
        <v>3.5</v>
      </c>
      <c r="U120" s="145" t="s">
        <v>419</v>
      </c>
    </row>
    <row r="121" spans="2:21" ht="25" customHeight="1">
      <c r="C121" s="2159" t="s">
        <v>1562</v>
      </c>
      <c r="D121" s="126">
        <f>1.21*D120*D20*24/1000</f>
        <v>1038986.6666666665</v>
      </c>
      <c r="E121" s="37"/>
      <c r="F121" s="2167" t="s">
        <v>1563</v>
      </c>
      <c r="G121" s="2172"/>
      <c r="H121" s="2172"/>
      <c r="I121" s="2168">
        <f>D121*D118</f>
        <v>841579.2</v>
      </c>
      <c r="J121" s="2167" t="s">
        <v>1864</v>
      </c>
      <c r="K121" s="1805"/>
      <c r="M121" s="125">
        <f>D121-I121</f>
        <v>197407.46666666656</v>
      </c>
      <c r="P121" s="452">
        <f>M121*L$12</f>
        <v>25662.970666666653</v>
      </c>
      <c r="T121" s="1481"/>
      <c r="U121" s="145" t="s">
        <v>838</v>
      </c>
    </row>
    <row r="122" spans="2:21" ht="25" customHeight="1">
      <c r="C122" s="2159" t="s">
        <v>1564</v>
      </c>
      <c r="D122" s="116">
        <f>IF(H118="Yes",IF(L119="None", (1.21*D120*D21*24/1000)*(I63/J63)*J122, (1.21*D120*D21*24/1000)*(I63/J63)*L119*J122),IF(L119="None", (1.21*D120*D21*24/1000)*J122, (1.21*D120*D21*24/1000)*J122*L119))</f>
        <v>70600.527861652634</v>
      </c>
      <c r="E122" s="37"/>
      <c r="F122" s="33" t="s">
        <v>1565</v>
      </c>
      <c r="H122" s="574"/>
      <c r="J122" s="2171">
        <f>'COOLING-TARGET'!A6</f>
        <v>1.5947761576343724</v>
      </c>
      <c r="L122" s="116"/>
      <c r="M122" s="1987"/>
      <c r="P122" s="119"/>
      <c r="Q122" s="217"/>
      <c r="T122" s="1481"/>
      <c r="U122" s="105"/>
    </row>
    <row r="123" spans="2:21" ht="25" customHeight="1">
      <c r="C123" s="2160" t="s">
        <v>1566</v>
      </c>
      <c r="D123" s="116">
        <f>D118*D122</f>
        <v>57186.427567938634</v>
      </c>
      <c r="E123" s="1055"/>
      <c r="G123" s="127"/>
      <c r="H123" s="55"/>
      <c r="I123" s="153"/>
      <c r="J123" s="93"/>
      <c r="K123" s="941"/>
      <c r="L123" s="202"/>
      <c r="M123" s="1986"/>
      <c r="P123" s="119"/>
      <c r="Q123" s="217"/>
      <c r="T123" s="1481"/>
      <c r="U123" s="105"/>
    </row>
    <row r="124" spans="2:21" ht="25" customHeight="1">
      <c r="C124" s="2161" t="s">
        <v>1865</v>
      </c>
      <c r="D124" s="2170">
        <f>H124/D129</f>
        <v>0.31848160209578791</v>
      </c>
      <c r="E124" s="1056"/>
      <c r="F124" s="2035" t="s">
        <v>2128</v>
      </c>
      <c r="H124" s="2169">
        <f>'COOLING-TARGET'!A33*REPORT!M19</f>
        <v>41469.805440000004</v>
      </c>
      <c r="I124" s="2035" t="s">
        <v>0</v>
      </c>
      <c r="J124" s="939" t="s">
        <v>1552</v>
      </c>
      <c r="K124" s="1082"/>
      <c r="L124" s="942"/>
      <c r="M124" s="940">
        <f>'COOLING-TARGET'!E55</f>
        <v>-31.281710334175472</v>
      </c>
      <c r="P124" s="452">
        <f>H124*-L$12</f>
        <v>-5391.0747072000004</v>
      </c>
      <c r="Q124" s="217"/>
      <c r="S124" s="224" t="s">
        <v>877</v>
      </c>
      <c r="T124" s="1481"/>
      <c r="U124" s="145" t="s">
        <v>839</v>
      </c>
    </row>
    <row r="125" spans="2:21" ht="25" customHeight="1">
      <c r="C125" s="118"/>
      <c r="D125" s="238"/>
      <c r="E125" s="2057"/>
      <c r="F125" s="234"/>
      <c r="G125" s="2059"/>
      <c r="H125" s="33"/>
      <c r="I125" s="93"/>
      <c r="J125" s="93"/>
      <c r="K125" s="300"/>
      <c r="L125" s="73"/>
      <c r="M125" s="89"/>
      <c r="T125" s="1481"/>
      <c r="U125" s="145"/>
    </row>
    <row r="126" spans="2:21" ht="40" customHeight="1" thickBot="1">
      <c r="C126" s="1224" t="s">
        <v>2079</v>
      </c>
      <c r="D126" s="2058" t="s">
        <v>0</v>
      </c>
      <c r="E126" s="1225"/>
      <c r="F126" s="1225"/>
      <c r="G126" s="1225"/>
      <c r="H126" s="2060" t="s">
        <v>2082</v>
      </c>
      <c r="I126" s="1225"/>
      <c r="J126" s="1225"/>
      <c r="K126" s="1225"/>
      <c r="L126" s="1225"/>
      <c r="M126" s="1225"/>
      <c r="O126" s="24"/>
      <c r="Q126" s="24"/>
      <c r="T126" s="24"/>
      <c r="U126" s="105"/>
    </row>
    <row r="127" spans="2:21" ht="30" customHeight="1" thickTop="1">
      <c r="C127" s="2018" t="s">
        <v>2088</v>
      </c>
      <c r="D127" s="2017">
        <f>(I97+I98+I103+M121)-I80</f>
        <v>336588.56468721136</v>
      </c>
      <c r="E127" s="2019"/>
      <c r="F127" s="2061" t="s">
        <v>2089</v>
      </c>
      <c r="G127" s="1700"/>
      <c r="H127" s="2027">
        <f>D127/H$15</f>
        <v>235.83840014518734</v>
      </c>
      <c r="I127" s="2021"/>
      <c r="J127" s="2022"/>
      <c r="K127" s="2023"/>
      <c r="L127" s="2024" t="s">
        <v>823</v>
      </c>
      <c r="M127" s="2025" t="str">
        <f>IF(T127=0, "N/A", T127/H127)</f>
        <v>N/A</v>
      </c>
      <c r="O127" s="721" t="s">
        <v>524</v>
      </c>
      <c r="P127" s="452">
        <f>D127*L$12</f>
        <v>43756.51340933748</v>
      </c>
      <c r="Q127" s="217"/>
      <c r="S127" s="224" t="s">
        <v>878</v>
      </c>
      <c r="T127" s="2186">
        <f>INDEX('CODE-VALUES'!$C127:$S127, 1, MATCH(S2RefStandard, 'CODE-VALUES'!$C$2:$S$2, 0))</f>
        <v>0</v>
      </c>
      <c r="U127" s="105"/>
    </row>
    <row r="128" spans="2:21" ht="27" customHeight="1">
      <c r="C128" s="869" t="s">
        <v>2090</v>
      </c>
      <c r="D128" s="875">
        <f>(I97+I98+I103)-I80</f>
        <v>139181.09802054486</v>
      </c>
      <c r="E128" s="876"/>
      <c r="F128" s="2065" t="s">
        <v>2091</v>
      </c>
      <c r="G128" s="2062"/>
      <c r="H128" s="880">
        <f>D128/H$15</f>
        <v>97.52038818704095</v>
      </c>
      <c r="I128" s="763"/>
      <c r="J128" s="868"/>
      <c r="K128" s="763"/>
      <c r="L128" s="874"/>
      <c r="M128" s="877"/>
      <c r="P128" s="452">
        <f>D128*L$12</f>
        <v>18093.542742670834</v>
      </c>
      <c r="Q128" s="217"/>
      <c r="S128" s="224" t="s">
        <v>878</v>
      </c>
      <c r="U128" s="366" t="s">
        <v>355</v>
      </c>
    </row>
    <row r="129" spans="3:21" ht="25" customHeight="1">
      <c r="C129" s="317" t="s">
        <v>2092</v>
      </c>
      <c r="D129" s="206">
        <f>K97+K103+K79+K71+D122+K104</f>
        <v>130210.99230569483</v>
      </c>
      <c r="E129" s="207"/>
      <c r="F129" s="2066" t="s">
        <v>2093</v>
      </c>
      <c r="G129" s="2062"/>
      <c r="H129" s="2063">
        <f>D129/H$15</f>
        <v>91.235280483250293</v>
      </c>
      <c r="I129" s="123"/>
      <c r="J129" s="55" t="s">
        <v>2085</v>
      </c>
      <c r="L129" s="209"/>
      <c r="M129" s="1502">
        <f>D129-H124-D123</f>
        <v>31554.759297756187</v>
      </c>
      <c r="P129" s="452">
        <f>D129*L$12</f>
        <v>16927.428999740328</v>
      </c>
      <c r="Q129" s="217"/>
      <c r="S129" s="224" t="s">
        <v>878</v>
      </c>
      <c r="U129" s="147" t="s">
        <v>420</v>
      </c>
    </row>
    <row r="130" spans="3:21" ht="25" customHeight="1">
      <c r="C130" s="317" t="s">
        <v>2094</v>
      </c>
      <c r="D130" s="2064">
        <f>(D129/8760*1000)/H$15</f>
        <v>10.414986356535422</v>
      </c>
      <c r="E130" s="123" t="s">
        <v>850</v>
      </c>
      <c r="F130" s="2066" t="s">
        <v>2095</v>
      </c>
      <c r="G130" s="2062"/>
      <c r="H130" s="2063">
        <f>(M129/8760*1000)/H$15</f>
        <v>2.5239219957585455</v>
      </c>
      <c r="I130" s="123" t="s">
        <v>851</v>
      </c>
      <c r="J130" s="208"/>
      <c r="K130" s="766"/>
      <c r="P130" s="452"/>
      <c r="Q130" s="217"/>
      <c r="S130" s="224"/>
      <c r="U130" s="147" t="s">
        <v>420</v>
      </c>
    </row>
    <row r="131" spans="3:21" ht="25" customHeight="1">
      <c r="C131" s="317" t="s">
        <v>2096</v>
      </c>
      <c r="D131" s="1443">
        <f>SUM(I97:I98)+I103</f>
        <v>201775.24205470484</v>
      </c>
      <c r="E131" s="1445"/>
      <c r="F131" s="462" t="s">
        <v>2097</v>
      </c>
      <c r="G131" s="2062"/>
      <c r="H131" s="2063">
        <f>D131/H$15</f>
        <v>141.37839269528087</v>
      </c>
      <c r="I131" s="123"/>
      <c r="J131" s="122"/>
      <c r="L131" s="236"/>
      <c r="M131" s="1442"/>
      <c r="P131" s="452">
        <f>D131*L$12</f>
        <v>26230.781467111628</v>
      </c>
      <c r="Q131" s="217"/>
      <c r="S131" s="224"/>
      <c r="U131" s="147"/>
    </row>
    <row r="132" spans="3:21" ht="25" customHeight="1">
      <c r="C132" s="317" t="s">
        <v>2098</v>
      </c>
      <c r="D132" s="1443">
        <f>SUM(K97:K98)+K103</f>
        <v>-1855.5001322777969</v>
      </c>
      <c r="E132" s="1445"/>
      <c r="F132" s="462" t="s">
        <v>1883</v>
      </c>
      <c r="H132" s="2063">
        <f>D132/H$15</f>
        <v>-1.3000981868538375</v>
      </c>
      <c r="I132" s="123"/>
      <c r="J132" s="1441"/>
      <c r="K132" s="1440"/>
      <c r="L132" s="1449"/>
      <c r="M132" s="1450"/>
      <c r="P132" s="452">
        <f>D132*L$12</f>
        <v>-241.21501719611359</v>
      </c>
      <c r="Q132" s="217"/>
      <c r="S132" s="224"/>
      <c r="U132" s="147"/>
    </row>
    <row r="133" spans="3:21" ht="26" customHeight="1">
      <c r="C133" s="1047"/>
      <c r="D133" s="1048"/>
      <c r="E133" s="307"/>
      <c r="F133" s="878"/>
      <c r="G133" s="1049"/>
      <c r="H133" s="1050"/>
      <c r="I133" s="1051"/>
      <c r="J133" s="308"/>
      <c r="K133" s="1052"/>
      <c r="L133" s="1053"/>
      <c r="M133" s="1054"/>
      <c r="P133" s="119"/>
      <c r="Q133" s="217"/>
      <c r="U133" s="147"/>
    </row>
    <row r="134" spans="3:21" ht="40" customHeight="1" thickBot="1">
      <c r="C134" s="1219" t="s">
        <v>2080</v>
      </c>
      <c r="D134" s="1226"/>
      <c r="E134" s="1226"/>
      <c r="F134" s="1226"/>
      <c r="G134" s="1226"/>
      <c r="H134" s="1226"/>
      <c r="I134" s="1226"/>
      <c r="J134" s="1226"/>
      <c r="K134" s="1226"/>
      <c r="L134" s="1226"/>
      <c r="M134" s="1227"/>
      <c r="T134" s="1481"/>
      <c r="U134" s="151" t="s">
        <v>347</v>
      </c>
    </row>
    <row r="135" spans="3:21" ht="30" customHeight="1" thickTop="1">
      <c r="C135" s="869" t="s">
        <v>2086</v>
      </c>
      <c r="D135" s="2026">
        <f>I103+K51+D117+M121+I101+I102+M43+SUM(H65:H67)-I80</f>
        <v>508560.50667526567</v>
      </c>
      <c r="E135" s="2019" t="s">
        <v>2</v>
      </c>
      <c r="F135" s="868" t="s">
        <v>2087</v>
      </c>
      <c r="G135" s="2027">
        <f>D135/H$15</f>
        <v>356.33443573098771</v>
      </c>
      <c r="H135" s="2021" t="s">
        <v>353</v>
      </c>
      <c r="I135" s="2022"/>
      <c r="J135" s="2022"/>
      <c r="K135" s="2023"/>
      <c r="L135" s="2024" t="s">
        <v>499</v>
      </c>
      <c r="M135" s="2028"/>
      <c r="T135" s="1481"/>
      <c r="U135" s="151"/>
    </row>
    <row r="136" spans="3:21" s="34" customFormat="1" ht="27" customHeight="1">
      <c r="C136" s="869" t="s">
        <v>2099</v>
      </c>
      <c r="D136" s="879">
        <f>IF(D113="Electricity",D135,IF(D113="Heatpump",(K51+D117+D114+M43+H70),IF(D113="Gas",(K51+D117+M43+H70))))</f>
        <v>333724.08039830287</v>
      </c>
      <c r="E136" s="763" t="s">
        <v>0</v>
      </c>
      <c r="F136" s="868" t="s">
        <v>2100</v>
      </c>
      <c r="G136" s="880">
        <f>D136/H$15</f>
        <v>233.83133435979741</v>
      </c>
      <c r="H136" s="763" t="s">
        <v>4</v>
      </c>
      <c r="I136" s="868"/>
      <c r="J136" s="868"/>
      <c r="K136" s="309"/>
      <c r="L136" s="309"/>
      <c r="M136" s="870"/>
      <c r="O136" s="725"/>
      <c r="P136" s="452">
        <f>D136*L$12</f>
        <v>43384.130451779376</v>
      </c>
      <c r="Q136" s="219"/>
      <c r="S136" s="224" t="s">
        <v>878</v>
      </c>
      <c r="T136" s="1481"/>
      <c r="U136" s="151" t="s">
        <v>416</v>
      </c>
    </row>
    <row r="137" spans="3:21" ht="27" customHeight="1">
      <c r="C137" s="315" t="s">
        <v>2101</v>
      </c>
      <c r="D137" s="359">
        <f>(G101*D101+D102*G102)*(H23-D23)/1000</f>
        <v>90.642597446795094</v>
      </c>
      <c r="E137" s="33" t="s">
        <v>33</v>
      </c>
      <c r="F137" s="868" t="s">
        <v>2102</v>
      </c>
      <c r="G137" s="234"/>
      <c r="H137" s="235"/>
      <c r="I137" s="361">
        <f>D137*3412.14245</f>
        <v>309285.45452647115</v>
      </c>
      <c r="J137" s="89" t="s">
        <v>35</v>
      </c>
      <c r="K137" s="236"/>
      <c r="L137" s="236"/>
      <c r="M137" s="101"/>
      <c r="T137" s="1481"/>
      <c r="U137" s="105"/>
    </row>
    <row r="138" spans="3:21" ht="27" customHeight="1">
      <c r="C138" s="316" t="s">
        <v>2103</v>
      </c>
      <c r="D138" s="348">
        <f>(G101*D101+D102*G102)*(D24-H24)/1000</f>
        <v>15.107099574465847</v>
      </c>
      <c r="E138" s="33" t="s">
        <v>33</v>
      </c>
      <c r="F138" s="103" t="s">
        <v>2104</v>
      </c>
      <c r="G138" s="362">
        <f>D138*0.2843451361</f>
        <v>4.2956302845777437</v>
      </c>
      <c r="H138" s="55" t="s">
        <v>504</v>
      </c>
      <c r="I138" s="361">
        <f>D138*3412.14245</f>
        <v>51547.575754411853</v>
      </c>
      <c r="J138" s="89" t="s">
        <v>35</v>
      </c>
      <c r="K138" s="330"/>
      <c r="L138" s="236"/>
      <c r="M138" s="101"/>
      <c r="T138" s="1481"/>
      <c r="U138" s="105"/>
    </row>
    <row r="139" spans="3:21" ht="27" customHeight="1">
      <c r="C139" s="316" t="s">
        <v>2105</v>
      </c>
      <c r="D139" s="348">
        <f>((G101*D101+D102*G102)*(D24-H24)+(D65+D66+D67)*H15)/1000+((K79+D122+K64-H124)/(M19*24))+SCHEDULES!F4</f>
        <v>72.752664487873005</v>
      </c>
      <c r="E139" s="33" t="s">
        <v>33</v>
      </c>
      <c r="F139" s="103" t="s">
        <v>2106</v>
      </c>
      <c r="G139" s="362">
        <f>D139*0.2843451361</f>
        <v>20.686866285441887</v>
      </c>
      <c r="H139" s="55" t="s">
        <v>504</v>
      </c>
      <c r="I139" s="361">
        <f>D139*3412.14245</f>
        <v>248242.45484967896</v>
      </c>
      <c r="J139" s="89" t="s">
        <v>35</v>
      </c>
      <c r="K139" s="492"/>
      <c r="L139" s="244"/>
      <c r="M139" s="2234"/>
      <c r="T139" s="1496"/>
      <c r="U139" s="105"/>
    </row>
    <row r="140" spans="3:21" ht="27" customHeight="1">
      <c r="C140" s="314" t="s">
        <v>2107</v>
      </c>
      <c r="D140" s="360">
        <f>D137*1000/H$15</f>
        <v>63.51078856978355</v>
      </c>
      <c r="E140" s="64" t="s">
        <v>304</v>
      </c>
      <c r="F140" s="103" t="s">
        <v>2108</v>
      </c>
      <c r="G140" s="129">
        <f>D138/H15*1000</f>
        <v>10.585131428297258</v>
      </c>
      <c r="H140" s="67" t="s">
        <v>1867</v>
      </c>
      <c r="I140" s="818"/>
      <c r="J140" s="203"/>
      <c r="K140" s="64"/>
      <c r="M140" s="2126">
        <f>D140/T140</f>
        <v>1.270215771395671</v>
      </c>
      <c r="R140" s="1977">
        <f>T140/D140</f>
        <v>0.78726781899521936</v>
      </c>
      <c r="T140" s="1483">
        <f>INDEX('CODE-VALUES'!$C140:$S140, 1, MATCH(S2RefStandard, 'CODE-VALUES'!$C$2:$S$2, 0))</f>
        <v>50</v>
      </c>
      <c r="U140" s="105"/>
    </row>
    <row r="141" spans="3:21" ht="27" customHeight="1">
      <c r="C141" s="314" t="s">
        <v>2109</v>
      </c>
      <c r="D141" s="227">
        <f>D135*L12</f>
        <v>66112.865867784538</v>
      </c>
      <c r="E141" s="227"/>
      <c r="F141" s="2067" t="s">
        <v>2110</v>
      </c>
      <c r="G141" s="227">
        <f>D136*L12</f>
        <v>43384.130451779376</v>
      </c>
      <c r="H141" s="226" t="s">
        <v>323</v>
      </c>
      <c r="I141" s="93"/>
      <c r="J141" s="93"/>
      <c r="K141" s="245" t="s">
        <v>1702</v>
      </c>
      <c r="L141" s="864">
        <f>(L13*D28)+(D29*L14)+(L15*D31)</f>
        <v>0</v>
      </c>
      <c r="M141" s="237"/>
      <c r="P141" s="522">
        <f>D141-G141</f>
        <v>22728.735416005162</v>
      </c>
      <c r="S141" s="454" t="s">
        <v>1708</v>
      </c>
      <c r="U141" s="149" t="s">
        <v>324</v>
      </c>
    </row>
    <row r="142" spans="3:21" ht="27" customHeight="1">
      <c r="C142" s="314" t="s">
        <v>2112</v>
      </c>
      <c r="D142" s="228">
        <v>30000</v>
      </c>
      <c r="E142" s="465"/>
      <c r="F142" s="2067" t="s">
        <v>2113</v>
      </c>
      <c r="G142" s="130">
        <f>IF(D113="Heatpump",D142/(D141-G141), 0)</f>
        <v>1.3199150525054968</v>
      </c>
      <c r="H142" s="85" t="s">
        <v>356</v>
      </c>
      <c r="I142" s="93"/>
      <c r="J142" s="93"/>
      <c r="K142" s="229"/>
      <c r="L142" s="229"/>
      <c r="M142" s="237"/>
      <c r="U142" s="149" t="s">
        <v>324</v>
      </c>
    </row>
    <row r="143" spans="3:21" ht="27" customHeight="1">
      <c r="C143" s="860" t="s">
        <v>2117</v>
      </c>
      <c r="D143" s="1420">
        <f>E10</f>
        <v>233.83133435979741</v>
      </c>
      <c r="E143" s="861" t="s">
        <v>1711</v>
      </c>
      <c r="F143" s="2067" t="s">
        <v>2116</v>
      </c>
      <c r="G143" s="1420">
        <f>H10</f>
        <v>93.025257804775976</v>
      </c>
      <c r="H143" s="861" t="s">
        <v>1710</v>
      </c>
      <c r="I143" s="759"/>
      <c r="J143" s="759"/>
      <c r="K143" s="863" t="str">
        <f>IF(D14="Targeted Use", "N/A", K10)</f>
        <v>N/A</v>
      </c>
      <c r="L143" s="861" t="s">
        <v>331</v>
      </c>
      <c r="M143" s="759"/>
      <c r="U143" s="149" t="s">
        <v>324</v>
      </c>
    </row>
    <row r="144" spans="3:21" ht="24" customHeight="1">
      <c r="C144" s="860" t="s">
        <v>2119</v>
      </c>
      <c r="D144" s="2075">
        <f>1-(G143/D143)</f>
        <v>0.60216940958974496</v>
      </c>
      <c r="E144" s="2076"/>
      <c r="F144" s="2067" t="s">
        <v>2121</v>
      </c>
      <c r="G144" s="2075" t="str">
        <f>IF(K143="N/A", "N/A", G143/K143)</f>
        <v>N/A</v>
      </c>
      <c r="H144" s="2076" t="s">
        <v>1824</v>
      </c>
      <c r="I144" s="2062"/>
      <c r="J144" s="2062"/>
      <c r="K144" s="2077" t="str">
        <f>IF(D14="Targeted Use", "N/A", K143/G143)</f>
        <v>N/A</v>
      </c>
      <c r="L144" s="2076" t="s">
        <v>357</v>
      </c>
      <c r="M144" s="2062"/>
      <c r="U144" s="149"/>
    </row>
    <row r="145" spans="1:20" s="34" customFormat="1" ht="25" customHeight="1">
      <c r="C145" s="860" t="s">
        <v>2120</v>
      </c>
      <c r="D145" s="2075">
        <f>1-(REPORT!K32/K32)</f>
        <v>0.60216940958974496</v>
      </c>
      <c r="E145" s="2076"/>
      <c r="F145" s="2205"/>
      <c r="G145" s="2206"/>
      <c r="H145" s="2206"/>
      <c r="I145" s="2206"/>
      <c r="J145" s="2206"/>
      <c r="K145" s="2206"/>
      <c r="L145" s="2206"/>
      <c r="M145" s="2206"/>
      <c r="O145" s="725"/>
      <c r="Q145" s="220"/>
      <c r="T145" s="1495"/>
    </row>
    <row r="146" spans="1:20" ht="25" customHeight="1">
      <c r="C146" s="131"/>
      <c r="D146" s="132"/>
      <c r="E146" s="132"/>
      <c r="F146" s="133"/>
      <c r="G146" s="133"/>
      <c r="L146" s="133"/>
      <c r="M146" s="133"/>
    </row>
    <row r="147" spans="1:20" ht="15" customHeight="1">
      <c r="E147" s="133"/>
      <c r="F147" s="133"/>
      <c r="H147" s="770" t="s">
        <v>1572</v>
      </c>
      <c r="J147" s="2330" t="s">
        <v>1573</v>
      </c>
      <c r="K147" s="2330"/>
      <c r="L147" s="197"/>
      <c r="M147" s="134"/>
    </row>
    <row r="148" spans="1:20" ht="86" customHeight="1">
      <c r="E148" s="197"/>
      <c r="F148" s="197"/>
      <c r="G148" s="769"/>
      <c r="H148" s="769"/>
      <c r="J148" s="2330"/>
      <c r="K148" s="2330"/>
      <c r="L148" s="197"/>
      <c r="M148" s="134"/>
    </row>
    <row r="149" spans="1:20" ht="10" customHeight="1" thickBot="1">
      <c r="G149" s="769"/>
      <c r="H149" s="769"/>
    </row>
    <row r="150" spans="1:20" ht="159" customHeight="1" thickBot="1">
      <c r="C150" s="2346" t="s">
        <v>876</v>
      </c>
      <c r="D150" s="2353"/>
      <c r="E150" s="2353"/>
      <c r="F150" s="2353"/>
      <c r="G150" s="2353"/>
      <c r="H150" s="2353"/>
      <c r="I150" s="2353"/>
      <c r="J150" s="2353"/>
      <c r="K150" s="2353"/>
      <c r="L150" s="2353"/>
      <c r="M150" s="2354"/>
    </row>
    <row r="151" spans="1:20" ht="118" customHeight="1">
      <c r="C151" s="2355" t="s">
        <v>1568</v>
      </c>
      <c r="D151" s="2355"/>
    </row>
    <row r="152" spans="1:20" ht="118" customHeight="1">
      <c r="A152" s="1989">
        <f>SUM(J27:J31)</f>
        <v>333724.08039830287</v>
      </c>
    </row>
    <row r="153" spans="1:20" ht="11.75" customHeight="1">
      <c r="A153" s="1989">
        <f>SUM(J27:J31)</f>
        <v>333724.08039830287</v>
      </c>
    </row>
    <row r="154" spans="1:20" ht="11.75" customHeight="1">
      <c r="A154" s="1989">
        <f>SUM(J27:J31)</f>
        <v>333724.08039830287</v>
      </c>
    </row>
    <row r="155" spans="1:20" ht="11.75" customHeight="1">
      <c r="A155" s="1989">
        <f>SUM(J27:J31)</f>
        <v>333724.08039830287</v>
      </c>
    </row>
    <row r="156" spans="1:20" ht="11.75" customHeight="1">
      <c r="A156" s="1989">
        <f>SUM(J27:J31)</f>
        <v>333724.08039830287</v>
      </c>
    </row>
    <row r="157" spans="1:20" ht="11.75" customHeight="1">
      <c r="A157" s="1989">
        <f>SUM(J27:J31)</f>
        <v>333724.08039830287</v>
      </c>
    </row>
    <row r="158" spans="1:20" ht="11.75" customHeight="1">
      <c r="A158" s="1989">
        <f>SUM(J27:J31)</f>
        <v>333724.08039830287</v>
      </c>
    </row>
    <row r="159" spans="1:20" ht="11.75" customHeight="1">
      <c r="A159" s="1990">
        <f>H27-D43</f>
        <v>333724.08039830287</v>
      </c>
    </row>
    <row r="160" spans="1:20" ht="11.75" customHeight="1">
      <c r="A160" s="1989">
        <f>SUM(J27:J31)</f>
        <v>333724.08039830287</v>
      </c>
    </row>
    <row r="161" spans="1:1" ht="11.75" customHeight="1">
      <c r="A161" s="1990">
        <f>H27-D43</f>
        <v>333724.08039830287</v>
      </c>
    </row>
    <row r="162" spans="1:1" ht="11.75" customHeight="1">
      <c r="A162" s="1989">
        <f>SUM(J27:J31)</f>
        <v>333724.08039830287</v>
      </c>
    </row>
    <row r="163" spans="1:1" ht="11.75" customHeight="1">
      <c r="A163" s="1990">
        <f>H27-D43</f>
        <v>333724.08039830287</v>
      </c>
    </row>
    <row r="164" spans="1:1" ht="11.75" customHeight="1">
      <c r="A164" s="1989">
        <f>H28*0.0373</f>
        <v>0</v>
      </c>
    </row>
    <row r="165" spans="1:1" ht="11.75" customHeight="1">
      <c r="A165" s="1989">
        <f>SUM(J27:J31)</f>
        <v>333724.08039830287</v>
      </c>
    </row>
    <row r="166" spans="1:1" ht="11.75" customHeight="1">
      <c r="A166" s="1990">
        <f>H27-D43</f>
        <v>333724.08039830287</v>
      </c>
    </row>
    <row r="167" spans="1:1" ht="11.75" customHeight="1">
      <c r="A167" s="1989">
        <f>H28*0.0373</f>
        <v>0</v>
      </c>
    </row>
    <row r="168" spans="1:1" ht="11.75" customHeight="1">
      <c r="A168" s="1989">
        <f>SUM(J27:J31)</f>
        <v>333724.08039830287</v>
      </c>
    </row>
    <row r="169" spans="1:1" ht="11.75" customHeight="1">
      <c r="A169" s="1990">
        <f>H27-D43</f>
        <v>333724.08039830287</v>
      </c>
    </row>
    <row r="170" spans="1:1" ht="11.75" customHeight="1">
      <c r="A170" s="1989">
        <f>H28*0.0373</f>
        <v>0</v>
      </c>
    </row>
    <row r="171" spans="1:1" ht="11.75" customHeight="1">
      <c r="A171" s="1989">
        <f>SUM(J27:J31)</f>
        <v>333724.08039830287</v>
      </c>
    </row>
    <row r="172" spans="1:1" ht="11.75" customHeight="1">
      <c r="A172" s="1990">
        <f>H27-D43</f>
        <v>333724.08039830287</v>
      </c>
    </row>
    <row r="173" spans="1:1" ht="11.75" customHeight="1">
      <c r="A173" s="1989">
        <f>H28*0.0373</f>
        <v>0</v>
      </c>
    </row>
    <row r="174" spans="1:1" ht="11.75" customHeight="1">
      <c r="A174" s="1989">
        <f>H30*36.72</f>
        <v>0</v>
      </c>
    </row>
    <row r="175" spans="1:1" ht="11.75" customHeight="1">
      <c r="A175" s="1989">
        <f>SUM(J27:J31)</f>
        <v>333724.08039830287</v>
      </c>
    </row>
    <row r="176" spans="1:1" ht="11.75" customHeight="1">
      <c r="A176" s="1990">
        <f>H27-D43</f>
        <v>333724.08039830287</v>
      </c>
    </row>
    <row r="177" spans="1:1" ht="11.75" customHeight="1">
      <c r="A177" s="1989">
        <f>H28*0.0373</f>
        <v>0</v>
      </c>
    </row>
    <row r="178" spans="1:1" ht="11.75" customHeight="1">
      <c r="A178" s="1989">
        <f>H30*36.72</f>
        <v>0</v>
      </c>
    </row>
    <row r="179" spans="1:1" ht="11.75" customHeight="1">
      <c r="A179" s="1989">
        <f>SUM(J27:J31)</f>
        <v>333724.08039830287</v>
      </c>
    </row>
    <row r="180" spans="1:1" ht="11.75" customHeight="1">
      <c r="A180" s="1990">
        <f>H27-D43</f>
        <v>333724.08039830287</v>
      </c>
    </row>
    <row r="181" spans="1:1" ht="11.75" customHeight="1">
      <c r="A181" s="1989">
        <f>H28*0.0373</f>
        <v>0</v>
      </c>
    </row>
    <row r="182" spans="1:1" ht="11.75" customHeight="1">
      <c r="A182" s="1989">
        <f>H30*36.72</f>
        <v>0</v>
      </c>
    </row>
    <row r="183" spans="1:1" ht="11.75" customHeight="1">
      <c r="A183"/>
    </row>
    <row r="194" spans="1:1" ht="11.75" customHeight="1">
      <c r="A194"/>
    </row>
    <row r="210" spans="1:1" ht="11.75" customHeight="1">
      <c r="A210"/>
    </row>
    <row r="226" spans="1:1" ht="11.75" customHeight="1">
      <c r="A226"/>
    </row>
  </sheetData>
  <sheetProtection algorithmName="SHA-512" hashValue="sFEaVFMHZHVh/FBlTpbe4sNH23zM5nhmHdqxUW3E5Jy6CsKXWDx4Pktm/XqZRi7gAXOYi2nPHA5TK2KRPBqKcA==" saltValue="fc7lf1EUwcNgb0SWHfRoMA==" spinCount="100000" sheet="1" objects="1" scenarios="1"/>
  <mergeCells count="18">
    <mergeCell ref="H26:I26"/>
    <mergeCell ref="H14:I14"/>
    <mergeCell ref="L26:M26"/>
    <mergeCell ref="T1:T2"/>
    <mergeCell ref="B2:B3"/>
    <mergeCell ref="D2:F3"/>
    <mergeCell ref="K2:M3"/>
    <mergeCell ref="D12:E12"/>
    <mergeCell ref="G2:G3"/>
    <mergeCell ref="D13:E13"/>
    <mergeCell ref="D14:E14"/>
    <mergeCell ref="D15:E15"/>
    <mergeCell ref="D26:E26"/>
    <mergeCell ref="D39:E39"/>
    <mergeCell ref="J147:K148"/>
    <mergeCell ref="C150:M150"/>
    <mergeCell ref="C151:D151"/>
    <mergeCell ref="P27:Q27"/>
  </mergeCells>
  <conditionalFormatting sqref="G109">
    <cfRule type="expression" dxfId="6" priority="35">
      <formula>NOT($D$108="Measured")</formula>
    </cfRule>
  </conditionalFormatting>
  <conditionalFormatting sqref="E49:F49">
    <cfRule type="expression" dxfId="5" priority="27" stopIfTrue="1">
      <formula>NOT($D$49="User Defined")</formula>
    </cfRule>
  </conditionalFormatting>
  <conditionalFormatting sqref="E50:F50">
    <cfRule type="expression" dxfId="4" priority="26">
      <formula>NOT($D$49="By Engineer")</formula>
    </cfRule>
  </conditionalFormatting>
  <conditionalFormatting sqref="G115:M115">
    <cfRule type="expression" dxfId="3" priority="15">
      <formula>NOT($D$113="Gas")</formula>
    </cfRule>
  </conditionalFormatting>
  <conditionalFormatting sqref="G116:L116">
    <cfRule type="expression" dxfId="2" priority="14">
      <formula>AND($D$113&lt;&gt;"Electricity", $D$113&lt;&gt;"Gas")</formula>
    </cfRule>
  </conditionalFormatting>
  <dataValidations count="66">
    <dataValidation allowBlank="1" showInputMessage="1" showErrorMessage="1" promptTitle="Cooling Guidance" prompt="ASHRAE may permit 26ºC, where NBC 2025 may require 24ºC. Residents will often set lower. Use 24ºC as Default for design. " sqref="D81 D25 H24 D63:D66" xr:uid="{92783C70-F71B-9A4E-93B3-A3F57D10C1C8}"/>
    <dataValidation allowBlank="1" showInputMessage="1" showErrorMessage="1" promptTitle="n-Factor Description" prompt="Naturalizes air leakage from pressure test results" sqref="G110" xr:uid="{B2546DCB-0AD3-5644-81A1-0D71958A0C36}"/>
    <dataValidation allowBlank="1" showInputMessage="1" showErrorMessage="1" promptTitle="Gains Factor Derivation" prompt="From Hourly Modelling for Toronto Latitude: 0.5 SHGC at Mid-wall placement self-shading and 40% DST and 52% TST Assumed" sqref="M72" xr:uid="{0220624E-DCE8-734F-8627-D03FCCACF16A}"/>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G54 E54" xr:uid="{CAD1C46E-87BA-F34F-9063-75508B8CE44D}"/>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35" xr:uid="{4EA81858-182B-F94C-802A-C220F9A31D99}"/>
    <dataValidation allowBlank="1" showInputMessage="1" showErrorMessage="1" promptTitle="Externally Defined Value" prompt="ONLY Select this option if Embodied Carbon must be calculated using an external tool. otherwise a guidance value will be calculated from the Building Construction Typology selected to the left. " sqref="I41" xr:uid="{1A062D19-CB18-5047-88E2-6F90E5DEB40E}"/>
    <dataValidation allowBlank="1" showInputMessage="1" showErrorMessage="1" promptTitle="Wood" prompt="Enter a number here only if you have Utility Bill data. If none are yet available, be sure to select 'S.2 Targeted Use' mode. " sqref="D31" xr:uid="{84F34324-71B3-444D-BAE6-97780C3DD833}"/>
    <dataValidation allowBlank="1" showInputMessage="1" showErrorMessage="1" promptTitle="Oil " prompt="Enter a number here only if you have Utility Bill data. If none are yet available, be sure to select 'S.2 Targeted Use' mode. " sqref="D30" xr:uid="{67264B56-2852-A04F-989F-BAC5181F9795}"/>
    <dataValidation allowBlank="1" showInputMessage="1" showErrorMessage="1" promptTitle="Propane" prompt="Enter a number here only if you have Utility Bill data. If none are yet available, be sure to select 'S.2 Targeted Use' mode. " sqref="D29" xr:uid="{F34F76BA-4130-EB4E-A0DA-FA715262B3F8}"/>
    <dataValidation allowBlank="1" showInputMessage="1" showErrorMessage="1" promptTitle="Electricity" prompt="Enter a number here only if you have Utility Bill data. If none are yet available, be sure to select 'S.2 Targeted Use' mode. " sqref="D27" xr:uid="{1F95AE78-8AC4-9341-BC89-2B897C520A12}"/>
    <dataValidation allowBlank="1" showInputMessage="1" showErrorMessage="1" promptTitle="Occupants" prompt="This should match whatever occupant load values entered in your OBC or other code matrix documents submitted for permit. Typical SFR values are 2 adults, 2 kids (ie. 3 adults) for 50% of the time (12hrs/day)" sqref="D63" xr:uid="{00033677-38E1-6B44-9E26-B6F06FF24605}"/>
    <dataValidation allowBlank="1" showInputMessage="1" showErrorMessage="1" promptTitle="Conditioned Volume " prompt="Measure this volume as bounded by the interiormost faces of all walls, roofs, floors facing Ae and Ag. Treat entire building as one-zone. " sqref="D105" xr:uid="{B6F7212D-78F1-684E-A476-E50158CD8D12}"/>
    <dataValidation type="list" allowBlank="1" showInputMessage="1" showErrorMessage="1" promptTitle="Select a Method" prompt="Targeted Use: All Design Phases_x000a_Utility Bills: Read from Meters, 12mos. Post-Occupancy" sqref="D14:E14" xr:uid="{31655E07-4333-8645-93DB-FAE50FFAB2D5}">
      <formula1>"Targeted Use, Utility Bills"</formula1>
    </dataValidation>
    <dataValidation allowBlank="1" showInputMessage="1" showErrorMessage="1" promptTitle="ACH Value" prompt="Refer to ASHRAE 90.1_x000a_Offices: 4-6_x000a_Schools: 3-6_x000a_Retail: 3-5_x000a_Healthcare: 6-15_x000a_Residential: 0.35-1.0" sqref="L118" xr:uid="{9477C1AD-BCAE-6C4C-9646-C9B3565BCA77}"/>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H118" xr:uid="{DA7D6848-65A1-DE47-B12F-33F091DE31FF}">
      <formula1>"Volume Constant, Volume by Schedule, Occupant Constant, Occupant by Schedule"</formula1>
    </dataValidation>
    <dataValidation type="list" allowBlank="1" showInputMessage="1" showErrorMessage="1" promptTitle="Select a Province" prompt="Enter the 2-digit Province abbreviation" sqref="D19" xr:uid="{8033FFAF-BEB2-B146-B4C2-351126CE567E}">
      <formula1>"AB, BC, MB, NB, NL, NS, NT, NU, ON, PE, QC, SK, YT "</formula1>
    </dataValidation>
    <dataValidation allowBlank="1" showInputMessage="1" showErrorMessage="1" promptTitle="Assume $0.122 (Ontario)" prompt="Adjust for Different Regions, be sure to add any tax &amp; delivery to totals. " sqref="L141 L13:L16" xr:uid="{99269815-72C3-CD48-B89C-2BF9C1ACAA8D}"/>
    <dataValidation allowBlank="1" showInputMessage="1" showErrorMessage="1" promptTitle="Assume $0.13/kwh" prompt="Delivery Charges, Debt Retirement, Rebates, TOU rates and Taxes May Vary. Enter Gross Value to closer approximate complete Utility Bill Costs" sqref="L12" xr:uid="{4C961200-8889-4D42-B506-78201C6B691F}"/>
    <dataValidation allowBlank="1" showInputMessage="1" showErrorMessage="1" promptTitle="Default is 0" prompt="Only enter if planned outdoor loads are known, ie. Exterior Lighting, Pumps, Heat-Tracing, Snow-Melting, etc. " sqref="M43" xr:uid="{BF3A8879-7F77-5D48-B77B-01617920B59C}"/>
    <dataValidation allowBlank="1" showInputMessage="1" showErrorMessage="1" promptTitle="Ventilation Guidance" prompt="8.33 l/s is Default, 12.5 l/s is considered best practice" sqref="D119" xr:uid="{915F0F89-8B04-2942-BD2D-653D499A263D}"/>
    <dataValidation allowBlank="1" showInputMessage="1" showErrorMessage="1" promptTitle="Typ. Range 50-90%" prompt="Refer to Reference Standard Requirements" sqref="D118" xr:uid="{C3B08461-953D-2F42-AE50-3C87A0508D7B}"/>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F113" xr:uid="{A4774CD7-CDDE-F642-AD27-61A7073DB7A6}"/>
    <dataValidation allowBlank="1" showInputMessage="1" showErrorMessage="1" promptTitle="Cooling Days are Increasing" prompt="120 is Typical in Canada, but with warming climate, this can add 20-40 days. This will affect both cooling setpoints and occupant schedules. " sqref="M19" xr:uid="{FFAA2B9B-111A-F849-B70F-9D16BF22519C}"/>
    <dataValidation allowBlank="1" showInputMessage="1" showErrorMessage="1" promptTitle="Occupancy-Dependent Calculation" prompt="If non-Residential Occupancy Selected, this number will be used" sqref="E50" xr:uid="{EC8E6B5B-2726-3144-8565-2515C3819F6E}"/>
    <dataValidation allowBlank="1" showInputMessage="1" showErrorMessage="1" promptTitle="If Heatpump Selected" prompt="EF can be greater than 100%, ie. COP 1.5 = 150%" sqref="D52:D53" xr:uid="{E354D821-A2CE-684E-8AE6-AAB20F71756F}"/>
    <dataValidation type="list" allowBlank="1" showInputMessage="1" showErrorMessage="1" promptTitle="Solar Heat Gain Coefficient" prompt="0.5 = 50% Gain Permitted (Default)_x000a_Higher Numbers Increase Solar Heat Gain (Reduces Heating)_x000a_Lower Numbers Reduce Solar Heat Gain (Reduces Cooling)" sqref="F73:F78" xr:uid="{790520AB-9151-A147-8E84-01880208F42D}">
      <formula1>"0.20, 0.25, 0.30, 0.35, 0.40, 0.45, 0.50, 0.55, 0.60"</formula1>
    </dataValidation>
    <dataValidation type="list" allowBlank="1" showInputMessage="1" showErrorMessage="1" promptTitle="Average Daily Metabolic Rate" prompt="Activity Levels lookup: Schedules tab, per ASHRAE values. " sqref="D64" xr:uid="{DD73C392-CD8C-264B-BE57-4AFECE93ED28}">
      <formula1>"Relaxed, Normal, Active, Hyperactive"</formula1>
    </dataValidation>
    <dataValidation type="list" allowBlank="1" showInputMessage="1" showErrorMessage="1" promptTitle="Municpality" prompt="Select a Muncipality from the Drop-Down" sqref="H19" xr:uid="{BDDA67C2-5948-CA47-861B-D6238A62AD3A}">
      <formula1>INDIRECT(D19)</formula1>
    </dataValidation>
    <dataValidation type="list" allowBlank="1" showInputMessage="1" showErrorMessage="1" promptTitle="A Note on Methods:" prompt="NRC: 0% = Intermittent Occupancies_x000a_NRC: 40% = Light-Wood Framed Buildings_x000a_NRC: 50% = Light-Wood Buildings + Transfer Strategies_x000a_NRC: 60% = Massive Buildings + Transfer Strategies_x000a_PH Method: Approximation of PHPP" sqref="D80" xr:uid="{3578DAE5-5297-3548-B4B3-209C17CE393B}">
      <formula1>"NRC 0%, NRC 40%, NRC 50%, NRC 60%, PH Method"</formula1>
    </dataValidation>
    <dataValidation allowBlank="1" showInputMessage="1" showErrorMessage="1" promptTitle="Capacitance Factor" prompt="Fakes a value (0-50% max.) for ground-facing elements, that absorb some excess thermal energy. Cooling season is short in Canada and mass-y elements eventually reach equilibrium/steady-state. Enter 0% when subgrade elements are not part of conditioned vol" sqref="I21" xr:uid="{838E9464-403E-3B4B-863C-45C53715CC50}"/>
    <dataValidation allowBlank="1" showInputMessage="1" showErrorMessage="1" promptTitle="A Note on Methods:" prompt="NRC: 40-60% for Canadian Light-Wood Framed Buildings_x000a_PHPP: Calculated (use for PH projects). _x000a__x000a_Intermittent Occupancy and Low Mass buildings should enter 0%_x000a_High Mass Buildings with regular occupancy can use 60%" sqref="G80" xr:uid="{DD7DFCDD-D2BD-7C43-9337-AD4912EE2D0E}"/>
    <dataValidation type="list" allowBlank="1" showInputMessage="1" showErrorMessage="1" promptTitle="Select Calculation Method" prompt="Static: Conventional Thermal Transfer_x000a_Capacitance: Simulates Thermal Mass Transfer &amp; Storage Characteristics (uses G.4.2) - 50% assumes equilibrium reached_x000a__x000a_Capacitance only if sub-grade surfaces form part of conditioned volume" sqref="H21" xr:uid="{01517A27-1223-FA46-A12F-9CEC6D6FA220}">
      <formula1>"Static, Capacitance"</formula1>
    </dataValidation>
    <dataValidation allowBlank="1" showInputMessage="1" showErrorMessage="1" promptTitle="TB Penalty" prompt="For PH projects enter min. 5% to account for Construction Error, Unaccounted for TB. Enter between 5- 70% depending on level of effort to mitigate Thermal Bridges.  " sqref="D97" xr:uid="{84F8C315-F688-3145-9141-3E2D5CDEF310}"/>
    <dataValidation type="list" allowBlank="1" showInputMessage="1" showErrorMessage="1" promptTitle="Low or Regular Energy Spec" prompt="Select whether this is a Low Energy Specification or Regular Energy" sqref="G67" xr:uid="{F63AC609-6FBE-544F-B437-DC0097BC3B81}">
      <formula1>"Regular, Low Energy"</formula1>
    </dataValidation>
    <dataValidation type="list" allowBlank="1" showInputMessage="1" showErrorMessage="1" sqref="G103" xr:uid="{68D7F04C-2BB3-1F4A-BB5F-115A73BA76FF}">
      <formula1>"Shielded, Normal, Exposed"</formula1>
    </dataValidation>
    <dataValidation type="list" allowBlank="1" showInputMessage="1" showErrorMessage="1" promptTitle="Select Stories" prompt="Only 3 stories per NRC Testing Data. Anything over 3 Stories is a theoretical extrapolation. " sqref="D103" xr:uid="{E09CD386-2D3B-BC42-8767-9A2FD31338C3}">
      <formula1>"1, 1.5, 2, 3, 4, 5, 6"</formula1>
    </dataValidation>
    <dataValidation type="list" allowBlank="1" showInputMessage="1" showErrorMessage="1" promptTitle="Climate Zone per n-Factor Table" sqref="I110" xr:uid="{4FF5DE0E-48DB-DB43-8EE2-DAEE817E35AC}">
      <formula1>"1, 2, 3, 4"</formula1>
    </dataValidation>
    <dataValidation type="list" allowBlank="1" showInputMessage="1" showErrorMessage="1" promptTitle="Ventilation Boost Rate" sqref="L119" xr:uid="{475C34AC-5106-FF45-902F-615D4755286E}">
      <formula1>"None, 1.10, 1.20, 1.30, 1.40, 1.50, 1.60, 1.70, 1.80, 1.90, 2.00"</formula1>
    </dataValidation>
    <dataValidation type="list" allowBlank="1" showInputMessage="1" showErrorMessage="1" promptTitle="DHW/SHW Heating Source" prompt="Select DHW Energy Source" sqref="D51" xr:uid="{2B82FB7F-4C7D-384C-A0FE-1257BF7C10A8}">
      <formula1>"Electric, Heatpump, Gas"</formula1>
    </dataValidation>
    <dataValidation type="list" allowBlank="1" showInputMessage="1" showErrorMessage="1" promptTitle="Year Data Entered" prompt="Select a Reporting Period. This will determine Annualized Emissions Factors and Forecasted Factors per the Toronto Atmospheric Fund. " sqref="H12" xr:uid="{AEE46A5F-54D8-484B-A4F8-E3BBA534EF96}">
      <formula1>"2015, 2016, 2017, 2018, 2019, 2020, 2021, 2022, 2023, 2024, 2025, 2026, 2027, 2028, 2029, 2030, 2031, 2032, 2033, 2034, 2035, 2036, 2037, 2038, 2039, 2040, 2041"</formula1>
    </dataValidation>
    <dataValidation type="list" allowBlank="1" showInputMessage="1" showErrorMessage="1" promptTitle="A.2 NRL50 * Ae" prompt="Select an Airtighness Level. 'Measured' will override defined targets from NECB/NBC. A-suffix = Guarded or Multi-Zone method, B-Suffix = Unguarded or One-Zone method per NBC 9.36.6.4" sqref="D108" xr:uid="{60C0CE45-BD01-754B-BC23-5FF129043C60}">
      <formula1>"Measured, PH Classic, PH Low, PH+, AL-1A, AL-2A, AL-3A, AL-4A, AL-5A, AL-1B, AL-2B, AL-3B, AL-4B, AL-5B, AL-6B"</formula1>
    </dataValidation>
    <dataValidation type="list" showInputMessage="1" showErrorMessage="1" sqref="D55 D48" xr:uid="{A8463BEB-1BEC-CB44-8F78-3A369E514B16}">
      <formula1>"Measured, Targeted"</formula1>
    </dataValidation>
    <dataValidation type="list" allowBlank="1" showInputMessage="1" showErrorMessage="1" promptTitle="Select a period in Years" prompt="Period related to durability level of building. 30 = Stick Frame Residential. 50 = ICI buildings. 80 = Long-life buildings and 100 = legacy class buildings (Historic, Monumental, etc). Larger number = larger denominator for Lifetime Carbon. " sqref="H13" xr:uid="{4D0E5E67-F32C-E64F-9D65-6AD51F1EC0AD}">
      <formula1>"30, 40, 50, 60, 70, 80, 90, 100"</formula1>
    </dataValidation>
    <dataValidation type="list" allowBlank="1" showInputMessage="1" showErrorMessage="1" promptTitle="Cooling Guidance" prompt="ASHRAE may permit 26ºC, where NBC 2025 may require 24ºC. Residents will often set lower. Use 24ºC as Default for design. " sqref="D80" xr:uid="{26A3FAC3-DECF-1E49-8C96-93FD894B390B}">
      <formula1>"NRC 0%, NRC 40%, NRC 50%, NRC 60%, PH Method"</formula1>
    </dataValidation>
    <dataValidation type="list" allowBlank="1" showInputMessage="1" showErrorMessage="1" promptTitle="Select an Orientation" prompt="This determines gains based on the Solar Gains Factor in Column 'M'" sqref="E73:E77" xr:uid="{C05D5880-DB66-B548-8CAB-6FD3FA3E5A18}">
      <formula1>"Average, North, NorthEast, East, SouthEast, South, SouthWest, West, NorthWest"</formula1>
    </dataValidation>
    <dataValidation type="list" allowBlank="1" showInputMessage="1" showErrorMessage="1" promptTitle="Select an Orientation" prompt="This determines gains based on the Solar Gains Factor in Column 'M'" sqref="E78" xr:uid="{1735B110-5533-0043-9B79-ED0D6FBE637E}">
      <formula1>"Average, North, NorthEast, East, SouthEast, South, SouthWest, West, NorthWest, Skylight"</formula1>
    </dataValidation>
    <dataValidation type="list" allowBlank="1" showInputMessage="1" showErrorMessage="1" promptTitle="Carbon Benchmark" prompt="Enter relevant standard otherwise 'Self Reported'. If no A1-3 Embodied carbon has been calculated using another tool, select 'Not Reported' to use default values (Upset Limits from TGS4)" sqref="D15:E15" xr:uid="{C51A5660-748B-424A-81E0-5B56751EF40C}">
      <formula1>"BR18 (Denmark), IPCC AR6 EPC, IPCC AR6 EA, TGS4, CaGBC ZCB D, CaGBC ZCB P, Self Reported, Not Reported"</formula1>
    </dataValidation>
    <dataValidation allowBlank="1" showInputMessage="1" showErrorMessage="1" promptTitle="Schedule Guidance" prompt="For similarity of methods, Schedule set on REPORT Worksheet must match Schedule set on REFERENCE Sheet. " sqref="G63" xr:uid="{AC4F0AFC-C30D-624D-B683-60B9937D9918}"/>
    <dataValidation allowBlank="1" showInputMessage="1" showErrorMessage="1" promptTitle="Schedule Guidance" prompt="For Similarity of Methods this matches what is set in the REPORT Worksheet" sqref="G63" xr:uid="{8B1F6377-A135-F846-ACB1-884A4F38136B}"/>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60" xr:uid="{19419F60-7F32-604F-ADAE-1D1A9FB0B9F2}"/>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49" xr:uid="{A7AE0423-2041-D646-A81F-AC586088A2B2}">
      <formula1>"User Defined, PHPP Method, NBC Method, OBC Method, Luxury, By Engineer"</formula1>
    </dataValidation>
    <dataValidation allowBlank="1" showInputMessage="1" showErrorMessage="1" promptTitle="Enter Percapita Metered Use" prompt="Assume 220 litres/pp/day per NBC 9.36. Assume 40% of this is DHW or 88 litres/pp/day DHW. " sqref="H49 D54" xr:uid="{771A0D64-2B83-0F44-8070-53D915891A91}"/>
    <dataValidation allowBlank="1" showInputMessage="1" showErrorMessage="1" promptTitle="Project Name" prompt="You may anonymize any owner info here. Use a project number or location or secret code name. Useful also for naming variations of your OBJECTIVE models ie. Run 1, 2, 3, etc." sqref="J14 H14" xr:uid="{F132D761-E26E-924E-8B5A-CBEA6DD1D320}"/>
    <dataValidation allowBlank="1" showInputMessage="1" showErrorMessage="1" promptTitle="Total Excludes B.12 TB Penalty" sqref="L104" xr:uid="{EB0F8F91-55EC-E74E-B4EE-27D33485B89C}"/>
    <dataValidation allowBlank="1" showInputMessage="1" showErrorMessage="1" promptTitle="P.5 Special Loads" prompt="Only enter if planned outdoor loads are known, ie. Exterior Lighting, Pumps, Heat-Tracing, Snow-Melting, etc. " sqref="M43" xr:uid="{E9176D34-B708-E443-9C2A-1CFD34674AF7}"/>
    <dataValidation allowBlank="1" showInputMessage="1" showErrorMessage="1" promptTitle="Litres/Per-Person/Day" prompt="Enter a value for Total Water Per Day. If you are trying to match values from a water meter, divide the meter value by 365 and then again by #Occupants. " sqref="E49:F49 F50" xr:uid="{1362AEF8-E967-BE49-9AE5-FB1C2640DD27}"/>
    <dataValidation allowBlank="1" showInputMessage="1" showErrorMessage="1" promptTitle="Calculation Dependency" prompt="This field will not form part of calculations unless B.18.1 'Measured' is selected as the _x000a_Method. " sqref="G109" xr:uid="{85CA446C-69EC-BE46-8D77-4EC53D2BD9F5}"/>
    <dataValidation type="list" allowBlank="1" showInputMessage="1" showErrorMessage="1" promptTitle="Building Typology" prompt="Select a Building Typology_x000a_Or select 'Modelled Value' if you have calclated it with external software. " sqref="D39" xr:uid="{9E3E3218-8DFC-8240-B4AB-D1DD07FA3878}">
      <formula1>"Pt.9 Res. Stick Frame, Pt.9 Small Mass Timber, Pt.3 Mass Timber, Pt.3 Concrete, Pt.3 Steel, Pt.3 Office, Modelled Value"</formula1>
    </dataValidation>
    <dataValidation allowBlank="1" showInputMessage="1" showErrorMessage="1" promptTitle="Refer to SCHEDULES Worksheet" prompt="See Table for Occupancy Type: Averaged Ontario TEUI per Occupancy, As Reference Code Value: Benchmarked Value comparison." sqref="M9" xr:uid="{23587CEC-0514-C849-A48F-F32262005CE7}"/>
    <dataValidation type="list" allowBlank="1" showInputMessage="1" showErrorMessage="1" promptTitle="Select Primary Heating System" prompt="Select Electric, Heatpump or Gas and note defined efficiency inputs (HSPF or AFUE). Electricity is assumed 100% efficient. " sqref="D113" xr:uid="{5DE56EE4-BCCB-6A4C-A5DD-13D7B6A6ECEC}">
      <formula1>"Heatpump, Electricity, Gas"</formula1>
    </dataValidation>
    <dataValidation type="list" allowBlank="1" showInputMessage="1" showErrorMessage="1" promptTitle="Select Ventilation Method" prompt="Volume-Based (Constant)_x000a_Demand-Based (per Occupant)_x000a_CO2-Based (per Occupant x Occupied)" sqref="H118" xr:uid="{183A54E6-BE60-2C4F-9200-B9039194F41A}">
      <formula1>"Volume-Based, Demand-Based, CO2-Based"</formula1>
    </dataValidation>
    <dataValidation type="list" allowBlank="1" showInputMessage="1" showErrorMessage="1" promptTitle="Select Cooling System" prompt="Yes: Cooling Provided, No: No Mechanical Cooling Provision" sqref="D116" xr:uid="{777E8DC2-735F-D04F-B4DC-4EA7AB2B0BC4}">
      <formula1>"Cooling, No Cooling"</formula1>
    </dataValidation>
    <dataValidation type="list" allowBlank="1" showInputMessage="1" showErrorMessage="1" promptTitle="Cooling Provided?" prompt="No: No Cooling Provided_x000a_Yes: Cooling by Primary M.1.0 System _x000a_Yes: Dedicated Cooling System " sqref="D116" xr:uid="{F726A304-5AB6-B243-9630-25A79AB48E45}">
      <formula1>"Cooling, No Cooling"</formula1>
    </dataValidation>
    <dataValidation allowBlank="1" showInputMessage="1" showErrorMessage="1" promptTitle="Default Determined by Occupancy" prompt="Default Determined by Occupancy" sqref="D67" xr:uid="{E4F72FCB-DE35-CB40-A593-622B8DC40C93}"/>
    <dataValidation type="list" allowBlank="1" showInputMessage="1" showErrorMessage="1" promptTitle="Include Elevator Load" prompt="Select Yes or No to indicate whether an elevator forms part of the Equipment load." sqref="D68 G67" xr:uid="{CD83C2B5-7643-824D-A25F-3F425B0B839B}">
      <formula1>"Elevators, No Elevators"</formula1>
    </dataValidation>
    <dataValidation type="list" allowBlank="1" showInputMessage="1" showErrorMessage="1" promptTitle="Cooling Guidance" prompt="ASHRAE may permit 26ºC, where NBC 2025 may require 24ºC. Residents will often set lower. Use 24ºC as Default for design. " sqref="D68" xr:uid="{431A4758-E2BA-1A4C-9076-654A2F54FD9F}">
      <formula1>"Elevators, No Elevators"</formula1>
    </dataValidation>
  </dataValidations>
  <hyperlinks>
    <hyperlink ref="O73" r:id="rId1" xr:uid="{1FC79594-CC38-3549-8578-78B5658499E8}"/>
    <hyperlink ref="O12" r:id="rId2" xr:uid="{1F19D8E3-D595-5B4E-9EED-23BB44FCBD6B}"/>
    <hyperlink ref="O13" r:id="rId3" xr:uid="{37F84D5E-3ADE-5244-B2D0-864E79E1ABD8}"/>
    <hyperlink ref="O14" r:id="rId4" xr:uid="{A8ADE5A3-8680-1D4C-A363-4EC59805AE91}"/>
    <hyperlink ref="O15" r:id="rId5" xr:uid="{4BCE8B54-E743-BB47-BB1F-E203B81E0F49}"/>
    <hyperlink ref="O39" r:id="rId6" xr:uid="{21DC7C94-9F85-3E44-A380-16778CF37BC6}"/>
    <hyperlink ref="P15" r:id="rId7" xr:uid="{8476108C-CC43-6741-842F-6ED067C5E924}"/>
    <hyperlink ref="P13" r:id="rId8" xr:uid="{54804A93-D2A8-AD48-BB9E-1DC6D8096AAF}"/>
    <hyperlink ref="O26" r:id="rId9" xr:uid="{1871F885-F0EE-9F4B-A238-EF18C7922383}"/>
    <hyperlink ref="O127" r:id="rId10" xr:uid="{F3155058-FE78-DA41-9238-BB9C078AD552}"/>
    <hyperlink ref="O116" r:id="rId11" display="ⓘ" xr:uid="{278456F4-4365-DD48-98B4-5278E587DA97}"/>
    <hyperlink ref="O117" r:id="rId12" display="ⓘ" xr:uid="{FBBFF699-8E15-5948-8694-D3B44CB5CF8D}"/>
    <hyperlink ref="O119" r:id="rId13" display="ⓘ" xr:uid="{869CB8F3-610B-D347-A660-8A651F753F9E}"/>
    <hyperlink ref="O120" r:id="rId14" display="ⓘ" xr:uid="{925681A1-9DCA-9D45-B7AD-5614D375488B}"/>
    <hyperlink ref="O121" r:id="rId15" display="ⓘ" xr:uid="{30BB3D63-FA9E-0C49-940F-2860443C541F}"/>
    <hyperlink ref="O123" r:id="rId16" display="ⓘ" xr:uid="{D9E1D6A1-7B06-3C42-A5E6-F5F698D7E0DC}"/>
  </hyperlinks>
  <printOptions horizontalCentered="1" verticalCentered="1"/>
  <pageMargins left="0.5" right="0.5" top="0" bottom="0" header="0.25" footer="0.25"/>
  <pageSetup scale="16" orientation="portrait" r:id="rId17"/>
  <headerFooter>
    <oddFooter>&amp;C&amp;"Helvetica,Regular"&amp;12&amp;K000000&amp;P</oddFooter>
  </headerFooter>
  <ignoredErrors>
    <ignoredError sqref="D73:D78 D66" unlockedFormula="1"/>
    <ignoredError sqref="K64:K67 J79 K73:K78 K69 H130" formula="1"/>
    <ignoredError sqref="P98 I70" emptyCellReference="1"/>
    <ignoredError sqref="K70" formula="1" emptyCellReference="1"/>
  </ignoredErrors>
  <drawing r:id="rId18"/>
  <extLst>
    <ext xmlns:x14="http://schemas.microsoft.com/office/spreadsheetml/2009/9/main" uri="{78C0D931-6437-407d-A8EE-F0AAD7539E65}">
      <x14:conditionalFormattings>
        <x14:conditionalFormatting xmlns:xm="http://schemas.microsoft.com/office/excel/2006/main">
          <x14:cfRule type="iconSet" priority="82" id="{B3959A91-6B0A-9E43-A57E-90C321ACEA1E}">
            <x14:iconSet custom="1">
              <x14:cfvo type="percent">
                <xm:f>0</xm:f>
              </x14:cfvo>
              <x14:cfvo type="num">
                <xm:f>0.3</xm:f>
              </x14:cfvo>
              <x14:cfvo type="num">
                <xm:f>0.61</xm:f>
              </x14:cfvo>
              <x14:cfIcon iconSet="3TrafficLights1" iconId="1"/>
              <x14:cfIcon iconSet="3TrafficLights1" iconId="2"/>
              <x14:cfIcon iconSet="3TrafficLights1" iconId="0"/>
            </x14:iconSet>
          </x14:cfRule>
          <xm:sqref>M59</xm:sqref>
        </x14:conditionalFormatting>
        <x14:conditionalFormatting xmlns:xm="http://schemas.microsoft.com/office/excel/2006/main">
          <x14:cfRule type="iconSet" priority="80" id="{DDCCFB05-6386-6542-A31F-7BA60DA95F4A}">
            <x14:iconSet custom="1">
              <x14:cfvo type="percent">
                <xm:f>0</xm:f>
              </x14:cfvo>
              <x14:cfvo type="num" gte="0">
                <xm:f>0</xm:f>
              </x14:cfvo>
              <x14:cfvo type="num">
                <xm:f>0.99</xm:f>
              </x14:cfvo>
              <x14:cfIcon iconSet="3Symbols2" iconId="1"/>
              <x14:cfIcon iconSet="3Symbols2" iconId="0"/>
              <x14:cfIcon iconSet="3Symbols2" iconId="2"/>
            </x14:iconSet>
          </x14:cfRule>
          <xm:sqref>R67 M65:M66</xm:sqref>
        </x14:conditionalFormatting>
        <x14:conditionalFormatting xmlns:xm="http://schemas.microsoft.com/office/excel/2006/main">
          <x14:cfRule type="iconSet" priority="83" id="{991FCA44-B035-EC41-83BF-642B4457B582}">
            <x14:iconSet custom="1">
              <x14:cfvo type="percent">
                <xm:f>0</xm:f>
              </x14:cfvo>
              <x14:cfvo type="num" gte="0">
                <xm:f>0</xm:f>
              </x14:cfvo>
              <x14:cfvo type="num">
                <xm:f>1.0009999999999999</xm:f>
              </x14:cfvo>
              <x14:cfIcon iconSet="3Symbols2" iconId="2"/>
              <x14:cfIcon iconSet="3Symbols2" iconId="2"/>
              <x14:cfIcon iconSet="3Symbols2" iconId="0"/>
            </x14:iconSet>
          </x14:cfRule>
          <xm:sqref>M55:M58 M6:M11 M36</xm:sqref>
        </x14:conditionalFormatting>
        <x14:conditionalFormatting xmlns:xm="http://schemas.microsoft.com/office/excel/2006/main">
          <x14:cfRule type="iconSet" priority="79" id="{E0E225F4-CFC7-0B44-BC4C-EAAB0D9718B5}">
            <x14:iconSet custom="1">
              <x14:cfvo type="percent">
                <xm:f>0</xm:f>
              </x14:cfvo>
              <x14:cfvo type="num" gte="0">
                <xm:f>0</xm:f>
              </x14:cfvo>
              <x14:cfvo type="num">
                <xm:f>1.0009999999999999</xm:f>
              </x14:cfvo>
              <x14:cfIcon iconSet="3Symbols2" iconId="2"/>
              <x14:cfIcon iconSet="3Symbols2" iconId="2"/>
              <x14:cfIcon iconSet="3Symbols2" iconId="0"/>
            </x14:iconSet>
          </x14:cfRule>
          <xm:sqref>K9:L9</xm:sqref>
        </x14:conditionalFormatting>
        <x14:conditionalFormatting xmlns:xm="http://schemas.microsoft.com/office/excel/2006/main">
          <x14:cfRule type="iconSet" priority="78" id="{8BD9CCF5-AFA1-9948-B42A-0FC2B28CE1F2}">
            <x14:iconSet custom="1">
              <x14:cfvo type="percent">
                <xm:f>0</xm:f>
              </x14:cfvo>
              <x14:cfvo type="num" gte="0">
                <xm:f>0</xm:f>
              </x14:cfvo>
              <x14:cfvo type="num">
                <xm:f>1.0009999999999999</xm:f>
              </x14:cfvo>
              <x14:cfIcon iconSet="3Symbols2" iconId="2"/>
              <x14:cfIcon iconSet="3Symbols2" iconId="2"/>
              <x14:cfIcon iconSet="3Symbols2" iconId="0"/>
            </x14:iconSet>
          </x14:cfRule>
          <xm:sqref>H9</xm:sqref>
        </x14:conditionalFormatting>
        <x14:conditionalFormatting xmlns:xm="http://schemas.microsoft.com/office/excel/2006/main">
          <x14:cfRule type="iconSet" priority="77" id="{9282067F-596D-504F-AA94-B25134867DE2}">
            <x14:iconSet custom="1">
              <x14:cfvo type="percent">
                <xm:f>0</xm:f>
              </x14:cfvo>
              <x14:cfvo type="num" gte="0">
                <xm:f>0</xm:f>
              </x14:cfvo>
              <x14:cfvo type="num">
                <xm:f>1.0009999999999999</xm:f>
              </x14:cfvo>
              <x14:cfIcon iconSet="3Symbols2" iconId="2"/>
              <x14:cfIcon iconSet="3Symbols2" iconId="2"/>
              <x14:cfIcon iconSet="3Symbols2" iconId="0"/>
            </x14:iconSet>
          </x14:cfRule>
          <xm:sqref>K5:M5</xm:sqref>
        </x14:conditionalFormatting>
        <x14:conditionalFormatting xmlns:xm="http://schemas.microsoft.com/office/excel/2006/main">
          <x14:cfRule type="iconSet" priority="74" id="{BEA9A7E3-7D43-C047-B40B-56CEBC881D08}">
            <x14:iconSet custom="1">
              <x14:cfvo type="percent">
                <xm:f>0</xm:f>
              </x14:cfvo>
              <x14:cfvo type="num" gte="0">
                <xm:f>0</xm:f>
              </x14:cfvo>
              <x14:cfvo type="num">
                <xm:f>1.0009999999999999</xm:f>
              </x14:cfvo>
              <x14:cfIcon iconSet="3Symbols2" iconId="2"/>
              <x14:cfIcon iconSet="3Symbols2" iconId="2"/>
              <x14:cfIcon iconSet="3Symbols2" iconId="0"/>
            </x14:iconSet>
          </x14:cfRule>
          <xm:sqref>K7:L7</xm:sqref>
        </x14:conditionalFormatting>
        <x14:conditionalFormatting xmlns:xm="http://schemas.microsoft.com/office/excel/2006/main">
          <x14:cfRule type="iconSet" priority="73" id="{742AABF3-3820-3747-B3E9-AE9C0C4BAB6C}">
            <x14:iconSet custom="1">
              <x14:cfvo type="percent">
                <xm:f>0</xm:f>
              </x14:cfvo>
              <x14:cfvo type="num" gte="0">
                <xm:f>0</xm:f>
              </x14:cfvo>
              <x14:cfvo type="num">
                <xm:f>1.0009999999999999</xm:f>
              </x14:cfvo>
              <x14:cfIcon iconSet="3Symbols2" iconId="2"/>
              <x14:cfIcon iconSet="3Symbols2" iconId="2"/>
              <x14:cfIcon iconSet="3Symbols2" iconId="0"/>
            </x14:iconSet>
          </x14:cfRule>
          <xm:sqref>H7</xm:sqref>
        </x14:conditionalFormatting>
        <x14:conditionalFormatting xmlns:xm="http://schemas.microsoft.com/office/excel/2006/main">
          <x14:cfRule type="iconSet" priority="72" id="{90BF3628-4F2F-B744-8414-7421FE8C0D21}">
            <x14:iconSet custom="1">
              <x14:cfvo type="percent">
                <xm:f>0</xm:f>
              </x14:cfvo>
              <x14:cfvo type="num" gte="0">
                <xm:f>0</xm:f>
              </x14:cfvo>
              <x14:cfvo type="num">
                <xm:f>1.0009999999999999</xm:f>
              </x14:cfvo>
              <x14:cfIcon iconSet="3Symbols2" iconId="2"/>
              <x14:cfIcon iconSet="3Symbols2" iconId="2"/>
              <x14:cfIcon iconSet="3Symbols2" iconId="0"/>
            </x14:iconSet>
          </x14:cfRule>
          <xm:sqref>H5</xm:sqref>
        </x14:conditionalFormatting>
        <x14:conditionalFormatting xmlns:xm="http://schemas.microsoft.com/office/excel/2006/main">
          <x14:cfRule type="iconSet" priority="84" id="{58F5F0BF-B7D2-9744-9B5B-454C80610F9A}">
            <x14:iconSet custom="1">
              <x14:cfvo type="percent">
                <xm:f>0</xm:f>
              </x14:cfvo>
              <x14:cfvo type="num" gte="0">
                <xm:f>0</xm:f>
              </x14:cfvo>
              <x14:cfvo type="num">
                <xm:f>0.99</xm:f>
              </x14:cfvo>
              <x14:cfIcon iconSet="3Symbols2" iconId="1"/>
              <x14:cfIcon iconSet="3Symbols2" iconId="0"/>
              <x14:cfIcon iconSet="3Symbols2" iconId="2"/>
            </x14:iconSet>
          </x14:cfRule>
          <xm:sqref>U22 K83:L83 L25 M20:M21 L63 L80:L81 M85:M95</xm:sqref>
        </x14:conditionalFormatting>
        <x14:conditionalFormatting xmlns:xm="http://schemas.microsoft.com/office/excel/2006/main">
          <x14:cfRule type="iconSet" priority="71" id="{175C9888-E90B-7246-B753-9D8199D3485B}">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J85:J95</xm:sqref>
        </x14:conditionalFormatting>
        <x14:conditionalFormatting xmlns:xm="http://schemas.microsoft.com/office/excel/2006/main">
          <x14:cfRule type="iconSet" priority="85" id="{30F76B2F-A3FA-B246-BD89-375DC5386E8D}">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L85:L95</xm:sqref>
        </x14:conditionalFormatting>
        <x14:conditionalFormatting xmlns:xm="http://schemas.microsoft.com/office/excel/2006/main">
          <x14:cfRule type="iconSet" priority="63" id="{1CDE9CCC-441D-3147-A9B1-98DC669A7720}">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J64:J67</xm:sqref>
        </x14:conditionalFormatting>
        <x14:conditionalFormatting xmlns:xm="http://schemas.microsoft.com/office/excel/2006/main">
          <x14:cfRule type="iconSet" priority="62" id="{E3A5BCD5-7277-9A4B-A99A-B89870223C4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J73:J78</xm:sqref>
        </x14:conditionalFormatting>
        <x14:conditionalFormatting xmlns:xm="http://schemas.microsoft.com/office/excel/2006/main">
          <x14:cfRule type="iconSet" priority="61" id="{2189F8B1-A845-F942-97E3-3B4A5FBCA76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L73:L78</xm:sqref>
        </x14:conditionalFormatting>
        <x14:conditionalFormatting xmlns:xm="http://schemas.microsoft.com/office/excel/2006/main">
          <x14:cfRule type="iconSet" priority="60" id="{93100A78-FA57-A14C-96C2-ECD1F4B9F41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J80:J81</xm:sqref>
        </x14:conditionalFormatting>
        <x14:conditionalFormatting xmlns:xm="http://schemas.microsoft.com/office/excel/2006/main">
          <x14:cfRule type="iconSet" priority="59" id="{0F4A5C27-A2F2-0740-840F-7804C854A1C8}">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L64:L67</xm:sqref>
        </x14:conditionalFormatting>
        <x14:conditionalFormatting xmlns:xm="http://schemas.microsoft.com/office/excel/2006/main">
          <x14:cfRule type="iconSet" priority="86" id="{CD850960-9FAE-A64E-A704-76E5E75A0C41}">
            <x14:iconSet custom="1">
              <x14:cfvo type="percent">
                <xm:f>0</xm:f>
              </x14:cfvo>
              <x14:cfvo type="num" gte="0">
                <xm:f>0</xm:f>
              </x14:cfvo>
              <x14:cfvo type="num">
                <xm:f>0.99</xm:f>
              </x14:cfvo>
              <x14:cfIcon iconSet="3Symbols2" iconId="1"/>
              <x14:cfIcon iconSet="3Symbols2" iconId="0"/>
              <x14:cfIcon iconSet="3Symbols2" iconId="2"/>
            </x14:iconSet>
          </x14:cfRule>
          <xm:sqref>R140 M137:M138</xm:sqref>
        </x14:conditionalFormatting>
        <x14:conditionalFormatting xmlns:xm="http://schemas.microsoft.com/office/excel/2006/main">
          <x14:cfRule type="iconSet" priority="57" id="{7EE4CE12-8402-674B-8A31-80CD18072189}">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E97</xm:sqref>
        </x14:conditionalFormatting>
        <x14:conditionalFormatting xmlns:xm="http://schemas.microsoft.com/office/excel/2006/main">
          <x14:cfRule type="iconSet" priority="48" id="{FFCE295A-E4EA-6646-98A5-A76616BF4C98}">
            <x14:iconSet custom="1">
              <x14:cfvo type="percent">
                <xm:f>0</xm:f>
              </x14:cfvo>
              <x14:cfvo type="num" gte="0">
                <xm:f>0</xm:f>
              </x14:cfvo>
              <x14:cfvo type="num">
                <xm:f>0.99</xm:f>
              </x14:cfvo>
              <x14:cfIcon iconSet="3Symbols2" iconId="1"/>
              <x14:cfIcon iconSet="3Symbols2" iconId="0"/>
              <x14:cfIcon iconSet="3Symbols2" iconId="2"/>
            </x14:iconSet>
          </x14:cfRule>
          <xm:sqref>M68:M69</xm:sqref>
        </x14:conditionalFormatting>
        <x14:conditionalFormatting xmlns:xm="http://schemas.microsoft.com/office/excel/2006/main">
          <x14:cfRule type="iconSet" priority="45" id="{4ED005A2-18BB-6242-BEA5-2833732EBA01}">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L102</xm:sqref>
        </x14:conditionalFormatting>
        <x14:conditionalFormatting xmlns:xm="http://schemas.microsoft.com/office/excel/2006/main">
          <x14:cfRule type="iconSet" priority="44" id="{593E5909-5D38-0A45-A591-2266DD28ECC3}">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L101</xm:sqref>
        </x14:conditionalFormatting>
        <x14:conditionalFormatting xmlns:xm="http://schemas.microsoft.com/office/excel/2006/main">
          <x14:cfRule type="iconSet" priority="43" id="{AA31CB58-2137-6E44-9ED0-8D6E8E672C61}">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L103</xm:sqref>
        </x14:conditionalFormatting>
        <x14:conditionalFormatting xmlns:xm="http://schemas.microsoft.com/office/excel/2006/main">
          <x14:cfRule type="iconSet" priority="42" id="{85ED6DE3-96C5-6646-8AFC-A344D6F8015E}">
            <x14:iconSet custom="1">
              <x14:cfvo type="percent">
                <xm:f>0</xm:f>
              </x14:cfvo>
              <x14:cfvo type="num" gte="0">
                <xm:f>0</xm:f>
              </x14:cfvo>
              <x14:cfvo type="num">
                <xm:f>0.99</xm:f>
              </x14:cfvo>
              <x14:cfIcon iconSet="3Symbols2" iconId="1"/>
              <x14:cfIcon iconSet="3Symbols2" iconId="0"/>
              <x14:cfIcon iconSet="3Symbols2" iconId="2"/>
            </x14:iconSet>
          </x14:cfRule>
          <xm:sqref>M104</xm:sqref>
        </x14:conditionalFormatting>
        <x14:conditionalFormatting xmlns:xm="http://schemas.microsoft.com/office/excel/2006/main">
          <x14:cfRule type="iconSet" priority="40" id="{D37BADD7-3F3B-BD45-B8BD-3CBDD696C5D1}">
            <x14:iconSet custom="1">
              <x14:cfvo type="percent">
                <xm:f>0</xm:f>
              </x14:cfvo>
              <x14:cfvo type="num" gte="0">
                <xm:f>0</xm:f>
              </x14:cfvo>
              <x14:cfvo type="num">
                <xm:f>0.99</xm:f>
              </x14:cfvo>
              <x14:cfIcon iconSet="3Symbols2" iconId="1"/>
              <x14:cfIcon iconSet="3Symbols2" iconId="0"/>
              <x14:cfIcon iconSet="3Symbols2" iconId="2"/>
            </x14:iconSet>
          </x14:cfRule>
          <xm:sqref>M108:M109</xm:sqref>
        </x14:conditionalFormatting>
        <x14:conditionalFormatting xmlns:xm="http://schemas.microsoft.com/office/excel/2006/main">
          <x14:cfRule type="iconSet" priority="39" id="{0A054D55-7180-304E-90DE-4C5DC054D392}">
            <x14:iconSet custom="1">
              <x14:cfvo type="percent">
                <xm:f>0</xm:f>
              </x14:cfvo>
              <x14:cfvo type="num" gte="0">
                <xm:f>0</xm:f>
              </x14:cfvo>
              <x14:cfvo type="num">
                <xm:f>0.99</xm:f>
              </x14:cfvo>
              <x14:cfIcon iconSet="3Symbols2" iconId="1"/>
              <x14:cfIcon iconSet="3Symbols2" iconId="0"/>
              <x14:cfIcon iconSet="3Symbols2" iconId="2"/>
            </x14:iconSet>
          </x14:cfRule>
          <xm:sqref>M110</xm:sqref>
        </x14:conditionalFormatting>
        <x14:conditionalFormatting xmlns:xm="http://schemas.microsoft.com/office/excel/2006/main">
          <x14:cfRule type="iconSet" priority="121" id="{4FD7A9BC-C442-3B45-8B77-C339A85E6AD4}">
            <x14:iconSet iconSet="3Symbols2" custom="1">
              <x14:cfvo type="percent">
                <xm:f>0</xm:f>
              </x14:cfvo>
              <x14:cfvo type="percentile">
                <xm:f>33</xm:f>
              </x14:cfvo>
              <x14:cfvo type="percentile">
                <xm:f>67</xm:f>
              </x14:cfvo>
              <x14:cfIcon iconSet="3TrafficLights1" iconId="2"/>
              <x14:cfIcon iconSet="3TrafficLights1" iconId="1"/>
              <x14:cfIcon iconSet="3TrafficLights1" iconId="0"/>
            </x14:iconSet>
          </x14:cfRule>
          <xm:sqref>J69</xm:sqref>
        </x14:conditionalFormatting>
        <x14:conditionalFormatting xmlns:xm="http://schemas.microsoft.com/office/excel/2006/main">
          <x14:cfRule type="iconSet" priority="122" id="{24E49D92-3CCE-364E-A97C-2AA2718B8E35}">
            <x14:iconSet iconSet="3Symbols2" custom="1">
              <x14:cfvo type="percent">
                <xm:f>0</xm:f>
              </x14:cfvo>
              <x14:cfvo type="percentile">
                <xm:f>33</xm:f>
              </x14:cfvo>
              <x14:cfvo type="percentile">
                <xm:f>67</xm:f>
              </x14:cfvo>
              <x14:cfIcon iconSet="3TrafficLights1" iconId="0"/>
              <x14:cfIcon iconSet="3TrafficLights1" iconId="1"/>
              <x14:cfIcon iconSet="3TrafficLights1" iconId="2"/>
            </x14:iconSet>
          </x14:cfRule>
          <xm:sqref>L69</xm:sqref>
        </x14:conditionalFormatting>
        <x14:conditionalFormatting xmlns:xm="http://schemas.microsoft.com/office/excel/2006/main">
          <x14:cfRule type="iconSet" priority="155" id="{CDB47B82-C891-7C40-8D3C-F302A36189F6}">
            <x14:iconSet custom="1">
              <x14:cfvo type="percent">
                <xm:f>0</xm:f>
              </x14:cfvo>
              <x14:cfvo type="num" gte="0">
                <xm:f>0</xm:f>
              </x14:cfvo>
              <x14:cfvo type="num">
                <xm:f>0.99</xm:f>
              </x14:cfvo>
              <x14:cfIcon iconSet="3Symbols2" iconId="1"/>
              <x14:cfIcon iconSet="3Symbols2" iconId="0"/>
              <x14:cfIcon iconSet="3Symbols2" iconId="2"/>
            </x14:iconSet>
          </x14:cfRule>
          <xm:sqref>M79:M81 M23:M25</xm:sqref>
        </x14:conditionalFormatting>
        <x14:conditionalFormatting xmlns:xm="http://schemas.microsoft.com/office/excel/2006/main">
          <x14:cfRule type="iconSet" priority="34" id="{1964FC9E-7D96-4047-9D3A-3F8D2135E9A2}">
            <x14:iconSet custom="1">
              <x14:cfvo type="percent">
                <xm:f>0</xm:f>
              </x14:cfvo>
              <x14:cfvo type="num" gte="0">
                <xm:f>0</xm:f>
              </x14:cfvo>
              <x14:cfvo type="num">
                <xm:f>1.0009999999999999</xm:f>
              </x14:cfvo>
              <x14:cfIcon iconSet="3Symbols2" iconId="2"/>
              <x14:cfIcon iconSet="3Symbols2" iconId="2"/>
              <x14:cfIcon iconSet="3Symbols2" iconId="0"/>
            </x14:iconSet>
          </x14:cfRule>
          <xm:sqref>I5:J5</xm:sqref>
        </x14:conditionalFormatting>
        <x14:conditionalFormatting xmlns:xm="http://schemas.microsoft.com/office/excel/2006/main">
          <x14:cfRule type="iconSet" priority="33" id="{6B6E253D-D867-3243-A645-FAF49298A53B}">
            <x14:iconSet custom="1">
              <x14:cfvo type="percent">
                <xm:f>0</xm:f>
              </x14:cfvo>
              <x14:cfvo type="num" gte="0">
                <xm:f>0</xm:f>
              </x14:cfvo>
              <x14:cfvo type="num">
                <xm:f>1.0009999999999999</xm:f>
              </x14:cfvo>
              <x14:cfIcon iconSet="3Symbols2" iconId="2"/>
              <x14:cfIcon iconSet="3Symbols2" iconId="2"/>
              <x14:cfIcon iconSet="3Symbols2" iconId="0"/>
            </x14:iconSet>
          </x14:cfRule>
          <xm:sqref>J7</xm:sqref>
        </x14:conditionalFormatting>
        <x14:conditionalFormatting xmlns:xm="http://schemas.microsoft.com/office/excel/2006/main">
          <x14:cfRule type="iconSet" priority="32" id="{A689CC57-293C-1C45-812A-6B08249E25F2}">
            <x14:iconSet custom="1">
              <x14:cfvo type="percent">
                <xm:f>0</xm:f>
              </x14:cfvo>
              <x14:cfvo type="num" gte="0">
                <xm:f>0</xm:f>
              </x14:cfvo>
              <x14:cfvo type="num">
                <xm:f>1.0009999999999999</xm:f>
              </x14:cfvo>
              <x14:cfIcon iconSet="3Symbols2" iconId="2"/>
              <x14:cfIcon iconSet="3Symbols2" iconId="2"/>
              <x14:cfIcon iconSet="3Symbols2" iconId="0"/>
            </x14:iconSet>
          </x14:cfRule>
          <xm:sqref>I7</xm:sqref>
        </x14:conditionalFormatting>
        <x14:conditionalFormatting xmlns:xm="http://schemas.microsoft.com/office/excel/2006/main">
          <x14:cfRule type="iconSet" priority="31" id="{3982A0DC-9EDD-FF4C-9BB4-4F8B19B8A714}">
            <x14:iconSet custom="1">
              <x14:cfvo type="percent">
                <xm:f>0</xm:f>
              </x14:cfvo>
              <x14:cfvo type="num" gte="0">
                <xm:f>0</xm:f>
              </x14:cfvo>
              <x14:cfvo type="num">
                <xm:f>1.0009999999999999</xm:f>
              </x14:cfvo>
              <x14:cfIcon iconSet="3Symbols2" iconId="2"/>
              <x14:cfIcon iconSet="3Symbols2" iconId="2"/>
              <x14:cfIcon iconSet="3Symbols2" iconId="0"/>
            </x14:iconSet>
          </x14:cfRule>
          <xm:sqref>J9</xm:sqref>
        </x14:conditionalFormatting>
        <x14:conditionalFormatting xmlns:xm="http://schemas.microsoft.com/office/excel/2006/main">
          <x14:cfRule type="iconSet" priority="30" id="{ECA6AEA4-BC50-8942-B2FA-FAD23DBFE91A}">
            <x14:iconSet custom="1">
              <x14:cfvo type="percent">
                <xm:f>0</xm:f>
              </x14:cfvo>
              <x14:cfvo type="num" gte="0">
                <xm:f>0</xm:f>
              </x14:cfvo>
              <x14:cfvo type="num">
                <xm:f>1.0009999999999999</xm:f>
              </x14:cfvo>
              <x14:cfIcon iconSet="3Symbols2" iconId="2"/>
              <x14:cfIcon iconSet="3Symbols2" iconId="2"/>
              <x14:cfIcon iconSet="3Symbols2" iconId="0"/>
            </x14:iconSet>
          </x14:cfRule>
          <xm:sqref>I9</xm:sqref>
        </x14:conditionalFormatting>
        <x14:conditionalFormatting xmlns:xm="http://schemas.microsoft.com/office/excel/2006/main">
          <x14:cfRule type="iconSet" priority="28" id="{5AF50AE7-8F87-F548-8495-937CFD24095B}">
            <x14:iconSet custom="1">
              <x14:cfvo type="percent">
                <xm:f>0</xm:f>
              </x14:cfvo>
              <x14:cfvo type="num" gte="0">
                <xm:f>0</xm:f>
              </x14:cfvo>
              <x14:cfvo type="num">
                <xm:f>1.0009999999999999</xm:f>
              </x14:cfvo>
              <x14:cfIcon iconSet="3Symbols2" iconId="2"/>
              <x14:cfIcon iconSet="3Symbols2" iconId="2"/>
              <x14:cfIcon iconSet="3Symbols2" iconId="0"/>
            </x14:iconSet>
          </x14:cfRule>
          <xm:sqref>M54 M49:M50</xm:sqref>
        </x14:conditionalFormatting>
        <x14:conditionalFormatting xmlns:xm="http://schemas.microsoft.com/office/excel/2006/main">
          <x14:cfRule type="iconSet" priority="29" id="{67BA8354-F603-1E48-BA7A-797ABD25EAD9}">
            <x14:iconSet custom="1">
              <x14:cfvo type="percent">
                <xm:f>0</xm:f>
              </x14:cfvo>
              <x14:cfvo type="num" gte="0">
                <xm:f>0</xm:f>
              </x14:cfvo>
              <x14:cfvo type="num">
                <xm:f>0.99</xm:f>
              </x14:cfvo>
              <x14:cfIcon iconSet="3Symbols2" iconId="1"/>
              <x14:cfIcon iconSet="3Symbols2" iconId="0"/>
              <x14:cfIcon iconSet="3Symbols2" iconId="2"/>
            </x14:iconSet>
          </x14:cfRule>
          <xm:sqref>M52</xm:sqref>
        </x14:conditionalFormatting>
        <x14:conditionalFormatting xmlns:xm="http://schemas.microsoft.com/office/excel/2006/main">
          <x14:cfRule type="iconSet" priority="25" id="{4A925C33-02EC-6A46-A7B7-319C5335C4A7}">
            <x14:iconSet custom="1">
              <x14:cfvo type="percent">
                <xm:f>0</xm:f>
              </x14:cfvo>
              <x14:cfvo type="num" gte="0">
                <xm:f>0</xm:f>
              </x14:cfvo>
              <x14:cfvo type="num">
                <xm:f>1.0009999999999999</xm:f>
              </x14:cfvo>
              <x14:cfIcon iconSet="3Symbols2" iconId="2"/>
              <x14:cfIcon iconSet="3Symbols2" iconId="2"/>
              <x14:cfIcon iconSet="3Symbols2" iconId="0"/>
            </x14:iconSet>
          </x14:cfRule>
          <xm:sqref>M37:M38</xm:sqref>
        </x14:conditionalFormatting>
        <x14:conditionalFormatting xmlns:xm="http://schemas.microsoft.com/office/excel/2006/main">
          <x14:cfRule type="iconSet" priority="21" id="{0F1C8F19-6487-CD49-9FF9-3A4F2BB937A4}">
            <x14:iconSet custom="1">
              <x14:cfvo type="percent">
                <xm:f>0</xm:f>
              </x14:cfvo>
              <x14:cfvo type="num" gte="0">
                <xm:f>0</xm:f>
              </x14:cfvo>
              <x14:cfvo type="num">
                <xm:f>0.99</xm:f>
              </x14:cfvo>
              <x14:cfIcon iconSet="3Symbols2" iconId="1"/>
              <x14:cfIcon iconSet="3Symbols2" iconId="0"/>
              <x14:cfIcon iconSet="3Symbols2" iconId="2"/>
            </x14:iconSet>
          </x14:cfRule>
          <xm:sqref>M113 M118:M119</xm:sqref>
        </x14:conditionalFormatting>
        <x14:conditionalFormatting xmlns:xm="http://schemas.microsoft.com/office/excel/2006/main">
          <x14:cfRule type="iconSet" priority="19" id="{1D5D9F74-CB55-474A-9909-4BFDA1291016}">
            <x14:iconSet custom="1">
              <x14:cfvo type="percent">
                <xm:f>0</xm:f>
              </x14:cfvo>
              <x14:cfvo type="num">
                <xm:f>7</xm:f>
              </x14:cfvo>
              <x14:cfvo type="num" gte="0">
                <xm:f>20</xm:f>
              </x14:cfvo>
              <x14:cfIcon iconSet="3Symbols2" iconId="2"/>
              <x14:cfIcon iconSet="3Symbols2" iconId="1"/>
              <x14:cfIcon iconSet="3Symbols2" iconId="0"/>
            </x14:iconSet>
          </x14:cfRule>
          <xm:sqref>M124</xm:sqref>
        </x14:conditionalFormatting>
        <x14:conditionalFormatting xmlns:xm="http://schemas.microsoft.com/office/excel/2006/main">
          <x14:cfRule type="iconSet" priority="18" id="{4EA66174-63C5-9F4D-B682-D8B45AB4B26C}">
            <x14:iconSet custom="1">
              <x14:cfvo type="percent">
                <xm:f>0</xm:f>
              </x14:cfvo>
              <x14:cfvo type="num" gte="0">
                <xm:f>0</xm:f>
              </x14:cfvo>
              <x14:cfvo type="num">
                <xm:f>1.0009999999999999</xm:f>
              </x14:cfvo>
              <x14:cfIcon iconSet="3Symbols2" iconId="2"/>
              <x14:cfIcon iconSet="3Symbols2" iconId="2"/>
              <x14:cfIcon iconSet="3Symbols2" iconId="0"/>
            </x14:iconSet>
          </x14:cfRule>
          <xm:sqref>E5</xm:sqref>
        </x14:conditionalFormatting>
        <x14:conditionalFormatting xmlns:xm="http://schemas.microsoft.com/office/excel/2006/main">
          <x14:cfRule type="iconSet" priority="17" id="{54237F7E-D805-664F-8C8B-101AC8943840}">
            <x14:iconSet custom="1">
              <x14:cfvo type="percent">
                <xm:f>0</xm:f>
              </x14:cfvo>
              <x14:cfvo type="num" gte="0">
                <xm:f>0</xm:f>
              </x14:cfvo>
              <x14:cfvo type="num">
                <xm:f>1.0009999999999999</xm:f>
              </x14:cfvo>
              <x14:cfIcon iconSet="3Symbols2" iconId="2"/>
              <x14:cfIcon iconSet="3Symbols2" iconId="2"/>
              <x14:cfIcon iconSet="3Symbols2" iconId="0"/>
            </x14:iconSet>
          </x14:cfRule>
          <xm:sqref>E7</xm:sqref>
        </x14:conditionalFormatting>
        <x14:conditionalFormatting xmlns:xm="http://schemas.microsoft.com/office/excel/2006/main">
          <x14:cfRule type="iconSet" priority="16" id="{FDB6B8BC-1868-3543-BD50-B329D83353DE}">
            <x14:iconSet custom="1">
              <x14:cfvo type="percent">
                <xm:f>0</xm:f>
              </x14:cfvo>
              <x14:cfvo type="num" gte="0">
                <xm:f>0</xm:f>
              </x14:cfvo>
              <x14:cfvo type="num">
                <xm:f>1.0009999999999999</xm:f>
              </x14:cfvo>
              <x14:cfIcon iconSet="3Symbols2" iconId="2"/>
              <x14:cfIcon iconSet="3Symbols2" iconId="2"/>
              <x14:cfIcon iconSet="3Symbols2" iconId="0"/>
            </x14:iconSet>
          </x14:cfRule>
          <xm:sqref>E9</xm:sqref>
        </x14:conditionalFormatting>
        <x14:conditionalFormatting xmlns:xm="http://schemas.microsoft.com/office/excel/2006/main">
          <x14:cfRule type="iconSet" priority="12" id="{7FB68E15-CBB0-C743-AD34-91F43FCC639E}">
            <x14:iconSet custom="1">
              <x14:cfvo type="percent">
                <xm:f>0</xm:f>
              </x14:cfvo>
              <x14:cfvo type="num" gte="0">
                <xm:f>0</xm:f>
              </x14:cfvo>
              <x14:cfvo type="num">
                <xm:f>0.99</xm:f>
              </x14:cfvo>
              <x14:cfIcon iconSet="3Symbols2" iconId="1"/>
              <x14:cfIcon iconSet="3Symbols2" iconId="0"/>
              <x14:cfIcon iconSet="3Symbols2" iconId="2"/>
            </x14:iconSet>
          </x14:cfRule>
          <xm:sqref>M127</xm:sqref>
        </x14:conditionalFormatting>
        <x14:conditionalFormatting xmlns:xm="http://schemas.microsoft.com/office/excel/2006/main">
          <x14:cfRule type="iconSet" priority="10" id="{FE025B6D-A979-4247-B703-F6532AD7C148}">
            <x14:iconSet custom="1">
              <x14:cfvo type="percent">
                <xm:f>0</xm:f>
              </x14:cfvo>
              <x14:cfvo type="num" gte="0">
                <xm:f>0</xm:f>
              </x14:cfvo>
              <x14:cfvo type="num">
                <xm:f>1.0009999999999999</xm:f>
              </x14:cfvo>
              <x14:cfIcon iconSet="3Symbols2" iconId="1"/>
              <x14:cfIcon iconSet="3Symbols2" iconId="2"/>
              <x14:cfIcon iconSet="3Symbols2" iconId="0"/>
            </x14:iconSet>
          </x14:cfRule>
          <xm:sqref>M107</xm:sqref>
        </x14:conditionalFormatting>
        <x14:conditionalFormatting xmlns:xm="http://schemas.microsoft.com/office/excel/2006/main">
          <x14:cfRule type="iconSet" priority="9" id="{BAF62CFD-E57C-214F-97B7-D507A08C5CA0}">
            <x14:iconSet custom="1">
              <x14:cfvo type="percent">
                <xm:f>0</xm:f>
              </x14:cfvo>
              <x14:cfvo type="num" gte="0">
                <xm:f>0</xm:f>
              </x14:cfvo>
              <x14:cfvo type="num">
                <xm:f>1.0009999999999999</xm:f>
              </x14:cfvo>
              <x14:cfIcon iconSet="3Symbols2" iconId="2"/>
              <x14:cfIcon iconSet="3Symbols2" iconId="2"/>
              <x14:cfIcon iconSet="3Symbols2" iconId="0"/>
            </x14:iconSet>
          </x14:cfRule>
          <xm:sqref>M39:M41</xm:sqref>
        </x14:conditionalFormatting>
        <x14:conditionalFormatting xmlns:xm="http://schemas.microsoft.com/office/excel/2006/main">
          <x14:cfRule type="iconSet" priority="7" id="{78E5C483-21AA-CD45-A47C-684961089242}">
            <x14:iconSet custom="1">
              <x14:cfvo type="percent">
                <xm:f>0</xm:f>
              </x14:cfvo>
              <x14:cfvo type="num" gte="0">
                <xm:f>0</xm:f>
              </x14:cfvo>
              <x14:cfvo type="num">
                <xm:f>0.99</xm:f>
              </x14:cfvo>
              <x14:cfIcon iconSet="3Symbols2" iconId="1"/>
              <x14:cfIcon iconSet="3Symbols2" iconId="0"/>
              <x14:cfIcon iconSet="3Symbols2" iconId="2"/>
            </x14:iconSet>
          </x14:cfRule>
          <xm:sqref>M53</xm:sqref>
        </x14:conditionalFormatting>
        <x14:conditionalFormatting xmlns:xm="http://schemas.microsoft.com/office/excel/2006/main">
          <x14:cfRule type="iconSet" priority="5" id="{AD20D655-4865-7446-8463-8ECE739F8FE1}">
            <x14:iconSet custom="1">
              <x14:cfvo type="percent">
                <xm:f>0</xm:f>
              </x14:cfvo>
              <x14:cfvo type="num" gte="0">
                <xm:f>0</xm:f>
              </x14:cfvo>
              <x14:cfvo type="num">
                <xm:f>0.99</xm:f>
              </x14:cfvo>
              <x14:cfIcon iconSet="3Symbols2" iconId="1"/>
              <x14:cfIcon iconSet="3Symbols2" iconId="0"/>
              <x14:cfIcon iconSet="3Symbols2" iconId="2"/>
            </x14:iconSet>
          </x14:cfRule>
          <xm:sqref>M116</xm:sqref>
        </x14:conditionalFormatting>
        <x14:conditionalFormatting xmlns:xm="http://schemas.microsoft.com/office/excel/2006/main">
          <x14:cfRule type="iconSet" priority="4" id="{DC575C42-740A-7741-8C97-7728644D70A4}">
            <x14:iconSet custom="1">
              <x14:cfvo type="percent">
                <xm:f>0</xm:f>
              </x14:cfvo>
              <x14:cfvo type="num" gte="0">
                <xm:f>0</xm:f>
              </x14:cfvo>
              <x14:cfvo type="num">
                <xm:f>1.0009999999999999</xm:f>
              </x14:cfvo>
              <x14:cfIcon iconSet="3Symbols2" iconId="1"/>
              <x14:cfIcon iconSet="3Symbols2" iconId="2"/>
              <x14:cfIcon iconSet="3Symbols2" iconId="0"/>
            </x14:iconSet>
          </x14:cfRule>
          <xm:sqref>M117</xm:sqref>
        </x14:conditionalFormatting>
        <x14:conditionalFormatting xmlns:xm="http://schemas.microsoft.com/office/excel/2006/main">
          <x14:cfRule type="iconSet" priority="1" id="{1C62A742-C9F4-CC4E-9F4E-FA1463084462}">
            <x14:iconSet custom="1">
              <x14:cfvo type="percent">
                <xm:f>0</xm:f>
              </x14:cfvo>
              <x14:cfvo type="num" gte="0">
                <xm:f>0</xm:f>
              </x14:cfvo>
              <x14:cfvo type="num">
                <xm:f>1.0009999999999999</xm:f>
              </x14:cfvo>
              <x14:cfIcon iconSet="3Symbols2" iconId="1"/>
              <x14:cfIcon iconSet="3Symbols2" iconId="2"/>
              <x14:cfIcon iconSet="3Symbols2" iconId="0"/>
            </x14:iconSet>
          </x14:cfRule>
          <xm:sqref>M140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promptTitle="Major Occupancy" prompt="Select a Major Occupancy from the Drop-Down" xr:uid="{487EB83A-0762-6C4E-BCF2-4D88E943AFE9}">
          <x14:formula1>
            <xm:f>SCHEDULES!$B$13:$B$20</xm:f>
          </x14:formula1>
          <xm:sqref>D12:E12</xm:sqref>
        </x14:dataValidation>
        <x14:dataValidation type="list" allowBlank="1" showInputMessage="1" showErrorMessage="1" promptTitle="Reference Standards" prompt="Select a Building Code Prescriptive Path option, or NECB Base Tier, or any other noted or 'Use Your Own' baseline scenario. References values in the 'CODE VALUES' tab. " xr:uid="{2D1F720E-D0B2-C643-BAE9-881EA2826376}">
          <x14:formula1>
            <xm:f>'CODE-VALUES'!$C$2:$S$2</xm:f>
          </x14:formula1>
          <xm:sqref>D13:E13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910B0-5BDF-5A4B-B5B1-864BF35E0E11}">
  <sheetPr codeName="Sheet6">
    <tabColor rgb="FF929000"/>
    <pageSetUpPr fitToPage="1"/>
  </sheetPr>
  <dimension ref="A1:AA102"/>
  <sheetViews>
    <sheetView zoomScale="70" zoomScaleNormal="70" workbookViewId="0">
      <selection activeCell="S29" sqref="S29"/>
    </sheetView>
  </sheetViews>
  <sheetFormatPr baseColWidth="10" defaultRowHeight="11"/>
  <cols>
    <col min="1" max="1" width="5" style="343" customWidth="1"/>
    <col min="2" max="2" width="14.5" style="403" customWidth="1"/>
    <col min="3" max="3" width="59" style="1" customWidth="1"/>
    <col min="4" max="4" width="25.25" style="379" customWidth="1"/>
    <col min="5" max="5" width="58.25" style="372" customWidth="1"/>
    <col min="6" max="6" width="25.75" style="156" customWidth="1"/>
    <col min="7" max="7" width="95.25" customWidth="1"/>
    <col min="8" max="8" width="55.25" customWidth="1"/>
    <col min="9" max="9" width="16.5" customWidth="1"/>
    <col min="10" max="10" width="4.75" customWidth="1"/>
    <col min="11" max="11" width="48.25" style="379" customWidth="1"/>
    <col min="12" max="12" width="26.75" customWidth="1"/>
    <col min="13" max="13" width="48.25" customWidth="1"/>
    <col min="14" max="14" width="26.75" customWidth="1"/>
  </cols>
  <sheetData>
    <row r="1" spans="1:27">
      <c r="D1" s="404"/>
      <c r="E1" s="1396"/>
      <c r="F1" s="577"/>
      <c r="G1" s="403"/>
      <c r="H1" s="403"/>
      <c r="I1" s="403"/>
      <c r="J1" s="403"/>
      <c r="K1" s="404"/>
    </row>
    <row r="2" spans="1:27" ht="175" customHeight="1">
      <c r="B2" s="414"/>
      <c r="C2" s="447"/>
      <c r="D2" s="448"/>
      <c r="E2" s="448"/>
      <c r="F2" s="414"/>
      <c r="G2" s="2361" t="s">
        <v>2061</v>
      </c>
      <c r="H2" s="2362"/>
      <c r="I2" s="414"/>
      <c r="J2" s="414"/>
      <c r="K2" s="378"/>
      <c r="L2" s="343"/>
      <c r="M2" s="343"/>
      <c r="O2" s="403"/>
      <c r="P2" s="403"/>
      <c r="Q2" s="403"/>
      <c r="R2" s="403"/>
      <c r="S2" s="403"/>
      <c r="T2" s="403"/>
      <c r="U2" s="403"/>
      <c r="V2" s="403"/>
      <c r="W2" s="403"/>
      <c r="X2" s="403"/>
      <c r="Y2" s="403"/>
      <c r="Z2" s="403"/>
      <c r="AA2" s="403"/>
    </row>
    <row r="3" spans="1:27" ht="38" customHeight="1">
      <c r="C3" s="450" t="s">
        <v>862</v>
      </c>
      <c r="D3" s="413"/>
      <c r="E3" s="418"/>
      <c r="F3" s="430"/>
      <c r="G3" s="369"/>
      <c r="H3" s="369"/>
      <c r="I3" s="369"/>
      <c r="J3" s="343"/>
      <c r="K3" s="378"/>
      <c r="L3" s="369"/>
      <c r="M3" s="369"/>
      <c r="N3" s="369"/>
      <c r="O3" s="369"/>
      <c r="P3" s="369"/>
      <c r="Q3" s="369"/>
      <c r="R3" s="369"/>
      <c r="S3" s="369"/>
      <c r="T3" s="369"/>
      <c r="U3" s="369"/>
      <c r="V3" s="405"/>
      <c r="W3" s="403"/>
      <c r="X3" s="403"/>
      <c r="Y3" s="403"/>
      <c r="Z3" s="403"/>
      <c r="AA3" s="403"/>
    </row>
    <row r="4" spans="1:27" s="371" customFormat="1" ht="21" customHeight="1" thickBot="1">
      <c r="A4" s="343"/>
      <c r="B4" s="403"/>
      <c r="C4" s="422"/>
      <c r="D4" s="422" t="s">
        <v>871</v>
      </c>
      <c r="E4" s="440"/>
      <c r="F4" s="422" t="s">
        <v>872</v>
      </c>
      <c r="G4" s="369"/>
      <c r="H4" s="369"/>
      <c r="I4" s="369"/>
      <c r="J4" s="343"/>
      <c r="K4" s="403"/>
      <c r="L4" s="403"/>
      <c r="M4" s="403"/>
      <c r="N4" s="403"/>
      <c r="O4" s="369"/>
      <c r="P4" s="369"/>
      <c r="Q4" s="369"/>
      <c r="R4" s="369"/>
      <c r="S4" s="369"/>
      <c r="T4" s="369"/>
      <c r="U4" s="369"/>
      <c r="V4" s="405"/>
      <c r="W4" s="403"/>
      <c r="X4" s="403"/>
      <c r="Y4" s="403"/>
      <c r="Z4" s="403"/>
      <c r="AA4" s="403"/>
    </row>
    <row r="5" spans="1:27" ht="21" customHeight="1">
      <c r="C5" s="1436" t="str">
        <f>REPORT!C64</f>
        <v>G.1.2 Occupant Activity</v>
      </c>
      <c r="D5" s="421">
        <f>REPORT!I64</f>
        <v>43426.098868319998</v>
      </c>
      <c r="E5" s="419" t="s">
        <v>803</v>
      </c>
      <c r="F5" s="420">
        <f>REPORT!I$85</f>
        <v>16666.503529411766</v>
      </c>
      <c r="G5" s="343"/>
      <c r="H5" s="369"/>
      <c r="I5" s="369"/>
      <c r="J5" s="343"/>
      <c r="K5" s="378"/>
      <c r="L5" s="403"/>
      <c r="M5" s="403"/>
      <c r="N5" s="403"/>
      <c r="O5" s="369"/>
      <c r="P5" s="369"/>
      <c r="Q5" s="369"/>
      <c r="R5" s="369"/>
      <c r="S5" s="369"/>
      <c r="T5" s="369"/>
      <c r="U5" s="369"/>
      <c r="V5" s="405"/>
      <c r="W5" s="403"/>
      <c r="X5" s="403"/>
      <c r="Y5" s="403"/>
      <c r="Z5" s="403"/>
      <c r="AA5" s="403"/>
    </row>
    <row r="6" spans="1:27" ht="21" customHeight="1">
      <c r="C6" s="443" t="str">
        <f>REPORT!C70</f>
        <v>G.2 Plug/Light/Eqpt. Subtotals</v>
      </c>
      <c r="D6" s="380">
        <f>REPORT!I70</f>
        <v>56645.567999999999</v>
      </c>
      <c r="E6" s="385" t="str">
        <f>IF(F6=0, "", "B.5 Walls Ae")</f>
        <v>B.5 Walls Ae</v>
      </c>
      <c r="F6" s="373">
        <f>REPORT!I$86</f>
        <v>11765.603587443946</v>
      </c>
      <c r="G6" s="343"/>
      <c r="H6" s="369"/>
      <c r="I6" s="369"/>
      <c r="J6" s="343"/>
      <c r="K6" s="378"/>
      <c r="L6" s="403"/>
      <c r="M6" s="403"/>
      <c r="N6" s="403"/>
      <c r="O6" s="369"/>
      <c r="P6" s="369"/>
      <c r="Q6" s="369"/>
      <c r="R6" s="369"/>
      <c r="S6" s="369"/>
      <c r="T6" s="369"/>
      <c r="U6" s="369"/>
      <c r="V6" s="405"/>
      <c r="W6" s="403"/>
      <c r="X6" s="403"/>
      <c r="Y6" s="403"/>
      <c r="Z6" s="403"/>
      <c r="AA6" s="403"/>
    </row>
    <row r="7" spans="1:27" ht="21" customHeight="1">
      <c r="C7" s="1434"/>
      <c r="D7" s="381"/>
      <c r="E7" s="385" t="str">
        <f>IF(F7=0, "", "B.6 Floor Exposed")</f>
        <v/>
      </c>
      <c r="F7" s="373">
        <f>REPORT!D87</f>
        <v>0</v>
      </c>
      <c r="G7" s="343"/>
      <c r="H7" s="369"/>
      <c r="I7" s="369"/>
      <c r="J7" s="343"/>
      <c r="K7" s="370"/>
      <c r="L7" s="403"/>
      <c r="M7" s="403"/>
      <c r="N7" s="403"/>
      <c r="O7" s="369"/>
      <c r="P7" s="369"/>
      <c r="Q7" s="369"/>
      <c r="R7" s="369"/>
      <c r="S7" s="369"/>
      <c r="T7" s="369"/>
      <c r="U7" s="369"/>
      <c r="V7" s="405"/>
      <c r="W7" s="403"/>
      <c r="X7" s="403"/>
      <c r="Y7" s="403"/>
      <c r="Z7" s="403"/>
      <c r="AA7" s="403"/>
    </row>
    <row r="8" spans="1:27" ht="21" customHeight="1">
      <c r="C8" s="385" t="str">
        <f>IF(D8=0,"",REPORT!C73)</f>
        <v>G.7 Doors</v>
      </c>
      <c r="D8" s="373">
        <f>REPORT!I73</f>
        <v>375</v>
      </c>
      <c r="E8" s="385" t="str">
        <f>IF(F8=0,"","B.7.0 Doors")</f>
        <v>B.7.0 Doors</v>
      </c>
      <c r="F8" s="373">
        <f>REPORT!I$88</f>
        <v>745.2</v>
      </c>
      <c r="G8" s="343"/>
      <c r="H8" s="369"/>
      <c r="I8" s="369"/>
      <c r="J8" s="343"/>
      <c r="K8" s="370"/>
      <c r="L8" s="403"/>
      <c r="M8" s="403"/>
      <c r="N8" s="403"/>
      <c r="O8" s="369"/>
      <c r="P8" s="369"/>
      <c r="Q8" s="369"/>
      <c r="R8" s="369"/>
      <c r="S8" s="369"/>
      <c r="T8" s="369"/>
      <c r="U8" s="369"/>
      <c r="V8" s="405"/>
      <c r="W8" s="403"/>
      <c r="X8" s="403"/>
      <c r="Y8" s="403"/>
      <c r="Z8" s="403"/>
      <c r="AA8" s="403"/>
    </row>
    <row r="9" spans="1:27" ht="21" customHeight="1">
      <c r="C9" s="385" t="str">
        <f>IF(D9=0,"",REPORT!C74)</f>
        <v>G.8.1 Window Area North</v>
      </c>
      <c r="D9" s="373">
        <f>REPORT!I74</f>
        <v>106.29340000000001</v>
      </c>
      <c r="E9" s="385" t="str">
        <f>IF(F9=0,"","B.8.1 Windows N")</f>
        <v>B.8.1 Windows N</v>
      </c>
      <c r="F9" s="373">
        <f>REPORT!I$89</f>
        <v>8062.0704000000005</v>
      </c>
      <c r="G9" s="343"/>
      <c r="H9" s="369"/>
      <c r="I9" s="369"/>
      <c r="J9" s="343"/>
      <c r="K9" s="378"/>
      <c r="L9" s="403"/>
      <c r="M9" s="403"/>
      <c r="N9" s="403"/>
      <c r="O9" s="369"/>
      <c r="P9" s="369"/>
      <c r="Q9" s="369"/>
      <c r="R9" s="369"/>
      <c r="S9" s="369"/>
      <c r="T9" s="369"/>
      <c r="U9" s="369"/>
      <c r="V9" s="405"/>
      <c r="W9" s="403"/>
      <c r="X9" s="403"/>
      <c r="Y9" s="403"/>
      <c r="Z9" s="403"/>
      <c r="AA9" s="403"/>
    </row>
    <row r="10" spans="1:27" ht="21" customHeight="1">
      <c r="C10" s="385" t="str">
        <f>IF(D10=0,"",REPORT!C75)</f>
        <v>G.8.2 Window Area East</v>
      </c>
      <c r="D10" s="373">
        <f>REPORT!I75</f>
        <v>294.68020000000001</v>
      </c>
      <c r="E10" s="385" t="str">
        <f>IF(F10=0,"","B.8.2 Windows E")</f>
        <v>B.8.2 Windows E</v>
      </c>
      <c r="F10" s="373">
        <f>REPORT!I$90</f>
        <v>380.54880000000003</v>
      </c>
      <c r="G10" s="343"/>
      <c r="H10" s="369"/>
      <c r="I10" s="369"/>
      <c r="J10" s="343"/>
      <c r="K10" s="378"/>
      <c r="L10" s="403"/>
      <c r="M10" s="403"/>
      <c r="N10" s="403"/>
      <c r="O10" s="369"/>
      <c r="P10" s="369"/>
      <c r="Q10" s="369"/>
      <c r="R10" s="369"/>
      <c r="S10" s="369"/>
      <c r="T10" s="369"/>
      <c r="U10" s="369"/>
      <c r="V10" s="405"/>
      <c r="W10" s="403"/>
      <c r="X10" s="403"/>
      <c r="Y10" s="403"/>
      <c r="Z10" s="403"/>
      <c r="AA10" s="403"/>
    </row>
    <row r="11" spans="1:27" ht="21" customHeight="1">
      <c r="C11" s="385" t="str">
        <f>IF(D11=0,"",REPORT!C76)</f>
        <v>G.8.3 Window Area South</v>
      </c>
      <c r="D11" s="373">
        <f>REPORT!I76</f>
        <v>11247.66</v>
      </c>
      <c r="E11" s="385" t="str">
        <f>IF(F11=0,"","B.8.3 Windows S")</f>
        <v>B.8.3 Windows S</v>
      </c>
      <c r="F11" s="373">
        <f>REPORT!I$91</f>
        <v>15798.24</v>
      </c>
      <c r="G11" s="343"/>
      <c r="H11" s="369"/>
      <c r="I11" s="369"/>
      <c r="J11" s="343"/>
      <c r="K11" s="404"/>
      <c r="L11" s="403"/>
      <c r="M11" s="403"/>
      <c r="N11" s="403"/>
      <c r="O11" s="369"/>
      <c r="P11" s="369"/>
      <c r="Q11" s="369"/>
      <c r="R11" s="369"/>
      <c r="S11" s="369"/>
      <c r="T11" s="369"/>
      <c r="U11" s="369"/>
      <c r="V11" s="405"/>
      <c r="W11" s="403"/>
      <c r="X11" s="403"/>
      <c r="Y11" s="403"/>
      <c r="Z11" s="403"/>
      <c r="AA11" s="403"/>
    </row>
    <row r="12" spans="1:27" ht="21" customHeight="1">
      <c r="C12" s="385" t="str">
        <f>IF(D12=0,"",REPORT!C77)</f>
        <v>G.8.4 Window Area West</v>
      </c>
      <c r="D12" s="373">
        <f>REPORT!I77</f>
        <v>2603.0675999999999</v>
      </c>
      <c r="E12" s="385" t="str">
        <f>IF(F12=0,"","B.8.4 Windows W")</f>
        <v>B.8.4 Windows W</v>
      </c>
      <c r="F12" s="373">
        <f>REPORT!I92</f>
        <v>10001.577600000001</v>
      </c>
      <c r="G12" s="343"/>
      <c r="H12" s="369"/>
      <c r="I12" s="369"/>
      <c r="J12" s="343"/>
      <c r="K12" s="404"/>
      <c r="L12" s="403"/>
      <c r="M12" s="403"/>
      <c r="N12" s="403"/>
      <c r="O12" s="369"/>
      <c r="P12" s="369"/>
      <c r="Q12" s="369"/>
      <c r="R12" s="369"/>
      <c r="S12" s="369"/>
      <c r="T12" s="369"/>
      <c r="U12" s="369"/>
      <c r="V12" s="405"/>
      <c r="W12" s="403"/>
      <c r="X12" s="403"/>
      <c r="Y12" s="403"/>
      <c r="Z12" s="403"/>
      <c r="AA12" s="403"/>
    </row>
    <row r="13" spans="1:27" ht="21" customHeight="1">
      <c r="C13" s="385" t="str">
        <f>IF(D13=0,"",REPORT!C78)</f>
        <v/>
      </c>
      <c r="D13" s="373">
        <f>REPORT!I78</f>
        <v>0</v>
      </c>
      <c r="E13" s="385" t="str">
        <f>IF(F13=0,"",REPORT!C93)</f>
        <v/>
      </c>
      <c r="F13" s="373">
        <f>REPORT!I$93</f>
        <v>0</v>
      </c>
      <c r="G13" s="343"/>
      <c r="H13" s="369"/>
      <c r="I13" s="369"/>
      <c r="J13" s="343"/>
      <c r="K13" s="404"/>
      <c r="L13" s="403"/>
      <c r="M13" s="403"/>
      <c r="N13" s="403"/>
      <c r="O13" s="369"/>
      <c r="P13" s="369"/>
      <c r="Q13" s="369"/>
      <c r="R13" s="369"/>
      <c r="S13" s="369"/>
      <c r="T13" s="369"/>
      <c r="U13" s="369"/>
      <c r="V13" s="405"/>
      <c r="W13" s="403"/>
      <c r="X13" s="403"/>
      <c r="Y13" s="403"/>
      <c r="Z13" s="403"/>
      <c r="AA13" s="403"/>
    </row>
    <row r="14" spans="1:27" ht="21" customHeight="1">
      <c r="C14" s="331"/>
      <c r="D14" s="899"/>
      <c r="E14" s="385" t="str">
        <f>IF(F14=0,"","B.9 Walls Below Grade")</f>
        <v/>
      </c>
      <c r="F14" s="373">
        <f>REPORT!I94</f>
        <v>0</v>
      </c>
      <c r="G14" s="343"/>
      <c r="H14" s="369"/>
      <c r="I14" s="369"/>
      <c r="J14" s="343"/>
      <c r="K14" s="404"/>
      <c r="L14" s="403"/>
      <c r="M14" s="403"/>
      <c r="N14" s="403"/>
      <c r="O14" s="369"/>
      <c r="P14" s="369"/>
      <c r="Q14" s="369"/>
      <c r="R14" s="369"/>
      <c r="S14" s="369"/>
      <c r="T14" s="369"/>
      <c r="U14" s="369"/>
      <c r="V14" s="405"/>
      <c r="W14" s="403"/>
      <c r="X14" s="403"/>
      <c r="Y14" s="403"/>
      <c r="Z14" s="403"/>
      <c r="AA14" s="403"/>
    </row>
    <row r="15" spans="1:27" ht="21" customHeight="1">
      <c r="C15" s="1434"/>
      <c r="D15" s="381"/>
      <c r="E15" s="385" t="str">
        <f>IF(F15=0, "", "B.10 Floor Slab")</f>
        <v>B.10 Floor Slab</v>
      </c>
      <c r="F15" s="373">
        <f>REPORT!I$95</f>
        <v>13990.204540540542</v>
      </c>
      <c r="G15" s="343"/>
      <c r="H15" s="369"/>
      <c r="I15" s="369"/>
      <c r="J15" s="343"/>
      <c r="K15" s="404"/>
      <c r="L15" s="403"/>
      <c r="M15" s="403"/>
      <c r="N15" s="403"/>
      <c r="O15" s="369"/>
      <c r="P15" s="369"/>
      <c r="Q15" s="369"/>
      <c r="R15" s="369"/>
      <c r="S15" s="369"/>
      <c r="T15" s="369"/>
      <c r="U15" s="369"/>
      <c r="V15" s="405"/>
      <c r="W15" s="403"/>
      <c r="X15" s="403"/>
      <c r="Y15" s="403"/>
      <c r="Z15" s="403"/>
      <c r="AA15" s="403"/>
    </row>
    <row r="16" spans="1:27" ht="21" customHeight="1">
      <c r="C16" s="1434"/>
      <c r="D16" s="381"/>
      <c r="E16" s="385" t="str">
        <f>IF(F16=0, "", "B.12 TB Penalty")</f>
        <v>B.12 TB Penalty</v>
      </c>
      <c r="F16" s="373">
        <f>REPORT!I97</f>
        <v>15481.989691479248</v>
      </c>
      <c r="G16" s="343"/>
      <c r="H16" s="369"/>
      <c r="I16" s="369"/>
      <c r="J16" s="343"/>
      <c r="K16" s="404"/>
      <c r="L16" s="403"/>
      <c r="M16" s="403"/>
      <c r="N16" s="403"/>
      <c r="O16" s="369"/>
      <c r="P16" s="369"/>
      <c r="Q16" s="369"/>
      <c r="R16" s="369"/>
      <c r="S16" s="369"/>
      <c r="T16" s="369"/>
      <c r="U16" s="369"/>
      <c r="V16" s="405"/>
      <c r="W16" s="403"/>
      <c r="X16" s="403"/>
      <c r="Y16" s="403"/>
      <c r="Z16" s="403"/>
      <c r="AA16" s="403"/>
    </row>
    <row r="17" spans="1:27" ht="21" customHeight="1">
      <c r="C17" s="1434"/>
      <c r="D17" s="381"/>
      <c r="E17" s="386" t="s">
        <v>1876</v>
      </c>
      <c r="F17" s="373">
        <f>REPORT!I$103</f>
        <v>23178.387012790419</v>
      </c>
      <c r="G17" s="343"/>
      <c r="H17" s="369"/>
      <c r="I17" s="369"/>
      <c r="J17" s="343"/>
      <c r="K17" s="404"/>
      <c r="L17" s="403"/>
      <c r="M17" s="403"/>
      <c r="N17" s="403"/>
      <c r="O17" s="369"/>
      <c r="P17" s="369"/>
      <c r="Q17" s="369"/>
      <c r="R17" s="369"/>
      <c r="S17" s="369"/>
      <c r="T17" s="369"/>
      <c r="U17" s="369"/>
      <c r="V17" s="405"/>
      <c r="W17" s="403"/>
      <c r="X17" s="403"/>
      <c r="Y17" s="403"/>
      <c r="Z17" s="403"/>
      <c r="AA17" s="403"/>
    </row>
    <row r="18" spans="1:27" ht="21" customHeight="1">
      <c r="C18" s="1433" t="s">
        <v>1873</v>
      </c>
      <c r="D18" s="380">
        <f>REPORT!L113</f>
        <v>86642.649429381039</v>
      </c>
      <c r="E18" s="385" t="s">
        <v>1877</v>
      </c>
      <c r="F18" s="373">
        <f>REPORT!M$121</f>
        <v>48980.799999999988</v>
      </c>
      <c r="G18" s="343"/>
      <c r="H18" s="369"/>
      <c r="I18" s="369"/>
      <c r="J18" s="343"/>
      <c r="K18" s="404"/>
      <c r="L18" s="403"/>
      <c r="M18" s="403"/>
      <c r="N18" s="403"/>
      <c r="O18" s="369"/>
      <c r="P18" s="369"/>
      <c r="Q18" s="369"/>
      <c r="R18" s="369"/>
      <c r="S18" s="369"/>
      <c r="T18" s="369"/>
      <c r="U18" s="369"/>
      <c r="V18" s="405"/>
      <c r="W18" s="403"/>
      <c r="X18" s="403"/>
      <c r="Y18" s="403"/>
      <c r="Z18" s="403"/>
      <c r="AA18" s="403"/>
    </row>
    <row r="19" spans="1:27" ht="21" customHeight="1">
      <c r="C19" s="1435" t="s">
        <v>1874</v>
      </c>
      <c r="D19" s="380">
        <f>REPORT!D$114</f>
        <v>32529.128504956876</v>
      </c>
      <c r="E19" s="912" t="s">
        <v>1875</v>
      </c>
      <c r="F19" s="913">
        <f>REPORT!I82</f>
        <v>68819.020840991987</v>
      </c>
      <c r="G19" s="343"/>
      <c r="H19" s="369"/>
      <c r="I19" s="369"/>
      <c r="J19" s="343"/>
      <c r="K19" s="404"/>
      <c r="L19" s="403"/>
      <c r="M19" s="403"/>
      <c r="N19" s="403"/>
      <c r="O19" s="369"/>
      <c r="P19" s="369"/>
      <c r="Q19" s="369"/>
      <c r="R19" s="369"/>
      <c r="S19" s="369"/>
      <c r="T19" s="369"/>
      <c r="U19" s="369"/>
      <c r="V19" s="405"/>
      <c r="W19" s="403"/>
      <c r="X19" s="403"/>
      <c r="Y19" s="403"/>
      <c r="Z19" s="403"/>
      <c r="AA19" s="403"/>
    </row>
    <row r="20" spans="1:27" ht="21" customHeight="1">
      <c r="C20" s="1691" t="str">
        <f>REPORT!C69</f>
        <v>W.1.3 DHW System Losses</v>
      </c>
      <c r="D20" s="1689">
        <f>REPORT!I69</f>
        <v>0</v>
      </c>
      <c r="E20" s="1690"/>
      <c r="F20" s="1689"/>
      <c r="G20" s="343"/>
      <c r="H20" s="369"/>
      <c r="I20" s="369"/>
      <c r="J20" s="343"/>
      <c r="K20" s="404"/>
      <c r="L20" s="403"/>
      <c r="M20" s="403"/>
      <c r="N20" s="403"/>
      <c r="O20" s="369"/>
      <c r="P20" s="369"/>
      <c r="Q20" s="369"/>
      <c r="R20" s="369"/>
      <c r="S20" s="369"/>
      <c r="T20" s="369"/>
      <c r="U20" s="369"/>
      <c r="V20" s="405"/>
      <c r="W20" s="403"/>
      <c r="X20" s="403"/>
      <c r="Y20" s="403"/>
      <c r="Z20" s="403"/>
      <c r="AA20" s="403"/>
    </row>
    <row r="21" spans="1:27" ht="21" customHeight="1" thickBot="1">
      <c r="C21" s="1544" t="s">
        <v>1727</v>
      </c>
      <c r="D21" s="1545">
        <f>REPORT!J52</f>
        <v>12828.144</v>
      </c>
      <c r="E21" s="1546" t="s">
        <v>1741</v>
      </c>
      <c r="F21" s="1545">
        <f>REPORT!J53</f>
        <v>12828.144</v>
      </c>
      <c r="G21" s="343"/>
      <c r="H21" s="369"/>
      <c r="I21" s="369"/>
      <c r="J21" s="343"/>
      <c r="L21" s="403"/>
      <c r="M21" s="403"/>
      <c r="N21" s="403"/>
      <c r="O21" s="369"/>
      <c r="P21" s="369"/>
      <c r="Q21" s="369"/>
      <c r="R21" s="369"/>
      <c r="S21" s="369"/>
      <c r="T21" s="369"/>
      <c r="U21" s="369"/>
      <c r="V21" s="405"/>
      <c r="W21" s="403"/>
      <c r="X21" s="403"/>
      <c r="Y21" s="403"/>
      <c r="Z21" s="403"/>
      <c r="AA21" s="403"/>
    </row>
    <row r="22" spans="1:27" ht="21" customHeight="1">
      <c r="C22" s="370" t="s">
        <v>1735</v>
      </c>
      <c r="D22" s="156"/>
      <c r="E22" s="905" t="s">
        <v>1739</v>
      </c>
      <c r="F22" s="2248">
        <f>SUM(F$5:F$18)</f>
        <v>165051.1251616659</v>
      </c>
      <c r="G22" s="343"/>
      <c r="H22" s="369"/>
      <c r="I22" s="369"/>
      <c r="J22" s="343"/>
      <c r="K22" s="404"/>
      <c r="L22" s="403"/>
      <c r="M22" s="403"/>
      <c r="N22" s="403"/>
      <c r="O22" s="369"/>
      <c r="P22" s="369"/>
      <c r="Q22" s="369"/>
      <c r="R22" s="369"/>
      <c r="S22" s="369"/>
      <c r="T22" s="369"/>
      <c r="U22" s="369"/>
      <c r="V22" s="405"/>
      <c r="W22" s="403"/>
      <c r="X22" s="403"/>
      <c r="Y22" s="403"/>
      <c r="Z22" s="403"/>
      <c r="AA22" s="403"/>
    </row>
    <row r="23" spans="1:27" ht="21" customHeight="1">
      <c r="C23" s="886" t="s">
        <v>1740</v>
      </c>
      <c r="D23" s="390">
        <f>SUM(D5:D21)</f>
        <v>246698.29000265792</v>
      </c>
      <c r="E23" s="886" t="s">
        <v>1724</v>
      </c>
      <c r="F23" s="429">
        <f>SUM(F5:F21)</f>
        <v>246698.29000265789</v>
      </c>
      <c r="G23" s="343"/>
      <c r="H23" s="369"/>
      <c r="I23" s="369"/>
      <c r="J23" s="343"/>
      <c r="K23" s="404"/>
      <c r="L23" s="403"/>
      <c r="M23" s="403"/>
      <c r="N23" s="403"/>
      <c r="O23" s="369"/>
      <c r="P23" s="369"/>
      <c r="Q23" s="369"/>
      <c r="R23" s="369"/>
      <c r="S23" s="369"/>
      <c r="T23" s="369"/>
      <c r="U23" s="369"/>
      <c r="V23" s="405"/>
      <c r="W23" s="403"/>
      <c r="X23" s="403"/>
      <c r="Y23" s="403"/>
      <c r="Z23" s="403"/>
      <c r="AA23" s="403"/>
    </row>
    <row r="24" spans="1:27" ht="21" customHeight="1">
      <c r="C24" s="2244" t="s">
        <v>1738</v>
      </c>
      <c r="D24" s="2245">
        <f>((SUM(F5:F18))-(SUM(D5:D13)*REPORT!G80))/REPORT!H15</f>
        <v>83.5004049427816</v>
      </c>
      <c r="E24" s="2246" t="s">
        <v>1733</v>
      </c>
      <c r="F24" s="2247">
        <f>SUM(F5:F17)</f>
        <v>116070.32516166591</v>
      </c>
      <c r="G24" s="343"/>
      <c r="H24" s="369"/>
      <c r="I24" s="369"/>
      <c r="J24" s="343"/>
      <c r="K24" s="404"/>
      <c r="L24" s="403"/>
      <c r="M24" s="403"/>
      <c r="N24" s="403"/>
      <c r="O24" s="369"/>
      <c r="P24" s="369"/>
      <c r="Q24" s="369"/>
      <c r="R24" s="369"/>
      <c r="S24" s="369"/>
      <c r="T24" s="369"/>
      <c r="U24" s="369"/>
      <c r="V24" s="405"/>
      <c r="W24" s="403"/>
      <c r="X24" s="403"/>
      <c r="Y24" s="403"/>
      <c r="Z24" s="403"/>
      <c r="AA24" s="403"/>
    </row>
    <row r="25" spans="1:27" ht="21" customHeight="1">
      <c r="C25" s="428"/>
      <c r="D25" s="429"/>
      <c r="E25" s="887" t="s">
        <v>1734</v>
      </c>
      <c r="F25" s="429">
        <f>F24/REPORT!H15</f>
        <v>81.327301822916141</v>
      </c>
      <c r="G25" s="369"/>
      <c r="H25" s="369"/>
      <c r="I25" s="369"/>
      <c r="J25" s="343"/>
      <c r="K25" s="404"/>
      <c r="L25" s="403"/>
      <c r="M25" s="403"/>
      <c r="N25" s="403"/>
      <c r="O25" s="369"/>
      <c r="P25" s="369"/>
      <c r="Q25" s="369"/>
      <c r="R25" s="369"/>
      <c r="S25" s="369"/>
      <c r="T25" s="369"/>
      <c r="U25" s="369"/>
      <c r="V25" s="405"/>
      <c r="W25" s="403"/>
      <c r="X25" s="403"/>
      <c r="Y25" s="403"/>
      <c r="Z25" s="403"/>
      <c r="AA25" s="403"/>
    </row>
    <row r="26" spans="1:27" ht="21" customHeight="1">
      <c r="C26" s="2242" t="s">
        <v>2152</v>
      </c>
      <c r="D26" s="2243">
        <f>D18+D19</f>
        <v>119171.77793433791</v>
      </c>
      <c r="E26" s="887" t="s">
        <v>1732</v>
      </c>
      <c r="F26" s="903">
        <f>REPORT!H127</f>
        <v>83.5004049427816</v>
      </c>
      <c r="G26" s="343"/>
      <c r="H26" s="369"/>
      <c r="I26" s="369"/>
      <c r="J26" s="343"/>
      <c r="K26" s="404"/>
      <c r="L26" s="403"/>
      <c r="M26" s="403"/>
      <c r="N26" s="403"/>
      <c r="O26" s="369"/>
      <c r="P26" s="369"/>
      <c r="Q26" s="369"/>
      <c r="R26" s="369"/>
      <c r="S26" s="369"/>
      <c r="T26" s="369"/>
      <c r="U26" s="369"/>
      <c r="V26" s="405"/>
      <c r="W26" s="403"/>
      <c r="X26" s="403"/>
      <c r="Y26" s="403"/>
      <c r="Z26" s="403"/>
      <c r="AA26" s="403"/>
    </row>
    <row r="27" spans="1:27" ht="21" customHeight="1">
      <c r="C27" s="388" t="s">
        <v>673</v>
      </c>
      <c r="D27" s="378"/>
      <c r="E27" s="383"/>
      <c r="F27" s="377">
        <f>SUM(F5:F17)</f>
        <v>116070.32516166591</v>
      </c>
      <c r="G27" s="369"/>
      <c r="H27" s="369"/>
      <c r="I27" s="369"/>
      <c r="J27" s="343"/>
      <c r="K27" s="404"/>
      <c r="L27" s="403"/>
      <c r="M27" s="403"/>
      <c r="N27" s="403"/>
      <c r="O27" s="369"/>
      <c r="P27" s="369"/>
      <c r="Q27" s="369"/>
      <c r="R27" s="369"/>
      <c r="S27" s="369"/>
      <c r="T27" s="369"/>
      <c r="U27" s="369"/>
      <c r="V27" s="405"/>
      <c r="W27" s="403"/>
      <c r="X27" s="403"/>
      <c r="Y27" s="403"/>
      <c r="Z27" s="403"/>
      <c r="AA27" s="403"/>
    </row>
    <row r="28" spans="1:27" ht="21" customHeight="1">
      <c r="C28" s="388" t="s">
        <v>1728</v>
      </c>
      <c r="F28" s="377">
        <f>D33+D34+D35</f>
        <v>116070.32516166594</v>
      </c>
      <c r="G28" s="369"/>
      <c r="H28" s="369"/>
      <c r="I28" s="369"/>
      <c r="J28" s="343"/>
      <c r="K28" s="404"/>
      <c r="L28" s="403"/>
      <c r="M28" s="403"/>
      <c r="N28" s="403"/>
      <c r="O28" s="369"/>
      <c r="P28" s="369"/>
      <c r="Q28" s="369"/>
      <c r="R28" s="369"/>
      <c r="S28" s="369"/>
      <c r="T28" s="369"/>
      <c r="U28" s="369"/>
      <c r="V28" s="405"/>
      <c r="W28" s="403"/>
      <c r="X28" s="403"/>
      <c r="Y28" s="403"/>
      <c r="Z28" s="403"/>
      <c r="AA28" s="403"/>
    </row>
    <row r="29" spans="1:27" ht="150" customHeight="1">
      <c r="C29" s="441"/>
      <c r="D29" s="376"/>
      <c r="E29" s="915"/>
      <c r="F29" s="914"/>
      <c r="G29" s="369"/>
      <c r="H29" s="369"/>
      <c r="I29" s="369"/>
      <c r="J29" s="343"/>
      <c r="K29" s="404"/>
      <c r="L29" s="403"/>
      <c r="M29" s="403"/>
      <c r="N29" s="403"/>
      <c r="O29" s="369"/>
      <c r="P29" s="369"/>
      <c r="Q29" s="369"/>
      <c r="R29" s="369"/>
      <c r="S29" s="369"/>
      <c r="T29" s="369"/>
      <c r="U29" s="369"/>
      <c r="V29" s="405"/>
      <c r="W29" s="403"/>
      <c r="X29" s="403"/>
      <c r="Y29" s="403"/>
      <c r="Z29" s="403"/>
      <c r="AA29" s="403"/>
    </row>
    <row r="30" spans="1:27" ht="21" customHeight="1">
      <c r="C30" s="441"/>
      <c r="D30" s="376"/>
      <c r="E30" s="382"/>
      <c r="F30" s="431"/>
      <c r="G30" s="369"/>
      <c r="H30" s="369"/>
      <c r="I30" s="369"/>
      <c r="J30" s="343"/>
      <c r="K30" s="404"/>
      <c r="L30" s="403"/>
      <c r="M30" s="403"/>
      <c r="N30" s="403"/>
      <c r="O30" s="369"/>
      <c r="P30" s="369"/>
      <c r="Q30" s="369"/>
      <c r="R30" s="369"/>
      <c r="S30" s="369"/>
      <c r="T30" s="369"/>
      <c r="U30" s="369"/>
      <c r="V30" s="405"/>
      <c r="W30" s="403"/>
      <c r="X30" s="403"/>
      <c r="Y30" s="403"/>
      <c r="Z30" s="403"/>
      <c r="AA30" s="403"/>
    </row>
    <row r="31" spans="1:27" ht="21" customHeight="1">
      <c r="C31" s="450" t="s">
        <v>861</v>
      </c>
      <c r="D31" s="413"/>
      <c r="E31" s="418"/>
      <c r="F31" s="430"/>
      <c r="G31" s="369"/>
      <c r="H31" s="369"/>
      <c r="I31" s="369"/>
      <c r="J31" s="343"/>
      <c r="K31" s="404"/>
      <c r="L31" s="403"/>
      <c r="M31" s="403"/>
      <c r="N31" s="403"/>
      <c r="O31" s="369"/>
      <c r="P31" s="369"/>
      <c r="Q31" s="369"/>
      <c r="R31" s="369"/>
      <c r="S31" s="369"/>
      <c r="T31" s="369"/>
      <c r="U31" s="369"/>
      <c r="V31" s="405"/>
      <c r="W31" s="403"/>
      <c r="X31" s="403"/>
      <c r="Y31" s="403"/>
      <c r="Z31" s="403"/>
      <c r="AA31" s="403"/>
    </row>
    <row r="32" spans="1:27" s="371" customFormat="1" ht="21" customHeight="1" thickBot="1">
      <c r="A32" s="343"/>
      <c r="B32" s="403"/>
      <c r="C32" s="440"/>
      <c r="D32" s="422" t="s">
        <v>872</v>
      </c>
      <c r="E32" s="425"/>
      <c r="F32" s="422" t="s">
        <v>873</v>
      </c>
      <c r="G32" s="343"/>
      <c r="H32" s="369"/>
      <c r="I32" s="369"/>
      <c r="J32" s="343"/>
      <c r="K32" s="403"/>
      <c r="L32" s="403"/>
      <c r="M32" s="403"/>
      <c r="N32" s="403"/>
      <c r="O32" s="369"/>
      <c r="P32" s="369"/>
      <c r="Q32" s="369"/>
      <c r="R32" s="369"/>
      <c r="S32" s="369"/>
      <c r="T32" s="369"/>
      <c r="U32" s="369"/>
      <c r="V32" s="405"/>
      <c r="W32" s="403"/>
      <c r="X32" s="403"/>
      <c r="Y32" s="403"/>
      <c r="Z32" s="403"/>
      <c r="AA32" s="403"/>
    </row>
    <row r="33" spans="3:27" ht="21" customHeight="1">
      <c r="C33" s="423" t="s">
        <v>1878</v>
      </c>
      <c r="D33" s="420">
        <f>REPORT!I101</f>
        <v>76103.692700226864</v>
      </c>
      <c r="E33" s="424" t="s">
        <v>1881</v>
      </c>
      <c r="F33" s="421">
        <f>REPORT!I80</f>
        <v>45879.347227327999</v>
      </c>
      <c r="G33" s="343"/>
      <c r="H33" s="369"/>
      <c r="I33" s="369"/>
      <c r="J33" s="343"/>
      <c r="K33" s="404"/>
      <c r="L33" s="403"/>
      <c r="M33" s="403"/>
      <c r="N33" s="403"/>
      <c r="O33" s="369"/>
      <c r="P33" s="369"/>
      <c r="Q33" s="369"/>
      <c r="R33" s="369"/>
      <c r="S33" s="369"/>
      <c r="T33" s="369"/>
      <c r="U33" s="369"/>
      <c r="V33" s="405"/>
      <c r="W33" s="403"/>
      <c r="X33" s="403"/>
      <c r="Y33" s="403"/>
      <c r="Z33" s="403"/>
      <c r="AA33" s="403"/>
    </row>
    <row r="34" spans="3:27" ht="21" customHeight="1">
      <c r="C34" s="389" t="s">
        <v>1879</v>
      </c>
      <c r="D34" s="373">
        <f>REPORT!I102</f>
        <v>16788.245448648649</v>
      </c>
      <c r="E34" s="411" t="s">
        <v>854</v>
      </c>
      <c r="F34" s="380">
        <f>REPORT!L113</f>
        <v>86642.649429381039</v>
      </c>
      <c r="G34" s="343"/>
      <c r="H34" s="369"/>
      <c r="I34" s="369"/>
      <c r="J34" s="343"/>
      <c r="K34" s="404"/>
      <c r="L34" s="403"/>
      <c r="M34" s="403"/>
      <c r="N34" s="403"/>
      <c r="O34" s="369"/>
      <c r="P34" s="369"/>
      <c r="Q34" s="369"/>
      <c r="R34" s="369"/>
      <c r="S34" s="369"/>
      <c r="T34" s="369"/>
      <c r="U34" s="369"/>
      <c r="V34" s="405"/>
      <c r="W34" s="403"/>
      <c r="X34" s="403"/>
      <c r="Y34" s="403"/>
      <c r="Z34" s="403"/>
      <c r="AA34" s="403"/>
    </row>
    <row r="35" spans="3:27" ht="21" customHeight="1">
      <c r="C35" s="386" t="s">
        <v>1876</v>
      </c>
      <c r="D35" s="373">
        <f>REPORT!I$103</f>
        <v>23178.387012790419</v>
      </c>
      <c r="E35" s="411" t="s">
        <v>855</v>
      </c>
      <c r="F35" s="380">
        <f>REPORT!D114</f>
        <v>32529.128504956876</v>
      </c>
      <c r="G35" s="343"/>
      <c r="H35" s="369"/>
      <c r="I35" s="369"/>
      <c r="J35" s="343"/>
      <c r="K35" s="404"/>
      <c r="L35" s="403"/>
      <c r="M35" s="403"/>
      <c r="N35" s="403"/>
      <c r="O35" s="369"/>
      <c r="P35" s="369"/>
      <c r="Q35" s="369"/>
      <c r="R35" s="369"/>
      <c r="S35" s="369"/>
      <c r="T35" s="369"/>
      <c r="U35" s="369"/>
      <c r="V35" s="405"/>
      <c r="W35" s="403"/>
      <c r="X35" s="403"/>
      <c r="Y35" s="403"/>
      <c r="Z35" s="403"/>
      <c r="AA35" s="403"/>
    </row>
    <row r="36" spans="3:27" ht="21" customHeight="1">
      <c r="C36" s="385" t="s">
        <v>1880</v>
      </c>
      <c r="D36" s="373">
        <f>REPORT!M$121</f>
        <v>48980.799999999988</v>
      </c>
      <c r="E36" s="406"/>
      <c r="F36" s="381"/>
      <c r="G36" s="343"/>
      <c r="H36" s="369"/>
      <c r="I36" s="369"/>
      <c r="J36" s="343"/>
      <c r="K36" s="404"/>
      <c r="L36" s="403"/>
      <c r="M36" s="403"/>
      <c r="N36" s="403"/>
      <c r="O36" s="369"/>
      <c r="P36" s="369"/>
      <c r="Q36" s="369"/>
      <c r="R36" s="369"/>
      <c r="S36" s="369"/>
      <c r="T36" s="369"/>
      <c r="U36" s="369"/>
      <c r="V36" s="405"/>
      <c r="W36" s="403"/>
      <c r="X36" s="403"/>
      <c r="Y36" s="403"/>
      <c r="Z36" s="403"/>
      <c r="AA36" s="403"/>
    </row>
    <row r="37" spans="3:27" ht="21" customHeight="1" thickBot="1">
      <c r="C37" s="400"/>
      <c r="D37" s="401"/>
      <c r="E37" s="407"/>
      <c r="F37" s="417"/>
      <c r="G37" s="343"/>
      <c r="H37" s="369"/>
      <c r="I37" s="369"/>
      <c r="J37" s="343"/>
      <c r="K37" s="378"/>
      <c r="L37" s="343"/>
      <c r="M37" s="343"/>
      <c r="N37" s="343"/>
      <c r="O37" s="369"/>
      <c r="P37" s="369"/>
      <c r="Q37" s="369"/>
      <c r="R37" s="369"/>
      <c r="S37" s="369"/>
      <c r="T37" s="369"/>
      <c r="U37" s="369"/>
      <c r="V37" s="405"/>
      <c r="W37" s="403"/>
      <c r="X37" s="403"/>
      <c r="Y37" s="403"/>
      <c r="Z37" s="403"/>
      <c r="AA37" s="403"/>
    </row>
    <row r="38" spans="3:27" ht="21" customHeight="1">
      <c r="C38" s="391" t="s">
        <v>627</v>
      </c>
      <c r="D38" s="390">
        <f>SUM(D$33:D$37)</f>
        <v>165051.12516166593</v>
      </c>
      <c r="E38" s="399"/>
      <c r="F38" s="390">
        <f>F33+F35+F34</f>
        <v>165051.1251616659</v>
      </c>
      <c r="G38" s="343"/>
      <c r="H38" s="369"/>
      <c r="I38" s="369"/>
      <c r="J38" s="343"/>
      <c r="K38" s="891"/>
      <c r="L38" s="891"/>
      <c r="M38" s="891"/>
      <c r="N38" s="891"/>
      <c r="O38" s="369"/>
      <c r="P38" s="369"/>
      <c r="Q38" s="369"/>
      <c r="R38" s="369"/>
      <c r="S38" s="369"/>
      <c r="T38" s="369"/>
      <c r="U38" s="369"/>
      <c r="V38" s="405"/>
      <c r="W38" s="403"/>
      <c r="X38" s="403"/>
      <c r="Y38" s="403"/>
      <c r="Z38" s="403"/>
      <c r="AA38" s="403"/>
    </row>
    <row r="39" spans="3:27" ht="21" customHeight="1">
      <c r="C39" s="442"/>
      <c r="D39" s="415"/>
      <c r="E39" s="416"/>
      <c r="F39" s="432"/>
      <c r="G39" s="343"/>
      <c r="H39" s="369"/>
      <c r="I39" s="369"/>
      <c r="J39" s="343"/>
      <c r="K39" s="892"/>
      <c r="L39" s="893"/>
      <c r="M39" s="388"/>
      <c r="N39" s="894"/>
      <c r="O39" s="369"/>
      <c r="P39" s="369"/>
      <c r="Q39" s="369"/>
      <c r="R39" s="369"/>
      <c r="S39" s="369"/>
      <c r="T39" s="369"/>
      <c r="U39" s="369"/>
      <c r="V39" s="405"/>
      <c r="W39" s="403"/>
      <c r="X39" s="403"/>
      <c r="Y39" s="403"/>
      <c r="Z39" s="403"/>
      <c r="AA39" s="403"/>
    </row>
    <row r="40" spans="3:27" ht="21" customHeight="1">
      <c r="C40" s="387" t="s">
        <v>628</v>
      </c>
      <c r="D40" s="375">
        <f>D38-F33</f>
        <v>119171.77793433794</v>
      </c>
      <c r="E40" s="384"/>
      <c r="F40" s="375">
        <f>SUM(F33:F37)</f>
        <v>165051.1251616659</v>
      </c>
      <c r="G40" s="343"/>
      <c r="H40" s="369"/>
      <c r="I40" s="369"/>
      <c r="J40" s="343"/>
      <c r="K40" s="370"/>
      <c r="L40" s="893"/>
      <c r="M40" s="388"/>
      <c r="N40" s="894"/>
      <c r="O40" s="369"/>
      <c r="P40" s="369"/>
      <c r="Q40" s="369"/>
      <c r="R40" s="369"/>
      <c r="S40" s="369"/>
      <c r="T40" s="369"/>
      <c r="U40" s="369"/>
      <c r="V40" s="405"/>
      <c r="W40" s="403"/>
      <c r="X40" s="403"/>
      <c r="Y40" s="403"/>
      <c r="Z40" s="403"/>
      <c r="AA40" s="403"/>
    </row>
    <row r="41" spans="3:27" ht="21" customHeight="1">
      <c r="C41" s="387" t="s">
        <v>852</v>
      </c>
      <c r="D41" s="374">
        <f>D40/REPORT!H15</f>
        <v>83.500404942781628</v>
      </c>
      <c r="E41" s="408"/>
      <c r="F41" s="375">
        <f>F35+F34</f>
        <v>119171.77793433791</v>
      </c>
      <c r="G41" s="343"/>
      <c r="H41" s="369"/>
      <c r="I41" s="369"/>
      <c r="J41" s="343"/>
      <c r="K41" s="370"/>
      <c r="L41" s="893"/>
      <c r="M41" s="895"/>
      <c r="N41" s="894"/>
      <c r="O41" s="369"/>
      <c r="P41" s="369"/>
      <c r="Q41" s="369"/>
      <c r="R41" s="369"/>
      <c r="S41" s="369"/>
      <c r="T41" s="369"/>
      <c r="U41" s="369"/>
      <c r="V41" s="405"/>
      <c r="W41" s="403"/>
      <c r="X41" s="403"/>
      <c r="Y41" s="403"/>
      <c r="Z41" s="403"/>
      <c r="AA41" s="403"/>
    </row>
    <row r="42" spans="3:27" ht="21" customHeight="1">
      <c r="C42" s="387" t="s">
        <v>853</v>
      </c>
      <c r="D42" s="374">
        <f>D24</f>
        <v>83.5004049427816</v>
      </c>
      <c r="E42" s="408"/>
      <c r="F42" s="375">
        <f>F34+F33</f>
        <v>132521.99665670903</v>
      </c>
      <c r="G42" s="369"/>
      <c r="H42" s="369"/>
      <c r="I42" s="369"/>
      <c r="J42" s="343"/>
      <c r="K42" s="370"/>
      <c r="L42" s="893"/>
      <c r="M42" s="388"/>
      <c r="N42" s="894"/>
      <c r="O42" s="369"/>
      <c r="P42" s="369"/>
      <c r="Q42" s="369"/>
      <c r="R42" s="369"/>
      <c r="S42" s="369"/>
      <c r="T42" s="369"/>
      <c r="U42" s="369"/>
      <c r="V42" s="405"/>
      <c r="W42" s="403"/>
      <c r="X42" s="403"/>
      <c r="Y42" s="403"/>
      <c r="Z42" s="403"/>
      <c r="AA42" s="403"/>
    </row>
    <row r="43" spans="3:27" ht="87" customHeight="1">
      <c r="C43" s="441"/>
      <c r="D43" s="376"/>
      <c r="E43" s="382"/>
      <c r="F43" s="431"/>
      <c r="G43" s="369"/>
      <c r="H43" s="369"/>
      <c r="I43" s="369"/>
      <c r="J43" s="343"/>
      <c r="K43" s="896"/>
      <c r="L43" s="893"/>
      <c r="M43" s="388"/>
      <c r="N43" s="894"/>
      <c r="O43" s="369"/>
      <c r="P43" s="369"/>
      <c r="Q43" s="369"/>
      <c r="R43" s="369"/>
      <c r="S43" s="369"/>
      <c r="T43" s="369"/>
      <c r="U43" s="369"/>
      <c r="V43" s="405"/>
      <c r="W43" s="403"/>
      <c r="X43" s="403"/>
      <c r="Y43" s="403"/>
      <c r="Z43" s="403"/>
      <c r="AA43" s="403"/>
    </row>
    <row r="44" spans="3:27" ht="21" customHeight="1">
      <c r="C44" s="450" t="s">
        <v>860</v>
      </c>
      <c r="D44" s="413"/>
      <c r="E44" s="410"/>
      <c r="F44" s="418"/>
      <c r="G44" s="369"/>
      <c r="H44" s="369"/>
      <c r="I44" s="369"/>
      <c r="J44" s="369"/>
      <c r="K44" s="369"/>
      <c r="L44" s="893"/>
      <c r="M44" s="388"/>
      <c r="N44" s="894"/>
      <c r="O44" s="369"/>
      <c r="P44" s="369"/>
      <c r="Q44" s="369"/>
      <c r="R44" s="369"/>
      <c r="S44" s="369"/>
      <c r="T44" s="369"/>
      <c r="U44" s="369"/>
      <c r="V44" s="405"/>
      <c r="W44" s="403"/>
      <c r="X44" s="403"/>
      <c r="Y44" s="403"/>
      <c r="Z44" s="403"/>
      <c r="AA44" s="403"/>
    </row>
    <row r="45" spans="3:27" ht="21" customHeight="1" thickBot="1">
      <c r="C45" s="440"/>
      <c r="D45" s="422" t="s">
        <v>874</v>
      </c>
      <c r="E45" s="426"/>
      <c r="F45" s="422" t="s">
        <v>875</v>
      </c>
      <c r="G45" s="343"/>
      <c r="H45" s="343"/>
      <c r="I45" s="368"/>
      <c r="J45" s="368"/>
      <c r="K45" s="343"/>
      <c r="L45" s="383"/>
      <c r="M45" s="388"/>
      <c r="N45" s="894"/>
      <c r="O45" s="343"/>
      <c r="P45" s="343"/>
      <c r="Q45" s="343"/>
      <c r="R45" s="343"/>
      <c r="S45" s="343"/>
      <c r="T45" s="343"/>
      <c r="U45" s="343"/>
      <c r="V45" s="403"/>
      <c r="W45" s="403"/>
      <c r="X45" s="403"/>
      <c r="Y45" s="403"/>
      <c r="Z45" s="403"/>
      <c r="AA45" s="403"/>
    </row>
    <row r="46" spans="3:27" ht="21" customHeight="1">
      <c r="C46" s="1510" t="s">
        <v>803</v>
      </c>
      <c r="D46" s="1511">
        <f>REPORT!K85</f>
        <v>710.13797647058823</v>
      </c>
      <c r="E46" s="446" t="s">
        <v>1898</v>
      </c>
      <c r="F46" s="433">
        <f>REPORT!M129</f>
        <v>8038.670098583887</v>
      </c>
      <c r="G46" s="343"/>
      <c r="H46" s="343"/>
      <c r="I46" s="343"/>
      <c r="J46" s="343"/>
      <c r="K46" s="369"/>
      <c r="L46" s="893"/>
      <c r="M46" s="388"/>
      <c r="N46" s="894"/>
      <c r="O46" s="343"/>
      <c r="P46" s="343"/>
      <c r="Q46" s="343"/>
      <c r="R46" s="343"/>
      <c r="S46" s="343"/>
      <c r="T46" s="343"/>
      <c r="U46" s="343"/>
      <c r="V46" s="403"/>
      <c r="W46" s="403"/>
      <c r="X46" s="403"/>
      <c r="Y46" s="403"/>
      <c r="Z46" s="403"/>
      <c r="AA46" s="403"/>
    </row>
    <row r="47" spans="3:27" ht="21" customHeight="1">
      <c r="C47" s="393" t="str">
        <f>IF(D47=0,"","B.5 Walls Ae")</f>
        <v>B.5 Walls Ae</v>
      </c>
      <c r="D47" s="409">
        <f>REPORT!K86</f>
        <v>501.31702242152471</v>
      </c>
      <c r="E47" s="446"/>
      <c r="F47" s="434"/>
      <c r="G47" s="343"/>
      <c r="H47" s="343"/>
      <c r="I47" s="343"/>
      <c r="J47" s="343"/>
      <c r="K47" s="343"/>
      <c r="L47" s="383"/>
      <c r="M47" s="388"/>
      <c r="N47" s="894"/>
      <c r="O47" s="343"/>
      <c r="P47" s="343"/>
      <c r="Q47" s="343"/>
      <c r="R47" s="343"/>
      <c r="S47" s="343"/>
      <c r="T47" s="343"/>
      <c r="U47" s="343"/>
      <c r="V47" s="403"/>
      <c r="W47" s="403"/>
      <c r="X47" s="403"/>
      <c r="Y47" s="403"/>
      <c r="Z47" s="403"/>
      <c r="AA47" s="403"/>
    </row>
    <row r="48" spans="3:27" ht="21" customHeight="1">
      <c r="C48" s="393" t="str">
        <f>IF(D48=0,"","B.6 Floor Ae")</f>
        <v/>
      </c>
      <c r="D48" s="409">
        <f>REPORT!K87</f>
        <v>0</v>
      </c>
      <c r="E48" s="392"/>
      <c r="F48" s="434"/>
      <c r="G48" s="343"/>
      <c r="H48" s="343"/>
      <c r="I48" s="343"/>
      <c r="J48" s="343"/>
      <c r="K48" s="343"/>
      <c r="L48" s="383"/>
      <c r="M48" s="388"/>
      <c r="N48" s="894"/>
      <c r="O48" s="343"/>
      <c r="P48" s="343"/>
      <c r="Q48" s="343"/>
      <c r="R48" s="343"/>
      <c r="S48" s="343"/>
      <c r="T48" s="343"/>
      <c r="U48" s="343"/>
      <c r="V48" s="403"/>
      <c r="W48" s="403"/>
      <c r="X48" s="403"/>
      <c r="Y48" s="403"/>
      <c r="Z48" s="403"/>
      <c r="AA48" s="403"/>
    </row>
    <row r="49" spans="3:27" ht="21" customHeight="1">
      <c r="C49" s="1507" t="s">
        <v>1731</v>
      </c>
      <c r="D49" s="1504">
        <f>REPORT!K88</f>
        <v>31.752000000000002</v>
      </c>
      <c r="E49" s="1506"/>
      <c r="F49" s="1505"/>
      <c r="G49" s="343"/>
      <c r="H49" s="343"/>
      <c r="I49" s="343"/>
      <c r="J49" s="343"/>
      <c r="K49" s="343"/>
      <c r="L49" s="383"/>
      <c r="M49" s="388"/>
      <c r="N49" s="894"/>
      <c r="O49" s="343"/>
      <c r="P49" s="343"/>
      <c r="Q49" s="343"/>
      <c r="R49" s="343"/>
      <c r="S49" s="343"/>
      <c r="T49" s="343"/>
      <c r="U49" s="343"/>
      <c r="V49" s="403"/>
      <c r="W49" s="403"/>
      <c r="X49" s="403"/>
      <c r="Y49" s="403"/>
      <c r="Z49" s="403"/>
      <c r="AA49" s="403"/>
    </row>
    <row r="50" spans="3:27" ht="21" customHeight="1">
      <c r="C50" s="1508" t="s">
        <v>806</v>
      </c>
      <c r="D50" s="1504">
        <f>REPORT!K89</f>
        <v>343.51430399999998</v>
      </c>
      <c r="E50" s="1506"/>
      <c r="F50" s="1505"/>
      <c r="G50" s="343"/>
      <c r="H50" s="343"/>
      <c r="I50" s="343"/>
      <c r="J50" s="343"/>
      <c r="K50" s="343"/>
      <c r="L50" s="383"/>
      <c r="M50" s="388"/>
      <c r="N50" s="894"/>
      <c r="O50" s="343"/>
      <c r="P50" s="343"/>
      <c r="Q50" s="343"/>
      <c r="R50" s="343"/>
      <c r="S50" s="343"/>
      <c r="T50" s="343"/>
      <c r="U50" s="343"/>
      <c r="V50" s="403"/>
      <c r="W50" s="403"/>
      <c r="X50" s="403"/>
      <c r="Y50" s="403"/>
      <c r="Z50" s="403"/>
      <c r="AA50" s="403"/>
    </row>
    <row r="51" spans="3:27" ht="21" customHeight="1">
      <c r="C51" s="1508" t="s">
        <v>807</v>
      </c>
      <c r="D51" s="1504">
        <f>REPORT!K90</f>
        <v>16.214687999999999</v>
      </c>
      <c r="E51" s="1506"/>
      <c r="F51" s="1505"/>
      <c r="G51" s="343"/>
      <c r="H51" s="343"/>
      <c r="I51" s="343"/>
      <c r="J51" s="343"/>
      <c r="K51" s="343"/>
      <c r="L51" s="383"/>
      <c r="M51" s="388"/>
      <c r="N51" s="894"/>
      <c r="O51" s="343"/>
      <c r="P51" s="343"/>
      <c r="Q51" s="343"/>
      <c r="R51" s="343"/>
      <c r="S51" s="343"/>
      <c r="T51" s="343"/>
      <c r="U51" s="343"/>
      <c r="V51" s="403"/>
      <c r="W51" s="403"/>
      <c r="X51" s="403"/>
      <c r="Y51" s="403"/>
      <c r="Z51" s="403"/>
      <c r="AA51" s="403"/>
    </row>
    <row r="52" spans="3:27" ht="21" customHeight="1">
      <c r="C52" s="1508" t="s">
        <v>808</v>
      </c>
      <c r="D52" s="1504">
        <f>REPORT!K91</f>
        <v>673.14240000000007</v>
      </c>
      <c r="E52" s="1506"/>
      <c r="F52" s="1505"/>
      <c r="G52" s="343"/>
      <c r="H52" s="343"/>
      <c r="I52" s="343"/>
      <c r="J52" s="343"/>
      <c r="K52" s="343"/>
      <c r="L52" s="383"/>
      <c r="M52" s="388"/>
      <c r="N52" s="894"/>
      <c r="O52" s="343"/>
      <c r="P52" s="343"/>
      <c r="Q52" s="343"/>
      <c r="R52" s="343"/>
      <c r="S52" s="343"/>
      <c r="T52" s="343"/>
      <c r="U52" s="343"/>
      <c r="V52" s="403"/>
      <c r="W52" s="403"/>
      <c r="X52" s="403"/>
      <c r="Y52" s="403"/>
      <c r="Z52" s="403"/>
      <c r="AA52" s="403"/>
    </row>
    <row r="53" spans="3:27" ht="21" customHeight="1">
      <c r="C53" s="1509" t="s">
        <v>809</v>
      </c>
      <c r="D53" s="1504">
        <f>REPORT!K92</f>
        <v>426.15417599999995</v>
      </c>
      <c r="E53" s="1506"/>
      <c r="F53" s="1505"/>
      <c r="G53" s="343"/>
      <c r="H53" s="343"/>
      <c r="I53" s="343"/>
      <c r="J53" s="343"/>
      <c r="K53" s="343"/>
      <c r="L53" s="383"/>
      <c r="M53" s="388"/>
      <c r="N53" s="894"/>
      <c r="O53" s="343"/>
      <c r="P53" s="343"/>
      <c r="Q53" s="343"/>
      <c r="R53" s="343"/>
      <c r="S53" s="343"/>
      <c r="T53" s="343"/>
      <c r="U53" s="343"/>
      <c r="V53" s="403"/>
      <c r="W53" s="403"/>
      <c r="X53" s="403"/>
      <c r="Y53" s="403"/>
      <c r="Z53" s="403"/>
      <c r="AA53" s="403"/>
    </row>
    <row r="54" spans="3:27" ht="21" customHeight="1">
      <c r="C54" s="1509" t="str">
        <f>REPORT!C93</f>
        <v>B.8.5 Skylights</v>
      </c>
      <c r="D54" s="1504">
        <f>REPORT!K93</f>
        <v>0</v>
      </c>
      <c r="E54" s="1506"/>
      <c r="F54" s="1505"/>
      <c r="G54" s="343"/>
      <c r="H54" s="343"/>
      <c r="I54" s="343"/>
      <c r="J54" s="343"/>
      <c r="K54" s="343"/>
      <c r="L54" s="383"/>
      <c r="M54" s="388"/>
      <c r="N54" s="894"/>
      <c r="O54" s="343"/>
      <c r="P54" s="343"/>
      <c r="Q54" s="343"/>
      <c r="R54" s="343"/>
      <c r="S54" s="343"/>
      <c r="T54" s="343"/>
      <c r="U54" s="343"/>
      <c r="V54" s="403"/>
      <c r="W54" s="403"/>
      <c r="X54" s="403"/>
      <c r="Y54" s="403"/>
      <c r="Z54" s="403"/>
      <c r="AA54" s="403"/>
    </row>
    <row r="55" spans="3:27" ht="21" customHeight="1">
      <c r="C55" s="393" t="str">
        <f>IF(D55=0, "", "B.9 Walls BG")</f>
        <v/>
      </c>
      <c r="D55" s="412">
        <f>IF(REPORT!K$94&lt;=0, 0)</f>
        <v>0</v>
      </c>
      <c r="E55" s="461" t="str">
        <f>IF(F55=0, "", "B.9 Walls BG")</f>
        <v/>
      </c>
      <c r="F55" s="402">
        <f>IF(REPORT!K$94&lt;=0,(ABS(REPORT!K94)))</f>
        <v>0</v>
      </c>
      <c r="G55" s="343"/>
      <c r="H55" s="343"/>
      <c r="I55" s="343"/>
      <c r="J55" s="343"/>
      <c r="K55" s="343"/>
      <c r="L55" s="383"/>
      <c r="M55" s="388"/>
      <c r="N55" s="894"/>
      <c r="O55" s="343"/>
      <c r="P55" s="343"/>
      <c r="Q55" s="343"/>
      <c r="R55" s="343"/>
      <c r="S55" s="343"/>
      <c r="T55" s="343"/>
      <c r="U55" s="343"/>
      <c r="V55" s="403"/>
      <c r="W55" s="403"/>
      <c r="X55" s="403"/>
      <c r="Y55" s="403"/>
      <c r="Z55" s="403"/>
      <c r="AA55" s="403"/>
    </row>
    <row r="56" spans="3:27" ht="21" customHeight="1">
      <c r="C56" s="393" t="str">
        <f>IF(D56=0, "", "B.10 Floor Slab")</f>
        <v/>
      </c>
      <c r="D56" s="412">
        <f>IF(REPORT!K$95&lt;=0, 0)</f>
        <v>0</v>
      </c>
      <c r="E56" s="393" t="str">
        <f>IF(F56=0, "", "B.10 Floor Slab")</f>
        <v>B.10 Floor Slab</v>
      </c>
      <c r="F56" s="402">
        <f>IF(REPORT!K$95&lt;=0,(ABS(REPORT!K95)))</f>
        <v>5995.8019459459465</v>
      </c>
      <c r="G56" s="343"/>
      <c r="H56" s="343"/>
      <c r="I56" s="343"/>
      <c r="J56" s="343"/>
      <c r="K56" s="343"/>
      <c r="L56" s="383"/>
      <c r="M56" s="388"/>
      <c r="N56" s="894"/>
      <c r="O56" s="343"/>
      <c r="P56" s="343"/>
      <c r="Q56" s="343"/>
      <c r="R56" s="343"/>
      <c r="S56" s="343"/>
      <c r="T56" s="343"/>
      <c r="U56" s="343"/>
      <c r="V56" s="403"/>
      <c r="W56" s="403"/>
      <c r="X56" s="403"/>
      <c r="Y56" s="403"/>
      <c r="Z56" s="403"/>
      <c r="AA56" s="403"/>
    </row>
    <row r="57" spans="3:27" ht="21" customHeight="1">
      <c r="C57" s="393" t="str">
        <f>IF(D57=0,"","G.7 Doors")</f>
        <v/>
      </c>
      <c r="D57" s="409">
        <f>REPORT!K73</f>
        <v>0</v>
      </c>
      <c r="E57" s="392"/>
      <c r="F57" s="434"/>
      <c r="G57" s="343"/>
      <c r="H57" s="343"/>
      <c r="I57" s="343"/>
      <c r="J57" s="343"/>
      <c r="K57" s="343"/>
      <c r="L57" s="383"/>
      <c r="M57" s="897"/>
      <c r="N57" s="894"/>
      <c r="O57" s="343"/>
      <c r="P57" s="343"/>
      <c r="Q57" s="343"/>
      <c r="R57" s="343"/>
      <c r="S57" s="343"/>
      <c r="T57" s="343"/>
      <c r="U57" s="343"/>
      <c r="V57" s="403"/>
      <c r="W57" s="403"/>
      <c r="X57" s="403"/>
      <c r="Y57" s="403"/>
      <c r="Z57" s="403"/>
      <c r="AA57" s="403"/>
    </row>
    <row r="58" spans="3:27" ht="21" customHeight="1">
      <c r="C58" s="393" t="str">
        <f>IF(D58=0,"","G.8.1 Windows N")</f>
        <v/>
      </c>
      <c r="D58" s="409">
        <f>REPORT!K74</f>
        <v>0</v>
      </c>
      <c r="E58" s="392"/>
      <c r="F58" s="434"/>
      <c r="G58" s="343"/>
      <c r="H58" s="343"/>
      <c r="I58" s="343"/>
      <c r="J58" s="343"/>
      <c r="K58" s="343"/>
      <c r="L58" s="383"/>
      <c r="M58" s="388"/>
      <c r="N58" s="894"/>
      <c r="O58" s="343"/>
      <c r="P58" s="343"/>
      <c r="Q58" s="343"/>
      <c r="R58" s="343"/>
      <c r="S58" s="343"/>
      <c r="T58" s="343"/>
      <c r="U58" s="343"/>
      <c r="V58" s="403"/>
      <c r="W58" s="403"/>
      <c r="X58" s="403"/>
      <c r="Y58" s="403"/>
      <c r="Z58" s="403"/>
      <c r="AA58" s="403"/>
    </row>
    <row r="59" spans="3:27" ht="21" customHeight="1">
      <c r="C59" s="393" t="str">
        <f>IF(D59=0,"","G.8.2 Windows E")</f>
        <v/>
      </c>
      <c r="D59" s="409">
        <f>REPORT!K75</f>
        <v>0</v>
      </c>
      <c r="E59" s="394"/>
      <c r="F59" s="435"/>
      <c r="G59" s="343"/>
      <c r="H59" s="343"/>
      <c r="I59" s="343"/>
      <c r="J59" s="343"/>
      <c r="L59" s="383"/>
      <c r="M59" s="388"/>
      <c r="N59" s="894"/>
      <c r="O59" s="343"/>
      <c r="P59" s="343"/>
      <c r="Q59" s="343"/>
      <c r="R59" s="343"/>
      <c r="S59" s="343"/>
      <c r="T59" s="343"/>
      <c r="U59" s="343"/>
      <c r="V59" s="403"/>
      <c r="W59" s="403"/>
      <c r="X59" s="403"/>
      <c r="Y59" s="403"/>
      <c r="Z59" s="403"/>
      <c r="AA59" s="403"/>
    </row>
    <row r="60" spans="3:27" ht="21" customHeight="1">
      <c r="C60" s="393" t="str">
        <f>IF(D60=0,"","G.8.3 Windows S")</f>
        <v/>
      </c>
      <c r="D60" s="409">
        <f>REPORT!K76</f>
        <v>0</v>
      </c>
      <c r="E60" s="395"/>
      <c r="F60" s="436"/>
      <c r="G60" s="343"/>
      <c r="H60" s="343"/>
      <c r="I60" s="343"/>
      <c r="J60" s="343"/>
      <c r="K60" s="343"/>
      <c r="L60" s="893"/>
      <c r="M60" s="898"/>
      <c r="N60" s="893"/>
      <c r="O60" s="343"/>
      <c r="P60" s="343"/>
      <c r="Q60" s="343"/>
      <c r="R60" s="343"/>
      <c r="S60" s="343"/>
      <c r="T60" s="343"/>
      <c r="U60" s="343"/>
      <c r="V60" s="403"/>
      <c r="W60" s="403"/>
      <c r="X60" s="403"/>
      <c r="Y60" s="403"/>
      <c r="Z60" s="403"/>
      <c r="AA60" s="403"/>
    </row>
    <row r="61" spans="3:27" ht="21" customHeight="1">
      <c r="C61" s="393" t="str">
        <f>IF(D61=0,"","G.8.4 Windows W")</f>
        <v>G.8.4 Windows W</v>
      </c>
      <c r="D61" s="409">
        <f>REPORT!K77</f>
        <v>130.15337999999997</v>
      </c>
      <c r="E61" s="396"/>
      <c r="F61" s="397"/>
      <c r="G61" s="343"/>
      <c r="H61" s="343"/>
      <c r="I61" s="343"/>
      <c r="J61" s="343"/>
      <c r="K61" s="378"/>
      <c r="L61" s="369"/>
      <c r="M61" s="369"/>
      <c r="N61" s="369"/>
      <c r="O61" s="343"/>
      <c r="P61" s="343"/>
      <c r="Q61" s="343"/>
      <c r="R61" s="343"/>
      <c r="S61" s="343"/>
      <c r="T61" s="343"/>
      <c r="U61" s="343"/>
      <c r="V61" s="403"/>
      <c r="W61" s="403"/>
      <c r="X61" s="403"/>
      <c r="Y61" s="403"/>
      <c r="Z61" s="403"/>
      <c r="AA61" s="403"/>
    </row>
    <row r="62" spans="3:27" ht="21" customHeight="1">
      <c r="C62" s="393" t="str">
        <f>IF(D62=0,"",REPORT!C78)</f>
        <v/>
      </c>
      <c r="D62" s="409">
        <f>REPORT!K78</f>
        <v>0</v>
      </c>
      <c r="E62" s="396"/>
      <c r="F62" s="397"/>
      <c r="G62" s="343"/>
      <c r="H62" s="343"/>
      <c r="I62" s="343"/>
      <c r="J62" s="343"/>
      <c r="K62" s="378"/>
      <c r="L62" s="369"/>
      <c r="M62" s="369"/>
      <c r="N62" s="369"/>
      <c r="O62" s="343"/>
      <c r="P62" s="343"/>
      <c r="Q62" s="343"/>
      <c r="R62" s="343"/>
      <c r="S62" s="343"/>
      <c r="T62" s="343"/>
      <c r="U62" s="343"/>
      <c r="V62" s="403"/>
      <c r="W62" s="403"/>
      <c r="X62" s="403"/>
      <c r="Y62" s="403"/>
      <c r="Z62" s="403"/>
      <c r="AA62" s="403"/>
    </row>
    <row r="63" spans="3:27" ht="21" customHeight="1">
      <c r="C63" s="443" t="s">
        <v>857</v>
      </c>
      <c r="D63" s="412">
        <f>REPORT!K103</f>
        <v>987.60083793628723</v>
      </c>
      <c r="E63" s="1501" t="str">
        <f>REPORT!C124</f>
        <v>V.4.1 Ventilation Free Cooling/Vent Capacity</v>
      </c>
      <c r="F63" s="397">
        <f>REPORT!H124</f>
        <v>41469.805440000004</v>
      </c>
      <c r="G63" s="343"/>
      <c r="H63" s="343"/>
      <c r="I63" s="343"/>
      <c r="J63" s="343"/>
      <c r="K63" s="378"/>
      <c r="L63" s="403"/>
      <c r="M63" s="403"/>
      <c r="N63" s="403"/>
      <c r="O63" s="403"/>
      <c r="P63" s="403"/>
      <c r="Q63" s="403"/>
      <c r="R63" s="403"/>
      <c r="S63" s="403"/>
      <c r="T63" s="403"/>
      <c r="U63" s="403"/>
      <c r="V63" s="403"/>
      <c r="W63" s="403"/>
      <c r="X63" s="403"/>
      <c r="Y63" s="403"/>
      <c r="Z63" s="403"/>
      <c r="AA63" s="403"/>
    </row>
    <row r="64" spans="3:27" ht="21" customHeight="1">
      <c r="C64" s="444" t="s">
        <v>858</v>
      </c>
      <c r="D64" s="412">
        <f>REPORT!D122</f>
        <v>30257.36908356542</v>
      </c>
      <c r="E64" s="396" t="s">
        <v>1882</v>
      </c>
      <c r="F64" s="397">
        <f>REPORT!D123</f>
        <v>26929.058484373225</v>
      </c>
      <c r="G64" s="343"/>
      <c r="H64" s="343"/>
      <c r="I64" s="343"/>
      <c r="J64" s="343"/>
      <c r="K64" s="378"/>
      <c r="L64" s="403"/>
      <c r="M64" s="403"/>
      <c r="N64" s="403"/>
      <c r="O64" s="403"/>
      <c r="P64" s="403"/>
      <c r="Q64" s="403"/>
      <c r="R64" s="403"/>
      <c r="S64" s="403"/>
      <c r="T64" s="403"/>
      <c r="U64" s="403"/>
      <c r="V64" s="403"/>
      <c r="W64" s="403"/>
      <c r="X64" s="403"/>
      <c r="Y64" s="403"/>
      <c r="Z64" s="403"/>
      <c r="AA64" s="403"/>
    </row>
    <row r="65" spans="3:27" ht="21" customHeight="1">
      <c r="C65" s="463" t="str">
        <f>IF(D65&lt;=0, "", "B.12 TB Penalty")</f>
        <v/>
      </c>
      <c r="D65" s="412">
        <f>IF(REPORT!K$97&lt;=0, 0, REPORT!K$97)</f>
        <v>0</v>
      </c>
      <c r="E65" s="1503" t="str">
        <f>IF(D65&lt;=0, "B.12 TB Penalty", "")</f>
        <v>B.12 TB Penalty</v>
      </c>
      <c r="F65" s="397">
        <f>IF(REPORT!K$97&lt;=0, ABS(REPORT!K$97), 0)</f>
        <v>658.71387581076669</v>
      </c>
      <c r="G65" s="343"/>
      <c r="H65" s="343"/>
      <c r="I65" s="343"/>
      <c r="J65" s="343"/>
      <c r="L65" s="403"/>
      <c r="M65" s="403"/>
      <c r="N65" s="403"/>
      <c r="O65" s="403"/>
      <c r="P65" s="403"/>
      <c r="Q65" s="403"/>
      <c r="R65" s="403"/>
      <c r="S65" s="403"/>
      <c r="T65" s="403"/>
      <c r="U65" s="403"/>
      <c r="V65" s="403"/>
      <c r="W65" s="403"/>
      <c r="X65" s="403"/>
      <c r="Y65" s="403"/>
      <c r="Z65" s="403"/>
      <c r="AA65" s="403"/>
    </row>
    <row r="66" spans="3:27" ht="21" customHeight="1">
      <c r="C66" s="445" t="s">
        <v>859</v>
      </c>
      <c r="D66" s="1552">
        <f>REPORT!K64</f>
        <v>21269.925976319999</v>
      </c>
      <c r="F66" s="397"/>
      <c r="G66" s="343"/>
      <c r="H66" s="343"/>
      <c r="I66" s="343"/>
      <c r="J66" s="343"/>
      <c r="K66" s="378"/>
      <c r="L66" s="403"/>
      <c r="M66" s="403"/>
      <c r="N66" s="403"/>
      <c r="O66" s="403"/>
      <c r="P66" s="403"/>
      <c r="Q66" s="403"/>
      <c r="R66" s="403"/>
      <c r="S66" s="403"/>
      <c r="T66" s="403"/>
      <c r="U66" s="403"/>
      <c r="V66" s="403"/>
      <c r="W66" s="403"/>
      <c r="X66" s="403"/>
      <c r="Y66" s="403"/>
      <c r="Z66" s="403"/>
      <c r="AA66" s="403"/>
    </row>
    <row r="67" spans="3:27" ht="21" customHeight="1">
      <c r="C67" s="1421" t="str">
        <f>REPORT!C70</f>
        <v>G.2 Plug/Light/Eqpt. Subtotals</v>
      </c>
      <c r="D67" s="427">
        <f>REPORT!K70</f>
        <v>27744.768</v>
      </c>
      <c r="E67" s="1542"/>
      <c r="F67" s="397"/>
      <c r="G67" s="343"/>
      <c r="H67" s="343"/>
      <c r="I67" s="343"/>
      <c r="J67" s="343"/>
      <c r="K67" s="378"/>
      <c r="L67" s="403"/>
      <c r="M67" s="403"/>
      <c r="N67" s="403"/>
      <c r="O67" s="403"/>
      <c r="P67" s="403"/>
      <c r="Q67" s="403"/>
      <c r="R67" s="403"/>
      <c r="S67" s="403"/>
      <c r="T67" s="403"/>
      <c r="U67" s="403"/>
      <c r="V67" s="403"/>
      <c r="W67" s="403"/>
      <c r="X67" s="403"/>
      <c r="Y67" s="403"/>
      <c r="Z67" s="403"/>
      <c r="AA67" s="403"/>
    </row>
    <row r="68" spans="3:27" ht="21" customHeight="1" thickBot="1">
      <c r="C68" s="1692" t="str">
        <f>REPORT!C69</f>
        <v>W.1.3 DHW System Losses</v>
      </c>
      <c r="D68" s="401">
        <f>REPORT!K69</f>
        <v>0</v>
      </c>
      <c r="E68" s="1541"/>
      <c r="F68" s="1543"/>
      <c r="G68" s="343"/>
      <c r="H68" s="343"/>
      <c r="I68" s="343"/>
      <c r="J68" s="343"/>
      <c r="K68" s="378"/>
      <c r="L68" s="403"/>
      <c r="M68" s="403"/>
      <c r="N68" s="403"/>
      <c r="O68" s="403"/>
      <c r="P68" s="403"/>
      <c r="Q68" s="403"/>
      <c r="R68" s="403"/>
      <c r="S68" s="403"/>
      <c r="T68" s="403"/>
      <c r="U68" s="403"/>
      <c r="V68" s="403"/>
      <c r="W68" s="403"/>
      <c r="X68" s="403"/>
      <c r="Y68" s="403"/>
      <c r="Z68" s="403"/>
      <c r="AA68" s="403"/>
    </row>
    <row r="69" spans="3:27" ht="21" customHeight="1">
      <c r="C69" s="391" t="s">
        <v>627</v>
      </c>
      <c r="D69" s="390">
        <f>SUM(D46:D68)</f>
        <v>83092.049844713809</v>
      </c>
      <c r="E69" s="343"/>
      <c r="F69" s="437">
        <f>SUM(F46:F68)</f>
        <v>83092.049844713823</v>
      </c>
      <c r="G69" s="343"/>
      <c r="H69" s="343"/>
      <c r="I69" s="343"/>
      <c r="J69" s="343"/>
      <c r="K69" s="378"/>
      <c r="L69" s="403"/>
      <c r="M69" s="403"/>
      <c r="N69" s="403"/>
      <c r="O69" s="403"/>
      <c r="P69" s="403"/>
      <c r="Q69" s="403"/>
      <c r="R69" s="403"/>
      <c r="S69" s="403"/>
      <c r="T69" s="403"/>
      <c r="U69" s="403"/>
      <c r="V69" s="403"/>
      <c r="W69" s="403"/>
      <c r="X69" s="403"/>
      <c r="Y69" s="403"/>
      <c r="Z69" s="403"/>
      <c r="AA69" s="403"/>
    </row>
    <row r="70" spans="3:27" ht="20">
      <c r="C70" s="1551"/>
      <c r="D70" s="404"/>
      <c r="E70" s="1396"/>
      <c r="F70" s="904"/>
      <c r="G70" s="343"/>
      <c r="H70" s="343"/>
      <c r="I70" s="343"/>
      <c r="J70" s="343"/>
      <c r="K70" s="378"/>
      <c r="L70" s="403"/>
      <c r="M70" s="403"/>
      <c r="N70" s="403"/>
      <c r="O70" s="403"/>
      <c r="P70" s="403"/>
      <c r="Q70" s="403"/>
      <c r="R70" s="403"/>
      <c r="S70" s="403"/>
      <c r="T70" s="403"/>
      <c r="U70" s="403"/>
      <c r="V70" s="403"/>
      <c r="W70" s="403"/>
      <c r="X70" s="403"/>
      <c r="Y70" s="403"/>
      <c r="Z70" s="403"/>
      <c r="AA70" s="403"/>
    </row>
    <row r="71" spans="3:27" ht="20">
      <c r="C71" s="441"/>
      <c r="D71" s="376"/>
      <c r="E71" s="1513"/>
      <c r="F71" s="437"/>
      <c r="G71" s="343"/>
      <c r="H71" s="343"/>
      <c r="I71" s="343"/>
      <c r="J71" s="343"/>
      <c r="K71" s="378"/>
      <c r="L71" s="403"/>
      <c r="M71" s="403"/>
      <c r="N71" s="403"/>
      <c r="O71" s="403"/>
      <c r="P71" s="403"/>
      <c r="Q71" s="403"/>
      <c r="R71" s="403"/>
      <c r="S71" s="403"/>
      <c r="T71" s="403"/>
      <c r="U71" s="403"/>
      <c r="V71" s="403"/>
      <c r="W71" s="403"/>
      <c r="X71" s="403"/>
      <c r="Y71" s="403"/>
      <c r="Z71" s="403"/>
      <c r="AA71" s="403"/>
    </row>
    <row r="72" spans="3:27" ht="20">
      <c r="C72" s="916"/>
      <c r="D72" s="377"/>
      <c r="E72" s="344"/>
      <c r="F72" s="438"/>
      <c r="G72" s="343"/>
      <c r="H72" s="343"/>
      <c r="I72" s="343"/>
      <c r="J72" s="343"/>
      <c r="K72" s="378"/>
      <c r="L72" s="403"/>
      <c r="M72" s="403"/>
      <c r="N72" s="403"/>
      <c r="O72" s="403"/>
      <c r="P72" s="403"/>
      <c r="Q72" s="403"/>
      <c r="R72" s="403"/>
      <c r="S72" s="403"/>
      <c r="T72" s="403"/>
      <c r="U72" s="403"/>
      <c r="V72" s="403"/>
      <c r="W72" s="403"/>
      <c r="X72" s="403"/>
      <c r="Y72" s="403"/>
      <c r="Z72" s="403"/>
      <c r="AA72" s="403"/>
    </row>
    <row r="73" spans="3:27" ht="20">
      <c r="C73" s="1512" t="s">
        <v>1899</v>
      </c>
      <c r="D73" s="404"/>
      <c r="E73" s="344"/>
      <c r="F73" s="438"/>
      <c r="G73" s="343"/>
      <c r="H73" s="343"/>
      <c r="I73" s="343"/>
      <c r="J73" s="343"/>
      <c r="K73" s="378"/>
      <c r="L73" s="403"/>
      <c r="M73" s="403"/>
      <c r="N73" s="403"/>
      <c r="O73" s="403"/>
      <c r="P73" s="403"/>
      <c r="Q73" s="403"/>
      <c r="R73" s="403"/>
      <c r="S73" s="403"/>
      <c r="T73" s="403"/>
      <c r="U73" s="403"/>
      <c r="V73" s="403"/>
      <c r="W73" s="403"/>
      <c r="X73" s="403"/>
      <c r="Y73" s="403"/>
      <c r="Z73" s="403"/>
      <c r="AA73" s="403"/>
    </row>
    <row r="74" spans="3:27" ht="20">
      <c r="C74" s="369"/>
      <c r="D74" s="376"/>
      <c r="E74" s="369"/>
      <c r="F74" s="382"/>
      <c r="G74" s="343"/>
      <c r="H74" s="343"/>
      <c r="I74" s="343"/>
      <c r="J74" s="343"/>
      <c r="K74" s="378"/>
      <c r="L74" s="403"/>
      <c r="M74" s="403"/>
      <c r="N74" s="403"/>
      <c r="O74" s="403"/>
      <c r="P74" s="403"/>
      <c r="Q74" s="403"/>
      <c r="R74" s="403"/>
      <c r="S74" s="403"/>
      <c r="T74" s="403"/>
      <c r="U74" s="403"/>
      <c r="V74" s="403"/>
      <c r="W74" s="403"/>
      <c r="X74" s="403"/>
      <c r="Y74" s="403"/>
      <c r="Z74" s="403"/>
      <c r="AA74" s="403"/>
    </row>
    <row r="75" spans="3:27">
      <c r="C75" s="442"/>
      <c r="D75" s="378"/>
      <c r="E75" s="383"/>
      <c r="F75" s="439"/>
      <c r="G75" s="343"/>
      <c r="H75" s="343"/>
      <c r="I75" s="343"/>
      <c r="J75" s="343"/>
      <c r="K75" s="378"/>
      <c r="L75" s="403"/>
      <c r="M75" s="403"/>
      <c r="N75" s="403"/>
      <c r="O75" s="403"/>
      <c r="P75" s="403"/>
      <c r="Q75" s="403"/>
      <c r="R75" s="403"/>
      <c r="S75" s="403"/>
      <c r="T75" s="403"/>
      <c r="U75" s="403"/>
      <c r="V75" s="403"/>
      <c r="W75" s="403"/>
      <c r="X75" s="403"/>
      <c r="Y75" s="403"/>
      <c r="Z75" s="403"/>
      <c r="AA75" s="403"/>
    </row>
    <row r="76" spans="3:27">
      <c r="C76" s="442"/>
      <c r="D76" s="378"/>
      <c r="E76" s="383"/>
      <c r="F76" s="439"/>
      <c r="G76" s="343"/>
      <c r="H76" s="343"/>
      <c r="I76" s="343"/>
      <c r="J76" s="343"/>
      <c r="K76" s="378"/>
      <c r="L76" s="403"/>
      <c r="M76" s="403"/>
      <c r="N76" s="403"/>
      <c r="O76" s="403"/>
      <c r="P76" s="403"/>
      <c r="Q76" s="403"/>
      <c r="R76" s="403"/>
      <c r="S76" s="403"/>
      <c r="T76" s="403"/>
      <c r="U76" s="403"/>
      <c r="V76" s="403"/>
      <c r="W76" s="403"/>
      <c r="X76" s="403"/>
      <c r="Y76" s="403"/>
      <c r="Z76" s="403"/>
      <c r="AA76" s="403"/>
    </row>
    <row r="77" spans="3:27">
      <c r="C77" s="442"/>
      <c r="D77" s="378"/>
      <c r="E77" s="383"/>
      <c r="F77" s="439"/>
      <c r="G77" s="343"/>
      <c r="H77" s="343"/>
      <c r="I77" s="343"/>
      <c r="J77" s="343"/>
      <c r="K77" s="378"/>
      <c r="L77" s="403"/>
      <c r="M77" s="403"/>
      <c r="N77" s="403"/>
      <c r="O77" s="403"/>
      <c r="P77" s="403"/>
      <c r="Q77" s="403"/>
      <c r="R77" s="403"/>
      <c r="S77" s="403"/>
      <c r="T77" s="403"/>
      <c r="U77" s="403"/>
      <c r="V77" s="403"/>
      <c r="W77" s="403"/>
      <c r="X77" s="403"/>
      <c r="Y77" s="403"/>
      <c r="Z77" s="403"/>
      <c r="AA77" s="403"/>
    </row>
    <row r="78" spans="3:27">
      <c r="C78" s="442"/>
      <c r="D78" s="378"/>
      <c r="E78" s="383"/>
      <c r="F78" s="439"/>
      <c r="G78" s="343"/>
      <c r="H78" s="343"/>
      <c r="I78" s="343"/>
      <c r="J78" s="343"/>
      <c r="K78" s="378"/>
      <c r="L78" s="403"/>
      <c r="M78" s="403"/>
      <c r="N78" s="403"/>
      <c r="O78" s="403"/>
      <c r="P78" s="403"/>
      <c r="Q78" s="403"/>
      <c r="R78" s="403"/>
      <c r="S78" s="403"/>
      <c r="T78" s="403"/>
      <c r="U78" s="403"/>
      <c r="V78" s="403"/>
      <c r="W78" s="403"/>
      <c r="X78" s="403"/>
      <c r="Y78" s="403"/>
      <c r="Z78" s="403"/>
      <c r="AA78" s="403"/>
    </row>
    <row r="79" spans="3:27">
      <c r="C79" s="442"/>
      <c r="D79" s="378"/>
      <c r="E79" s="383"/>
      <c r="F79" s="439"/>
      <c r="G79" s="343"/>
      <c r="H79" s="343"/>
      <c r="I79" s="343"/>
      <c r="J79" s="343"/>
      <c r="K79" s="378"/>
      <c r="L79" s="403"/>
      <c r="M79" s="403"/>
      <c r="N79" s="403"/>
      <c r="O79" s="403"/>
      <c r="P79" s="403"/>
      <c r="Q79" s="403"/>
      <c r="R79" s="403"/>
      <c r="S79" s="403"/>
      <c r="T79" s="403"/>
      <c r="U79" s="403"/>
      <c r="V79" s="403"/>
      <c r="W79" s="403"/>
      <c r="X79" s="403"/>
      <c r="Y79" s="403"/>
      <c r="Z79" s="403"/>
      <c r="AA79" s="403"/>
    </row>
    <row r="80" spans="3:27">
      <c r="C80" s="442"/>
      <c r="D80" s="378"/>
      <c r="E80" s="383"/>
      <c r="F80" s="439"/>
      <c r="G80" s="343"/>
      <c r="H80" s="343"/>
      <c r="I80" s="343"/>
      <c r="J80" s="343"/>
      <c r="K80" s="378"/>
      <c r="L80" s="403"/>
      <c r="M80" s="403"/>
      <c r="N80" s="403"/>
      <c r="O80" s="403"/>
      <c r="P80" s="403"/>
      <c r="Q80" s="403"/>
      <c r="R80" s="403"/>
      <c r="S80" s="403"/>
      <c r="T80" s="403"/>
      <c r="U80" s="403"/>
      <c r="V80" s="403"/>
      <c r="W80" s="403"/>
      <c r="X80" s="403"/>
      <c r="Y80" s="403"/>
      <c r="Z80" s="403"/>
      <c r="AA80" s="403"/>
    </row>
    <row r="81" spans="3:27">
      <c r="C81" s="442"/>
      <c r="D81" s="378"/>
      <c r="E81" s="383"/>
      <c r="F81" s="439"/>
      <c r="G81" s="343"/>
      <c r="H81" s="343"/>
      <c r="I81" s="343"/>
      <c r="J81" s="343"/>
      <c r="K81" s="378"/>
      <c r="L81" s="403"/>
      <c r="M81" s="403"/>
      <c r="N81" s="403"/>
      <c r="O81" s="403"/>
      <c r="P81" s="403"/>
      <c r="Q81" s="403"/>
      <c r="R81" s="403"/>
      <c r="S81" s="403"/>
      <c r="T81" s="403"/>
      <c r="U81" s="403"/>
      <c r="V81" s="403"/>
      <c r="W81" s="403"/>
      <c r="X81" s="403"/>
      <c r="Y81" s="403"/>
      <c r="Z81" s="403"/>
      <c r="AA81" s="403"/>
    </row>
    <row r="82" spans="3:27">
      <c r="C82" s="442"/>
      <c r="D82" s="378"/>
      <c r="E82" s="383"/>
      <c r="F82" s="439"/>
      <c r="G82" s="343"/>
      <c r="H82" s="343"/>
      <c r="I82" s="343"/>
      <c r="J82" s="343"/>
      <c r="K82" s="378"/>
      <c r="L82" s="403"/>
      <c r="M82" s="403"/>
      <c r="N82" s="403"/>
      <c r="O82" s="403"/>
      <c r="P82" s="403"/>
      <c r="Q82" s="403"/>
      <c r="R82" s="403"/>
      <c r="S82" s="403"/>
      <c r="T82" s="403"/>
      <c r="U82" s="403"/>
      <c r="V82" s="403"/>
      <c r="W82" s="403"/>
      <c r="X82" s="403"/>
      <c r="Y82" s="403"/>
      <c r="Z82" s="403"/>
      <c r="AA82" s="403"/>
    </row>
    <row r="83" spans="3:27">
      <c r="C83" s="442"/>
      <c r="D83" s="378"/>
      <c r="E83" s="383"/>
      <c r="F83" s="439"/>
      <c r="G83" s="343"/>
      <c r="H83" s="343"/>
      <c r="I83" s="343"/>
      <c r="J83" s="343"/>
      <c r="K83" s="378"/>
      <c r="L83" s="403"/>
      <c r="M83" s="403"/>
      <c r="N83" s="403"/>
      <c r="O83" s="403"/>
      <c r="P83" s="403"/>
      <c r="Q83" s="403"/>
      <c r="R83" s="403"/>
      <c r="S83" s="403"/>
      <c r="T83" s="403"/>
      <c r="U83" s="403"/>
      <c r="V83" s="403"/>
      <c r="W83" s="403"/>
      <c r="X83" s="403"/>
      <c r="Y83" s="403"/>
      <c r="Z83" s="403"/>
      <c r="AA83" s="403"/>
    </row>
    <row r="84" spans="3:27">
      <c r="C84" s="442"/>
      <c r="D84" s="378"/>
      <c r="E84" s="383"/>
      <c r="F84" s="439"/>
      <c r="G84" s="343"/>
      <c r="H84" s="343"/>
      <c r="I84" s="343"/>
      <c r="J84" s="343"/>
      <c r="K84" s="378"/>
      <c r="L84" s="403"/>
      <c r="M84" s="403"/>
      <c r="N84" s="403"/>
      <c r="O84" s="403"/>
      <c r="P84" s="403"/>
      <c r="Q84" s="403"/>
      <c r="R84" s="403"/>
      <c r="S84" s="403"/>
      <c r="T84" s="403"/>
      <c r="U84" s="403"/>
      <c r="V84" s="403"/>
      <c r="W84" s="403"/>
      <c r="X84" s="403"/>
      <c r="Y84" s="403"/>
      <c r="Z84" s="403"/>
      <c r="AA84" s="403"/>
    </row>
    <row r="85" spans="3:27">
      <c r="C85" s="442"/>
      <c r="D85" s="378"/>
      <c r="E85" s="383"/>
      <c r="F85" s="439"/>
      <c r="G85" s="343"/>
      <c r="H85" s="343"/>
      <c r="I85" s="343"/>
      <c r="J85" s="343"/>
      <c r="K85" s="378"/>
      <c r="L85" s="403"/>
      <c r="M85" s="403"/>
      <c r="N85" s="403"/>
      <c r="O85" s="403"/>
      <c r="P85" s="403"/>
      <c r="Q85" s="403"/>
      <c r="R85" s="403"/>
      <c r="S85" s="403"/>
      <c r="T85" s="403"/>
      <c r="U85" s="403"/>
      <c r="V85" s="403"/>
      <c r="W85" s="403"/>
      <c r="X85" s="403"/>
      <c r="Y85" s="403"/>
      <c r="Z85" s="403"/>
      <c r="AA85" s="403"/>
    </row>
    <row r="86" spans="3:27">
      <c r="C86" s="442"/>
      <c r="D86" s="378"/>
      <c r="E86" s="383"/>
      <c r="F86" s="439"/>
      <c r="G86" s="343"/>
      <c r="H86" s="343"/>
      <c r="I86" s="343"/>
      <c r="J86" s="343"/>
      <c r="K86" s="378"/>
      <c r="L86" s="403"/>
      <c r="M86" s="403"/>
      <c r="N86" s="403"/>
      <c r="O86" s="403"/>
      <c r="P86" s="403"/>
      <c r="Q86" s="403"/>
      <c r="R86" s="403"/>
      <c r="S86" s="403"/>
      <c r="T86" s="403"/>
      <c r="U86" s="403"/>
      <c r="V86" s="403"/>
      <c r="W86" s="403"/>
      <c r="X86" s="403"/>
      <c r="Y86" s="403"/>
      <c r="Z86" s="403"/>
      <c r="AA86" s="403"/>
    </row>
    <row r="87" spans="3:27">
      <c r="C87" s="442"/>
      <c r="D87" s="378"/>
      <c r="E87" s="383"/>
      <c r="F87" s="439"/>
      <c r="G87" s="343"/>
      <c r="H87" s="343"/>
      <c r="I87" s="343"/>
      <c r="J87" s="403"/>
      <c r="K87" s="404"/>
      <c r="L87" s="403"/>
      <c r="M87" s="403"/>
      <c r="N87" s="403"/>
      <c r="O87" s="403"/>
      <c r="P87" s="403"/>
      <c r="Q87" s="403"/>
      <c r="R87" s="403"/>
      <c r="S87" s="403"/>
      <c r="T87" s="403"/>
      <c r="U87" s="403"/>
      <c r="V87" s="403"/>
      <c r="W87" s="403"/>
      <c r="X87" s="403"/>
      <c r="Y87" s="403"/>
      <c r="Z87" s="403"/>
      <c r="AA87" s="403"/>
    </row>
    <row r="88" spans="3:27">
      <c r="C88" s="442"/>
      <c r="D88" s="378"/>
      <c r="E88" s="383"/>
      <c r="F88" s="439"/>
      <c r="G88" s="343"/>
      <c r="H88" s="343"/>
      <c r="I88" s="343"/>
      <c r="J88" s="403"/>
      <c r="K88" s="404"/>
      <c r="L88" s="403"/>
      <c r="M88" s="403"/>
      <c r="N88" s="403"/>
      <c r="O88" s="403"/>
      <c r="P88" s="403"/>
      <c r="Q88" s="403"/>
      <c r="R88" s="403"/>
      <c r="S88" s="403"/>
      <c r="T88" s="403"/>
      <c r="U88" s="403"/>
      <c r="V88" s="403"/>
      <c r="W88" s="403"/>
      <c r="X88" s="403"/>
      <c r="Y88" s="403"/>
      <c r="Z88" s="403"/>
      <c r="AA88" s="403"/>
    </row>
    <row r="89" spans="3:27">
      <c r="C89" s="442"/>
      <c r="D89" s="378"/>
      <c r="E89" s="383"/>
      <c r="F89" s="439"/>
      <c r="G89" s="343"/>
      <c r="H89" s="343"/>
      <c r="I89" s="343"/>
      <c r="J89" s="403"/>
      <c r="K89" s="404"/>
      <c r="L89" s="403"/>
      <c r="M89" s="403"/>
      <c r="N89" s="403"/>
      <c r="O89" s="403"/>
      <c r="P89" s="403"/>
      <c r="Q89" s="403"/>
      <c r="R89" s="403"/>
      <c r="S89" s="403"/>
      <c r="T89" s="403"/>
      <c r="U89" s="403"/>
      <c r="V89" s="403"/>
      <c r="W89" s="403"/>
      <c r="X89" s="403"/>
      <c r="Y89" s="403"/>
      <c r="Z89" s="403"/>
      <c r="AA89" s="403"/>
    </row>
    <row r="90" spans="3:27">
      <c r="C90" s="442"/>
      <c r="D90" s="378"/>
      <c r="E90" s="383"/>
      <c r="F90" s="439"/>
      <c r="G90" s="343"/>
      <c r="H90" s="343"/>
      <c r="I90" s="403"/>
      <c r="K90" s="404"/>
      <c r="L90" s="403"/>
      <c r="M90" s="403"/>
      <c r="N90" s="403"/>
      <c r="O90" s="403"/>
      <c r="P90" s="403"/>
      <c r="Q90" s="403"/>
      <c r="R90" s="403"/>
      <c r="S90" s="403"/>
      <c r="T90" s="403"/>
      <c r="U90" s="403"/>
      <c r="V90" s="403"/>
      <c r="W90" s="403"/>
      <c r="X90" s="403"/>
      <c r="Y90" s="403"/>
      <c r="Z90" s="403"/>
      <c r="AA90" s="403"/>
    </row>
    <row r="91" spans="3:27">
      <c r="C91" s="442"/>
      <c r="D91" s="378"/>
      <c r="E91" s="383"/>
      <c r="F91" s="439"/>
      <c r="G91" s="343"/>
      <c r="H91" s="343"/>
      <c r="J91" s="403"/>
      <c r="K91" s="404"/>
      <c r="L91" s="403"/>
      <c r="M91" s="403"/>
      <c r="N91" s="403"/>
      <c r="O91" s="403"/>
      <c r="P91" s="403"/>
      <c r="Q91" s="403"/>
      <c r="R91" s="403"/>
      <c r="S91" s="403"/>
      <c r="T91" s="403"/>
      <c r="U91" s="403"/>
      <c r="V91" s="403"/>
      <c r="W91" s="403"/>
      <c r="X91" s="403"/>
      <c r="Y91" s="403"/>
      <c r="Z91" s="403"/>
      <c r="AA91" s="403"/>
    </row>
    <row r="92" spans="3:27">
      <c r="C92" s="442"/>
      <c r="D92" s="378"/>
      <c r="E92" s="383"/>
      <c r="F92" s="439"/>
      <c r="G92" s="343"/>
      <c r="H92" s="343"/>
      <c r="I92" s="343"/>
      <c r="J92" s="403"/>
      <c r="K92" s="404"/>
      <c r="L92" s="403"/>
      <c r="M92" s="403"/>
      <c r="N92" s="403"/>
      <c r="O92" s="403"/>
      <c r="P92" s="403"/>
      <c r="Q92" s="403"/>
      <c r="R92" s="403"/>
      <c r="S92" s="403"/>
      <c r="T92" s="403"/>
      <c r="U92" s="403"/>
      <c r="V92" s="403"/>
      <c r="W92" s="403"/>
      <c r="X92" s="403"/>
      <c r="Y92" s="403"/>
      <c r="Z92" s="403"/>
      <c r="AA92" s="403"/>
    </row>
    <row r="93" spans="3:27">
      <c r="C93" s="442"/>
      <c r="D93" s="378"/>
      <c r="E93" s="383"/>
      <c r="F93" s="439"/>
      <c r="G93" s="343"/>
      <c r="H93" s="343"/>
      <c r="I93" s="343"/>
      <c r="J93" s="403"/>
      <c r="K93" s="404"/>
      <c r="L93" s="403"/>
      <c r="M93" s="403"/>
      <c r="N93" s="403"/>
      <c r="O93" s="403"/>
      <c r="P93" s="403"/>
      <c r="Q93" s="403"/>
      <c r="R93" s="403"/>
      <c r="S93" s="403"/>
      <c r="T93" s="403"/>
      <c r="U93" s="403"/>
      <c r="V93" s="403"/>
      <c r="W93" s="403"/>
      <c r="X93" s="403"/>
      <c r="Y93" s="403"/>
      <c r="Z93" s="403"/>
      <c r="AA93" s="403"/>
    </row>
    <row r="94" spans="3:27">
      <c r="C94" s="442"/>
      <c r="D94" s="378"/>
      <c r="E94" s="383"/>
      <c r="F94" s="439"/>
      <c r="G94" s="343"/>
      <c r="H94" s="343"/>
      <c r="I94" s="343"/>
      <c r="J94" s="403"/>
      <c r="K94" s="404"/>
      <c r="L94" s="403"/>
      <c r="M94" s="403"/>
      <c r="N94" s="403"/>
      <c r="O94" s="403"/>
      <c r="P94" s="403"/>
      <c r="Q94" s="403"/>
      <c r="R94" s="403"/>
      <c r="S94" s="403"/>
      <c r="T94" s="403"/>
      <c r="U94" s="403"/>
      <c r="V94" s="403"/>
      <c r="W94" s="403"/>
      <c r="X94" s="403"/>
      <c r="Y94" s="403"/>
      <c r="Z94" s="403"/>
      <c r="AA94" s="403"/>
    </row>
    <row r="95" spans="3:27">
      <c r="C95" s="442"/>
      <c r="D95" s="378"/>
      <c r="E95" s="383"/>
      <c r="F95" s="439"/>
      <c r="G95" s="343"/>
      <c r="H95" s="343"/>
      <c r="I95" s="343"/>
      <c r="J95" s="403"/>
      <c r="K95" s="404"/>
      <c r="L95" s="403"/>
      <c r="M95" s="403"/>
      <c r="N95" s="403"/>
      <c r="O95" s="403"/>
      <c r="P95" s="403"/>
      <c r="Q95" s="403"/>
      <c r="R95" s="403"/>
      <c r="S95" s="403"/>
      <c r="T95" s="403"/>
      <c r="U95" s="403"/>
      <c r="V95" s="403"/>
      <c r="W95" s="403"/>
      <c r="X95" s="403"/>
      <c r="Y95" s="403"/>
      <c r="Z95" s="403"/>
      <c r="AA95" s="403"/>
    </row>
    <row r="96" spans="3:27">
      <c r="C96" s="442"/>
      <c r="D96" s="378"/>
      <c r="E96" s="383"/>
      <c r="F96" s="439"/>
      <c r="G96" s="343"/>
      <c r="H96" s="343"/>
      <c r="I96" s="343"/>
      <c r="J96" s="403"/>
      <c r="K96" s="404"/>
      <c r="L96" s="403"/>
      <c r="M96" s="403"/>
      <c r="N96" s="403"/>
      <c r="O96" s="403"/>
      <c r="P96" s="403"/>
      <c r="Q96" s="403"/>
      <c r="R96" s="403"/>
      <c r="S96" s="403"/>
      <c r="T96" s="403"/>
      <c r="U96" s="403"/>
      <c r="V96" s="403"/>
      <c r="W96" s="403"/>
      <c r="X96" s="403"/>
      <c r="Y96" s="403"/>
      <c r="Z96" s="403"/>
      <c r="AA96" s="403"/>
    </row>
    <row r="97" spans="3:27">
      <c r="C97" s="442"/>
      <c r="D97" s="378"/>
      <c r="E97" s="383"/>
      <c r="F97" s="439"/>
      <c r="G97" s="343"/>
      <c r="H97" s="343"/>
      <c r="I97" s="343"/>
      <c r="J97" s="403"/>
      <c r="K97" s="404"/>
      <c r="L97" s="403"/>
      <c r="M97" s="403"/>
      <c r="N97" s="403"/>
      <c r="O97" s="403"/>
      <c r="P97" s="403"/>
      <c r="Q97" s="403"/>
      <c r="R97" s="403"/>
      <c r="S97" s="403"/>
      <c r="T97" s="403"/>
      <c r="U97" s="403"/>
      <c r="V97" s="403"/>
      <c r="W97" s="403"/>
      <c r="X97" s="403"/>
      <c r="Y97" s="403"/>
      <c r="Z97" s="403"/>
      <c r="AA97" s="403"/>
    </row>
    <row r="98" spans="3:27">
      <c r="C98" s="442"/>
      <c r="D98" s="378"/>
      <c r="E98" s="383"/>
      <c r="F98" s="439"/>
      <c r="G98" s="343"/>
      <c r="H98" s="343"/>
      <c r="I98" s="343"/>
      <c r="J98" s="403"/>
      <c r="K98" s="404"/>
      <c r="L98" s="403"/>
      <c r="M98" s="403"/>
      <c r="N98" s="403"/>
      <c r="O98" s="403"/>
      <c r="P98" s="403"/>
      <c r="Q98" s="403"/>
      <c r="R98" s="403"/>
      <c r="S98" s="403"/>
      <c r="T98" s="403"/>
      <c r="U98" s="403"/>
      <c r="V98" s="403"/>
      <c r="W98" s="403"/>
      <c r="X98" s="403"/>
      <c r="Y98" s="403"/>
      <c r="Z98" s="403"/>
      <c r="AA98" s="403"/>
    </row>
    <row r="99" spans="3:27">
      <c r="C99" s="442"/>
      <c r="D99" s="378"/>
      <c r="E99" s="383"/>
      <c r="F99" s="439"/>
      <c r="G99" s="343"/>
      <c r="H99" s="343"/>
      <c r="I99" s="343"/>
      <c r="J99" s="403"/>
      <c r="K99" s="404"/>
      <c r="L99" s="403"/>
      <c r="M99" s="403"/>
      <c r="N99" s="403"/>
      <c r="O99" s="403"/>
      <c r="P99" s="403"/>
      <c r="Q99" s="403"/>
      <c r="R99" s="403"/>
      <c r="S99" s="403"/>
      <c r="T99" s="403"/>
      <c r="U99" s="403"/>
      <c r="V99" s="403"/>
      <c r="W99" s="403"/>
      <c r="X99" s="403"/>
      <c r="Y99" s="403"/>
      <c r="Z99" s="403"/>
      <c r="AA99" s="403"/>
    </row>
    <row r="100" spans="3:27">
      <c r="C100" s="442"/>
      <c r="D100" s="378"/>
      <c r="E100" s="383"/>
      <c r="F100" s="439"/>
      <c r="G100" s="343"/>
      <c r="H100" s="343"/>
      <c r="I100" s="343"/>
      <c r="J100" s="403"/>
      <c r="K100" s="404"/>
      <c r="L100" s="403"/>
      <c r="M100" s="403"/>
      <c r="N100" s="403"/>
      <c r="O100" s="403"/>
      <c r="P100" s="403"/>
      <c r="Q100" s="403"/>
      <c r="R100" s="403"/>
      <c r="S100" s="403"/>
      <c r="T100" s="403"/>
      <c r="U100" s="403"/>
      <c r="V100" s="403"/>
      <c r="W100" s="403"/>
      <c r="X100" s="403"/>
      <c r="Y100" s="403"/>
      <c r="Z100" s="403"/>
      <c r="AA100" s="403"/>
    </row>
    <row r="101" spans="3:27">
      <c r="C101" s="442"/>
      <c r="D101" s="378"/>
      <c r="E101" s="383"/>
      <c r="F101" s="439"/>
      <c r="G101" s="343"/>
      <c r="H101" s="343"/>
      <c r="I101" s="343"/>
      <c r="J101" s="403"/>
      <c r="K101" s="404"/>
      <c r="L101" s="403"/>
      <c r="M101" s="403"/>
      <c r="N101" s="403"/>
      <c r="O101" s="403"/>
      <c r="P101" s="403"/>
      <c r="Q101" s="403"/>
      <c r="R101" s="403"/>
      <c r="S101" s="403"/>
      <c r="T101" s="403"/>
      <c r="U101" s="403"/>
      <c r="V101" s="403"/>
      <c r="W101" s="403"/>
      <c r="X101" s="403"/>
      <c r="Y101" s="403"/>
      <c r="Z101" s="403"/>
      <c r="AA101" s="403"/>
    </row>
    <row r="102" spans="3:27">
      <c r="J102" s="403"/>
      <c r="K102" s="404"/>
      <c r="L102" s="403"/>
      <c r="M102" s="403"/>
      <c r="N102" s="403"/>
      <c r="O102" s="403"/>
      <c r="P102" s="403"/>
      <c r="Q102" s="403"/>
      <c r="R102" s="403"/>
      <c r="S102" s="403"/>
      <c r="T102" s="403"/>
      <c r="U102" s="403"/>
      <c r="V102" s="403"/>
      <c r="W102" s="403"/>
      <c r="X102" s="403"/>
      <c r="Y102" s="403"/>
      <c r="Z102" s="403"/>
      <c r="AA102" s="403"/>
    </row>
  </sheetData>
  <sheetProtection algorithmName="SHA-512" hashValue="hAnOKPSonRDZJcuLc1OucLUcT9TPDvJYsOsX4hbVi8DKn2Pw2zobccXnND2IqD0gXE2X/OEDQ6PgzxQPCfsmkw==" saltValue="xRKcpR+iqj55WNBjlXOdnA==" spinCount="100000" sheet="1" objects="1" scenarios="1"/>
  <mergeCells count="1">
    <mergeCell ref="G2:H2"/>
  </mergeCells>
  <pageMargins left="0.7" right="0.7" top="0.75" bottom="0.75" header="0.3" footer="0.3"/>
  <pageSetup scale="48" orientation="portrait" horizontalDpi="0" verticalDpi="0"/>
  <ignoredErrors>
    <ignoredError sqref="D55:D56" formula="1"/>
    <ignoredError sqref="F27 F24 D23:D24 D38 F40 F69" emptyCellReference="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366A-2591-8A4A-86EF-D0ABFFBAA4F2}">
  <sheetPr codeName="Sheet13">
    <tabColor rgb="FF945200"/>
    <pageSetUpPr fitToPage="1"/>
  </sheetPr>
  <dimension ref="A1:Z137"/>
  <sheetViews>
    <sheetView zoomScale="80" zoomScaleNormal="80" workbookViewId="0">
      <selection activeCell="F40" sqref="F40"/>
    </sheetView>
  </sheetViews>
  <sheetFormatPr baseColWidth="10" defaultRowHeight="11"/>
  <cols>
    <col min="1" max="1" width="5" style="343" customWidth="1"/>
    <col min="2" max="2" width="14.5" style="403" customWidth="1"/>
    <col min="3" max="3" width="78.25" style="1" customWidth="1"/>
    <col min="4" max="4" width="45.5" style="379" customWidth="1"/>
    <col min="5" max="5" width="54.25" style="156" customWidth="1"/>
    <col min="6" max="6" width="95.25" customWidth="1"/>
    <col min="7" max="7" width="55.25" customWidth="1"/>
    <col min="8" max="8" width="16.5" customWidth="1"/>
    <col min="9" max="9" width="4.75" customWidth="1"/>
    <col min="10" max="10" width="48.25" style="379" customWidth="1"/>
    <col min="11" max="11" width="26.75" customWidth="1"/>
    <col min="12" max="12" width="48.25" customWidth="1"/>
    <col min="13" max="13" width="26.75" customWidth="1"/>
  </cols>
  <sheetData>
    <row r="1" spans="1:26">
      <c r="D1" s="404"/>
      <c r="E1" s="577"/>
      <c r="F1" s="403"/>
      <c r="G1" s="403"/>
      <c r="H1" s="403"/>
      <c r="I1" s="403"/>
      <c r="J1" s="404"/>
    </row>
    <row r="2" spans="1:26" ht="175" customHeight="1">
      <c r="B2" s="414"/>
      <c r="C2" s="447"/>
      <c r="D2" s="1554"/>
      <c r="E2" s="1553"/>
      <c r="F2" s="403"/>
      <c r="G2" s="403"/>
      <c r="H2" s="414"/>
      <c r="I2" s="414"/>
      <c r="J2" s="378"/>
      <c r="K2" s="343"/>
      <c r="L2" s="343"/>
      <c r="N2" s="403"/>
      <c r="O2" s="403"/>
      <c r="P2" s="403"/>
      <c r="Q2" s="403"/>
      <c r="R2" s="403"/>
      <c r="S2" s="403"/>
      <c r="T2" s="403"/>
      <c r="U2" s="403"/>
      <c r="V2" s="403"/>
      <c r="W2" s="403"/>
      <c r="X2" s="403"/>
      <c r="Y2" s="403"/>
      <c r="Z2" s="403"/>
    </row>
    <row r="3" spans="1:26" ht="38" customHeight="1">
      <c r="C3" s="1566" t="s">
        <v>1918</v>
      </c>
      <c r="D3" s="1567"/>
      <c r="E3" s="577"/>
      <c r="F3" s="369"/>
      <c r="G3" s="369"/>
      <c r="H3" s="369"/>
      <c r="I3" s="343"/>
      <c r="J3" s="378"/>
      <c r="K3" s="369"/>
      <c r="L3" s="369"/>
      <c r="M3" s="369"/>
      <c r="N3" s="369"/>
      <c r="O3" s="369"/>
      <c r="P3" s="369"/>
      <c r="Q3" s="369"/>
      <c r="R3" s="369"/>
      <c r="S3" s="369"/>
      <c r="T3" s="369"/>
      <c r="U3" s="405"/>
      <c r="V3" s="403"/>
      <c r="W3" s="403"/>
      <c r="X3" s="403"/>
      <c r="Y3" s="403"/>
      <c r="Z3" s="403"/>
    </row>
    <row r="4" spans="1:26" s="371" customFormat="1" ht="21" thickBot="1">
      <c r="A4" s="343"/>
      <c r="B4" s="403"/>
      <c r="C4" s="891"/>
      <c r="D4" s="891" t="s">
        <v>1915</v>
      </c>
      <c r="E4" s="891" t="s">
        <v>1916</v>
      </c>
      <c r="F4" s="369"/>
      <c r="G4" s="369"/>
      <c r="H4" s="369"/>
      <c r="I4" s="343"/>
      <c r="J4" s="403"/>
      <c r="K4" s="403"/>
      <c r="L4" s="403"/>
      <c r="M4" s="403"/>
      <c r="N4" s="369"/>
      <c r="O4" s="369"/>
      <c r="P4" s="369"/>
      <c r="Q4" s="369"/>
      <c r="R4" s="369"/>
      <c r="S4" s="369"/>
      <c r="T4" s="369"/>
      <c r="U4" s="405"/>
      <c r="V4" s="403"/>
      <c r="W4" s="403"/>
      <c r="X4" s="403"/>
      <c r="Y4" s="403"/>
      <c r="Z4" s="403"/>
    </row>
    <row r="5" spans="1:26" ht="20" customHeight="1" thickTop="1">
      <c r="C5" s="1557" t="s">
        <v>1905</v>
      </c>
      <c r="D5" s="1559">
        <f>REPORT!D38*REPORT!H13</f>
        <v>338.99189999999999</v>
      </c>
      <c r="E5" s="1559">
        <f>REPORT!D40</f>
        <v>390.8180984</v>
      </c>
      <c r="F5" s="343"/>
      <c r="G5" s="369"/>
      <c r="H5" s="369"/>
      <c r="I5" s="343"/>
      <c r="J5" s="378"/>
      <c r="K5" s="403"/>
      <c r="L5" s="403"/>
      <c r="M5" s="403"/>
      <c r="N5" s="369"/>
      <c r="O5" s="369"/>
      <c r="P5" s="369"/>
      <c r="Q5" s="369"/>
      <c r="R5" s="369"/>
      <c r="S5" s="369"/>
      <c r="T5" s="369"/>
      <c r="U5" s="405"/>
      <c r="V5" s="403"/>
      <c r="W5" s="403"/>
      <c r="X5" s="403"/>
      <c r="Y5" s="403"/>
      <c r="Z5" s="403"/>
    </row>
    <row r="6" spans="1:26" ht="20" customHeight="1">
      <c r="C6" s="1571" t="s">
        <v>1906</v>
      </c>
      <c r="D6" s="1572">
        <f>REFERENCE!D38*REFERENCE!H13</f>
        <v>850.99640501567228</v>
      </c>
      <c r="E6" s="1572">
        <f>REFERENCE!D40</f>
        <v>390.8180984</v>
      </c>
      <c r="F6" s="343"/>
      <c r="G6" s="369"/>
      <c r="H6" s="369"/>
      <c r="I6" s="343"/>
      <c r="J6" s="378"/>
      <c r="K6" s="403"/>
      <c r="L6" s="403"/>
      <c r="M6" s="403"/>
      <c r="N6" s="369"/>
      <c r="O6" s="369"/>
      <c r="P6" s="369"/>
      <c r="Q6" s="369"/>
      <c r="R6" s="369"/>
      <c r="S6" s="369"/>
      <c r="T6" s="369"/>
      <c r="U6" s="405"/>
      <c r="V6" s="403"/>
      <c r="W6" s="403"/>
      <c r="X6" s="403"/>
      <c r="Y6" s="403"/>
      <c r="Z6" s="403"/>
    </row>
    <row r="7" spans="1:26" ht="20">
      <c r="C7" s="442"/>
      <c r="D7" s="893"/>
      <c r="E7" s="893"/>
      <c r="F7" s="343"/>
      <c r="G7" s="369"/>
      <c r="H7" s="369"/>
      <c r="I7" s="343"/>
      <c r="J7" s="370"/>
      <c r="K7" s="403"/>
      <c r="L7" s="403"/>
      <c r="M7" s="403"/>
      <c r="N7" s="369"/>
      <c r="O7" s="369"/>
      <c r="P7" s="369"/>
      <c r="Q7" s="369"/>
      <c r="R7" s="369"/>
      <c r="S7" s="369"/>
      <c r="T7" s="369"/>
      <c r="U7" s="405"/>
      <c r="V7" s="403"/>
      <c r="W7" s="403"/>
      <c r="X7" s="403"/>
      <c r="Y7" s="403"/>
      <c r="Z7" s="403"/>
    </row>
    <row r="8" spans="1:26" ht="20">
      <c r="C8" s="1573" t="s">
        <v>1917</v>
      </c>
      <c r="D8" s="1568">
        <f>D5/E5</f>
        <v>0.86739048520993467</v>
      </c>
      <c r="E8" s="1568">
        <f>IF(D5 &gt; 0, E5 / D5, "Zero Operational Emissions")</f>
        <v>1.1528832942616034</v>
      </c>
      <c r="F8" s="343"/>
      <c r="G8" s="369"/>
      <c r="H8" s="369"/>
      <c r="I8" s="343"/>
      <c r="J8" s="370"/>
      <c r="K8" s="403"/>
      <c r="L8" s="403"/>
      <c r="M8" s="403"/>
      <c r="N8" s="369"/>
      <c r="O8" s="369"/>
      <c r="P8" s="369"/>
      <c r="Q8" s="369"/>
      <c r="R8" s="369"/>
      <c r="S8" s="369"/>
      <c r="T8" s="369"/>
      <c r="U8" s="405"/>
      <c r="V8" s="403"/>
      <c r="W8" s="403"/>
      <c r="X8" s="403"/>
      <c r="Y8" s="403"/>
      <c r="Z8" s="403"/>
    </row>
    <row r="9" spans="1:26" ht="20">
      <c r="C9" s="1569" t="s">
        <v>1907</v>
      </c>
      <c r="D9" s="1570"/>
      <c r="E9" s="1626">
        <f>REPORT!H13</f>
        <v>50</v>
      </c>
      <c r="F9" s="343"/>
      <c r="G9" s="369"/>
      <c r="H9" s="369"/>
      <c r="I9" s="343"/>
      <c r="J9" s="378"/>
      <c r="K9" s="403"/>
      <c r="L9" s="403"/>
      <c r="M9" s="403"/>
      <c r="N9" s="369"/>
      <c r="O9" s="369"/>
      <c r="P9" s="369"/>
      <c r="Q9" s="369"/>
      <c r="R9" s="369"/>
      <c r="S9" s="369"/>
      <c r="T9" s="369"/>
      <c r="U9" s="405"/>
      <c r="V9" s="403"/>
      <c r="W9" s="403"/>
      <c r="X9" s="403"/>
      <c r="Y9" s="403"/>
      <c r="Z9" s="403"/>
    </row>
    <row r="10" spans="1:26" ht="20">
      <c r="C10" s="388"/>
      <c r="D10" s="894"/>
      <c r="E10" s="894"/>
      <c r="F10" s="343"/>
      <c r="G10" s="369"/>
      <c r="H10" s="369"/>
      <c r="I10" s="343"/>
      <c r="J10" s="378"/>
      <c r="K10" s="403"/>
      <c r="L10" s="403"/>
      <c r="M10" s="403"/>
      <c r="N10" s="369"/>
      <c r="O10" s="369"/>
      <c r="P10" s="369"/>
      <c r="Q10" s="369"/>
      <c r="R10" s="369"/>
      <c r="S10" s="369"/>
      <c r="T10" s="369"/>
      <c r="U10" s="405"/>
      <c r="V10" s="403"/>
      <c r="W10" s="403"/>
      <c r="X10" s="403"/>
      <c r="Y10" s="403"/>
      <c r="Z10" s="403"/>
    </row>
    <row r="11" spans="1:26" ht="25" customHeight="1" thickBot="1">
      <c r="C11" s="388"/>
      <c r="D11" s="1556" t="s">
        <v>1910</v>
      </c>
      <c r="E11" s="1556" t="s">
        <v>1911</v>
      </c>
      <c r="F11" s="343"/>
      <c r="G11" s="369"/>
      <c r="H11" s="369"/>
      <c r="I11" s="343"/>
      <c r="J11" s="404"/>
      <c r="K11" s="403"/>
      <c r="L11" s="403"/>
      <c r="M11" s="403"/>
      <c r="N11" s="369"/>
      <c r="O11" s="369"/>
      <c r="P11" s="369"/>
      <c r="Q11" s="369"/>
      <c r="R11" s="369"/>
      <c r="S11" s="369"/>
      <c r="T11" s="369"/>
      <c r="U11" s="405"/>
      <c r="V11" s="403"/>
      <c r="W11" s="403"/>
      <c r="X11" s="403"/>
      <c r="Y11" s="403"/>
      <c r="Z11" s="403"/>
    </row>
    <row r="12" spans="1:26" ht="22" thickTop="1">
      <c r="C12" s="1557" t="s">
        <v>1913</v>
      </c>
      <c r="D12" s="1558">
        <f>REPORT!G38</f>
        <v>4.7504470291479821</v>
      </c>
      <c r="E12" s="1558">
        <f>REPORT!I41/E9</f>
        <v>6.9163999999999994</v>
      </c>
      <c r="F12" s="343"/>
      <c r="G12" s="369"/>
      <c r="H12" s="369"/>
      <c r="I12" s="343"/>
      <c r="J12" s="404"/>
      <c r="K12" s="403"/>
      <c r="L12" s="403"/>
      <c r="M12" s="403"/>
      <c r="N12" s="369"/>
      <c r="O12" s="369"/>
      <c r="P12" s="369"/>
      <c r="Q12" s="369"/>
      <c r="R12" s="369"/>
      <c r="S12" s="369"/>
      <c r="T12" s="369"/>
      <c r="U12" s="405"/>
      <c r="V12" s="403"/>
      <c r="W12" s="403"/>
      <c r="X12" s="403"/>
      <c r="Y12" s="403"/>
      <c r="Z12" s="403"/>
    </row>
    <row r="13" spans="1:26" ht="20">
      <c r="C13" s="443" t="s">
        <v>1914</v>
      </c>
      <c r="D13" s="373">
        <f>REFERENCE!G38</f>
        <v>11.925398052349667</v>
      </c>
      <c r="E13" s="373">
        <f>REFERENCE!I39/E9</f>
        <v>7</v>
      </c>
      <c r="F13" s="343"/>
      <c r="G13" s="369"/>
      <c r="H13" s="369"/>
      <c r="I13" s="343"/>
      <c r="J13" s="404"/>
      <c r="K13" s="403"/>
      <c r="L13" s="403"/>
      <c r="M13" s="403"/>
      <c r="N13" s="369"/>
      <c r="O13" s="369"/>
      <c r="P13" s="369"/>
      <c r="Q13" s="369"/>
      <c r="R13" s="369"/>
      <c r="S13" s="369"/>
      <c r="T13" s="369"/>
      <c r="U13" s="405"/>
      <c r="V13" s="403"/>
      <c r="W13" s="403"/>
      <c r="X13" s="403"/>
      <c r="Y13" s="403"/>
      <c r="Z13" s="403"/>
    </row>
    <row r="14" spans="1:26" ht="20">
      <c r="C14" s="331"/>
      <c r="D14" s="899"/>
      <c r="E14" s="373"/>
      <c r="F14" s="343"/>
      <c r="G14" s="369"/>
      <c r="H14" s="369"/>
      <c r="I14" s="343"/>
      <c r="J14" s="404"/>
      <c r="K14" s="403"/>
      <c r="L14" s="403"/>
      <c r="M14" s="403"/>
      <c r="N14" s="369"/>
      <c r="O14" s="369"/>
      <c r="P14" s="369"/>
      <c r="Q14" s="369"/>
      <c r="R14" s="369"/>
      <c r="S14" s="369"/>
      <c r="T14" s="369"/>
      <c r="U14" s="405"/>
      <c r="V14" s="403"/>
      <c r="W14" s="403"/>
      <c r="X14" s="403"/>
      <c r="Y14" s="403"/>
      <c r="Z14" s="403"/>
    </row>
    <row r="15" spans="1:26" ht="20">
      <c r="C15" s="1434"/>
      <c r="D15" s="381"/>
      <c r="E15" s="373"/>
      <c r="F15" s="343"/>
      <c r="G15" s="369"/>
      <c r="H15" s="369"/>
      <c r="I15" s="343"/>
      <c r="J15" s="404"/>
      <c r="K15" s="403"/>
      <c r="L15" s="403"/>
      <c r="M15" s="403"/>
      <c r="N15" s="369"/>
      <c r="O15" s="369"/>
      <c r="P15" s="369"/>
      <c r="Q15" s="369"/>
      <c r="R15" s="369"/>
      <c r="S15" s="369"/>
      <c r="T15" s="369"/>
      <c r="U15" s="405"/>
      <c r="V15" s="403"/>
      <c r="W15" s="403"/>
      <c r="X15" s="403"/>
      <c r="Y15" s="403"/>
      <c r="Z15" s="403"/>
    </row>
    <row r="16" spans="1:26" ht="20">
      <c r="C16" s="1434"/>
      <c r="D16" s="381"/>
      <c r="E16" s="373"/>
      <c r="F16" s="343"/>
      <c r="G16" s="369"/>
      <c r="H16" s="369"/>
      <c r="I16" s="343"/>
      <c r="J16" s="404"/>
      <c r="K16" s="403"/>
      <c r="L16" s="403"/>
      <c r="M16" s="403"/>
      <c r="N16" s="369"/>
      <c r="O16" s="369"/>
      <c r="P16" s="369"/>
      <c r="Q16" s="369"/>
      <c r="R16" s="369"/>
      <c r="S16" s="369"/>
      <c r="T16" s="369"/>
      <c r="U16" s="405"/>
      <c r="V16" s="403"/>
      <c r="W16" s="403"/>
      <c r="X16" s="403"/>
      <c r="Y16" s="403"/>
      <c r="Z16" s="403"/>
    </row>
    <row r="17" spans="3:26" ht="20">
      <c r="C17" s="1434"/>
      <c r="D17" s="381"/>
      <c r="E17" s="373"/>
      <c r="F17" s="343"/>
      <c r="G17" s="369"/>
      <c r="H17" s="369"/>
      <c r="I17" s="343"/>
      <c r="J17" s="404"/>
      <c r="K17" s="403"/>
      <c r="L17" s="403"/>
      <c r="M17" s="403"/>
      <c r="N17" s="369"/>
      <c r="O17" s="369"/>
      <c r="P17" s="369"/>
      <c r="Q17" s="369"/>
      <c r="R17" s="369"/>
      <c r="S17" s="369"/>
      <c r="T17" s="369"/>
      <c r="U17" s="405"/>
      <c r="V17" s="403"/>
      <c r="W17" s="403"/>
      <c r="X17" s="403"/>
      <c r="Y17" s="403"/>
      <c r="Z17" s="403"/>
    </row>
    <row r="18" spans="3:26" ht="20">
      <c r="C18" s="1433"/>
      <c r="D18" s="380"/>
      <c r="E18" s="373"/>
      <c r="F18" s="343"/>
      <c r="G18" s="369"/>
      <c r="H18" s="369"/>
      <c r="I18" s="343"/>
      <c r="J18" s="404"/>
      <c r="K18" s="403"/>
      <c r="L18" s="403"/>
      <c r="M18" s="403"/>
      <c r="N18" s="369"/>
      <c r="O18" s="369"/>
      <c r="P18" s="369"/>
      <c r="Q18" s="369"/>
      <c r="R18" s="369"/>
      <c r="S18" s="369"/>
      <c r="T18" s="369"/>
      <c r="U18" s="405"/>
      <c r="V18" s="403"/>
      <c r="W18" s="403"/>
      <c r="X18" s="403"/>
      <c r="Y18" s="403"/>
      <c r="Z18" s="403"/>
    </row>
    <row r="19" spans="3:26" ht="20">
      <c r="C19" s="1435"/>
      <c r="D19" s="380"/>
      <c r="E19" s="913"/>
      <c r="F19" s="343"/>
      <c r="G19" s="369"/>
      <c r="H19" s="369"/>
      <c r="I19" s="343"/>
      <c r="J19" s="404"/>
      <c r="K19" s="403"/>
      <c r="L19" s="403"/>
      <c r="M19" s="403"/>
      <c r="N19" s="369"/>
      <c r="O19" s="369"/>
      <c r="P19" s="369"/>
      <c r="Q19" s="369"/>
      <c r="R19" s="369"/>
      <c r="S19" s="369"/>
      <c r="T19" s="369"/>
      <c r="U19" s="405"/>
      <c r="V19" s="403"/>
      <c r="W19" s="403"/>
      <c r="X19" s="403"/>
      <c r="Y19" s="403"/>
      <c r="Z19" s="403"/>
    </row>
    <row r="20" spans="3:26" ht="21" thickBot="1">
      <c r="C20" s="1544"/>
      <c r="D20" s="1545"/>
      <c r="E20" s="1545"/>
      <c r="F20" s="343"/>
      <c r="G20" s="369"/>
      <c r="H20" s="369"/>
      <c r="I20" s="343"/>
      <c r="K20" s="403"/>
      <c r="L20" s="403"/>
      <c r="M20" s="403"/>
      <c r="N20" s="369"/>
      <c r="O20" s="369"/>
      <c r="P20" s="369"/>
      <c r="Q20" s="369"/>
      <c r="R20" s="369"/>
      <c r="S20" s="369"/>
      <c r="T20" s="369"/>
      <c r="U20" s="405"/>
      <c r="V20" s="403"/>
      <c r="W20" s="403"/>
      <c r="X20" s="403"/>
      <c r="Y20" s="403"/>
      <c r="Z20" s="403"/>
    </row>
    <row r="21" spans="3:26" ht="20">
      <c r="C21" s="370"/>
      <c r="D21" s="156"/>
      <c r="E21" s="906"/>
      <c r="F21" s="343"/>
      <c r="G21" s="369"/>
      <c r="H21" s="369"/>
      <c r="I21" s="343"/>
      <c r="J21" s="404"/>
      <c r="K21" s="403"/>
      <c r="L21" s="403"/>
      <c r="M21" s="403"/>
      <c r="N21" s="369"/>
      <c r="O21" s="369"/>
      <c r="P21" s="369"/>
      <c r="Q21" s="369"/>
      <c r="R21" s="369"/>
      <c r="S21" s="369"/>
      <c r="T21" s="369"/>
      <c r="U21" s="405"/>
      <c r="V21" s="403"/>
      <c r="W21" s="403"/>
      <c r="X21" s="403"/>
      <c r="Y21" s="403"/>
      <c r="Z21" s="403"/>
    </row>
    <row r="22" spans="3:26" ht="20">
      <c r="C22" s="1555" t="s">
        <v>1908</v>
      </c>
      <c r="D22" s="390"/>
      <c r="E22" s="429"/>
      <c r="F22" s="343"/>
      <c r="G22" s="369"/>
      <c r="H22" s="369"/>
      <c r="I22" s="343"/>
      <c r="J22" s="404"/>
      <c r="K22" s="403"/>
      <c r="L22" s="403"/>
      <c r="M22" s="403"/>
      <c r="N22" s="369"/>
      <c r="O22" s="369"/>
      <c r="P22" s="369"/>
      <c r="Q22" s="369"/>
      <c r="R22" s="369"/>
      <c r="S22" s="369"/>
      <c r="T22" s="369"/>
      <c r="U22" s="405"/>
      <c r="V22" s="403"/>
      <c r="W22" s="403"/>
      <c r="X22" s="403"/>
      <c r="Y22" s="403"/>
      <c r="Z22" s="403"/>
    </row>
    <row r="23" spans="3:26" ht="22" customHeight="1">
      <c r="C23" s="1555" t="s">
        <v>1909</v>
      </c>
      <c r="D23" s="908"/>
      <c r="E23" s="888"/>
      <c r="F23" s="343"/>
      <c r="G23" s="369"/>
      <c r="H23" s="369"/>
      <c r="I23" s="343"/>
      <c r="J23" s="404"/>
      <c r="K23" s="403"/>
      <c r="L23" s="403"/>
      <c r="M23" s="403"/>
      <c r="N23" s="369"/>
      <c r="O23" s="369"/>
      <c r="P23" s="369"/>
      <c r="Q23" s="369"/>
      <c r="R23" s="369"/>
      <c r="S23" s="369"/>
      <c r="T23" s="369"/>
      <c r="U23" s="405"/>
      <c r="V23" s="403"/>
      <c r="W23" s="403"/>
      <c r="X23" s="403"/>
      <c r="Y23" s="403"/>
      <c r="Z23" s="403"/>
    </row>
    <row r="24" spans="3:26" ht="20">
      <c r="C24" s="1555" t="s">
        <v>1912</v>
      </c>
      <c r="D24" s="429"/>
      <c r="E24" s="429"/>
      <c r="F24" s="369"/>
      <c r="G24" s="369"/>
      <c r="H24" s="369"/>
      <c r="I24" s="343"/>
      <c r="J24" s="404"/>
      <c r="K24" s="403"/>
      <c r="L24" s="403"/>
      <c r="M24" s="403"/>
      <c r="N24" s="369"/>
      <c r="O24" s="369"/>
      <c r="P24" s="369"/>
      <c r="Q24" s="369"/>
      <c r="R24" s="369"/>
      <c r="S24" s="369"/>
      <c r="T24" s="369"/>
      <c r="U24" s="405"/>
      <c r="V24" s="403"/>
      <c r="W24" s="403"/>
      <c r="X24" s="403"/>
      <c r="Y24" s="403"/>
      <c r="Z24" s="403"/>
    </row>
    <row r="25" spans="3:26" ht="20">
      <c r="C25" s="909"/>
      <c r="D25" s="910"/>
      <c r="E25" s="903"/>
      <c r="F25" s="343"/>
      <c r="G25" s="369"/>
      <c r="H25" s="369"/>
      <c r="I25" s="343"/>
      <c r="J25" s="404"/>
      <c r="K25" s="403"/>
      <c r="L25" s="403"/>
      <c r="M25" s="403"/>
      <c r="N25" s="369"/>
      <c r="O25" s="369"/>
      <c r="P25" s="369"/>
      <c r="Q25" s="369"/>
      <c r="R25" s="369"/>
      <c r="S25" s="369"/>
      <c r="T25" s="369"/>
      <c r="U25" s="405"/>
      <c r="V25" s="403"/>
      <c r="W25" s="403"/>
      <c r="X25" s="403"/>
      <c r="Y25" s="403"/>
      <c r="Z25" s="403"/>
    </row>
    <row r="26" spans="3:26" ht="30" customHeight="1">
      <c r="C26" s="388"/>
      <c r="D26" s="378"/>
      <c r="E26" s="377"/>
      <c r="F26" s="369"/>
      <c r="G26" s="369"/>
      <c r="H26" s="369"/>
      <c r="I26" s="343"/>
      <c r="J26" s="404"/>
      <c r="K26" s="403"/>
      <c r="L26" s="403"/>
      <c r="M26" s="403"/>
      <c r="N26" s="369"/>
      <c r="O26" s="369"/>
      <c r="P26" s="369"/>
      <c r="Q26" s="369"/>
      <c r="R26" s="369"/>
      <c r="S26" s="369"/>
      <c r="T26" s="369"/>
      <c r="U26" s="405"/>
      <c r="V26" s="403"/>
      <c r="W26" s="403"/>
      <c r="X26" s="403"/>
      <c r="Y26" s="403"/>
      <c r="Z26" s="403"/>
    </row>
    <row r="27" spans="3:26" ht="34" customHeight="1">
      <c r="C27" s="388"/>
      <c r="D27" s="378"/>
      <c r="E27" s="377"/>
      <c r="F27" s="369"/>
      <c r="G27" s="369"/>
      <c r="H27" s="369"/>
      <c r="I27" s="343"/>
      <c r="J27" s="404"/>
      <c r="K27" s="403"/>
      <c r="L27" s="403"/>
      <c r="M27" s="403"/>
      <c r="N27" s="369"/>
      <c r="O27" s="369"/>
      <c r="P27" s="369"/>
      <c r="Q27" s="369"/>
      <c r="R27" s="369"/>
      <c r="S27" s="369"/>
      <c r="T27" s="369"/>
      <c r="U27" s="405"/>
      <c r="V27" s="403"/>
      <c r="W27" s="403"/>
      <c r="X27" s="403"/>
      <c r="Y27" s="403"/>
      <c r="Z27" s="403"/>
    </row>
    <row r="28" spans="3:26" ht="20">
      <c r="C28" s="916"/>
      <c r="D28" s="377"/>
      <c r="E28" s="438"/>
      <c r="F28" s="343"/>
      <c r="G28" s="343"/>
      <c r="H28" s="343"/>
      <c r="I28" s="343"/>
      <c r="J28" s="378"/>
      <c r="K28" s="403"/>
      <c r="L28" s="403"/>
      <c r="M28" s="403"/>
      <c r="N28" s="403"/>
      <c r="O28" s="403"/>
      <c r="P28" s="403"/>
      <c r="Q28" s="403"/>
      <c r="R28" s="403"/>
      <c r="S28" s="403"/>
      <c r="T28" s="403"/>
      <c r="U28" s="403"/>
      <c r="V28" s="403"/>
      <c r="W28" s="403"/>
      <c r="X28" s="403"/>
      <c r="Y28" s="403"/>
      <c r="Z28" s="403"/>
    </row>
    <row r="29" spans="3:26" ht="20">
      <c r="C29" s="1512"/>
      <c r="D29" s="378"/>
      <c r="E29" s="438"/>
      <c r="F29" s="343"/>
      <c r="G29" s="343"/>
      <c r="H29" s="343"/>
      <c r="I29" s="343"/>
      <c r="J29" s="378"/>
      <c r="K29" s="403"/>
      <c r="L29" s="403"/>
      <c r="M29" s="403"/>
      <c r="N29" s="403"/>
      <c r="O29" s="403"/>
      <c r="P29" s="403"/>
      <c r="Q29" s="403"/>
      <c r="R29" s="403"/>
      <c r="S29" s="403"/>
      <c r="T29" s="403"/>
      <c r="U29" s="403"/>
      <c r="V29" s="403"/>
      <c r="W29" s="403"/>
      <c r="X29" s="403"/>
      <c r="Y29" s="403"/>
      <c r="Z29" s="403"/>
    </row>
    <row r="30" spans="3:26" ht="20">
      <c r="C30" s="369"/>
      <c r="D30" s="376"/>
      <c r="E30" s="382"/>
      <c r="F30" s="343"/>
      <c r="G30" s="343"/>
      <c r="H30" s="343"/>
      <c r="I30" s="343"/>
      <c r="J30" s="378"/>
      <c r="K30" s="403"/>
      <c r="L30" s="403"/>
      <c r="M30" s="403"/>
      <c r="N30" s="403"/>
      <c r="O30" s="403"/>
      <c r="P30" s="403"/>
      <c r="Q30" s="403"/>
      <c r="R30" s="403"/>
      <c r="S30" s="403"/>
      <c r="T30" s="403"/>
      <c r="U30" s="403"/>
      <c r="V30" s="403"/>
      <c r="W30" s="403"/>
      <c r="X30" s="403"/>
      <c r="Y30" s="403"/>
      <c r="Z30" s="403"/>
    </row>
    <row r="31" spans="3:26" ht="77" customHeight="1">
      <c r="C31" s="1564" t="s">
        <v>1572</v>
      </c>
      <c r="D31" s="211"/>
      <c r="E31" s="1563" t="s">
        <v>1573</v>
      </c>
      <c r="G31" s="1560"/>
      <c r="H31" s="1561"/>
      <c r="I31" s="343"/>
      <c r="J31" s="378"/>
      <c r="K31" s="403"/>
      <c r="L31" s="403"/>
      <c r="M31" s="403"/>
      <c r="N31" s="403"/>
      <c r="O31" s="403"/>
      <c r="P31" s="403"/>
      <c r="Q31" s="403"/>
      <c r="R31" s="403"/>
      <c r="S31" s="403"/>
      <c r="T31" s="403"/>
      <c r="U31" s="403"/>
      <c r="V31" s="403"/>
      <c r="W31" s="403"/>
      <c r="X31" s="403"/>
      <c r="Y31" s="403"/>
      <c r="Z31" s="403"/>
    </row>
    <row r="32" spans="3:26" ht="16">
      <c r="C32" s="1562"/>
      <c r="D32" s="211"/>
      <c r="E32" s="1565"/>
      <c r="F32" s="1565"/>
      <c r="G32" s="1560"/>
      <c r="H32" s="1561"/>
      <c r="I32" s="343"/>
      <c r="J32" s="378"/>
      <c r="K32" s="403"/>
      <c r="L32" s="403"/>
      <c r="M32" s="403"/>
      <c r="N32" s="403"/>
      <c r="O32" s="403"/>
      <c r="P32" s="403"/>
      <c r="Q32" s="403"/>
      <c r="R32" s="403"/>
      <c r="S32" s="403"/>
      <c r="T32" s="403"/>
      <c r="U32" s="403"/>
      <c r="V32" s="403"/>
      <c r="W32" s="403"/>
      <c r="X32" s="403"/>
      <c r="Y32" s="403"/>
      <c r="Z32" s="403"/>
    </row>
    <row r="33" spans="3:26">
      <c r="C33" s="442"/>
      <c r="D33" s="378"/>
      <c r="E33" s="439"/>
      <c r="F33" s="343"/>
      <c r="G33" s="343"/>
      <c r="H33" s="343"/>
      <c r="I33" s="403"/>
      <c r="J33" s="404"/>
      <c r="K33" s="403"/>
      <c r="L33" s="403"/>
      <c r="M33" s="403"/>
      <c r="N33" s="403"/>
      <c r="O33" s="403"/>
      <c r="P33" s="403"/>
      <c r="Q33" s="403"/>
      <c r="R33" s="403"/>
      <c r="S33" s="403"/>
      <c r="T33" s="403"/>
      <c r="U33" s="403"/>
      <c r="V33" s="403"/>
      <c r="W33" s="403"/>
      <c r="X33" s="403"/>
      <c r="Y33" s="403"/>
      <c r="Z33" s="403"/>
    </row>
    <row r="34" spans="3:26">
      <c r="C34" s="442"/>
      <c r="D34" s="378"/>
      <c r="E34" s="439"/>
      <c r="F34" s="343"/>
      <c r="G34" s="343"/>
      <c r="H34" s="343"/>
      <c r="I34" s="403"/>
      <c r="J34" s="404"/>
      <c r="K34" s="403"/>
      <c r="L34" s="403"/>
      <c r="M34" s="403"/>
      <c r="N34" s="403"/>
      <c r="O34" s="403"/>
      <c r="P34" s="403"/>
      <c r="Q34" s="403"/>
      <c r="R34" s="403"/>
      <c r="S34" s="403"/>
      <c r="T34" s="403"/>
      <c r="U34" s="403"/>
      <c r="V34" s="403"/>
      <c r="W34" s="403"/>
      <c r="X34" s="403"/>
      <c r="Y34" s="403"/>
      <c r="Z34" s="403"/>
    </row>
    <row r="35" spans="3:26">
      <c r="C35" s="442"/>
      <c r="D35" s="378"/>
      <c r="E35" s="439"/>
      <c r="F35" s="343"/>
      <c r="G35" s="343"/>
      <c r="H35" s="403"/>
      <c r="J35" s="404"/>
      <c r="K35" s="403"/>
      <c r="L35" s="403"/>
      <c r="M35" s="403"/>
      <c r="N35" s="403"/>
      <c r="O35" s="403"/>
      <c r="P35" s="403"/>
      <c r="Q35" s="403"/>
      <c r="R35" s="403"/>
      <c r="S35" s="403"/>
      <c r="T35" s="403"/>
      <c r="U35" s="403"/>
      <c r="V35" s="403"/>
      <c r="W35" s="403"/>
      <c r="X35" s="403"/>
      <c r="Y35" s="403"/>
      <c r="Z35" s="403"/>
    </row>
    <row r="36" spans="3:26">
      <c r="C36" s="442"/>
      <c r="D36" s="378"/>
      <c r="E36" s="439"/>
      <c r="F36" s="343"/>
      <c r="G36" s="343"/>
      <c r="I36" s="403"/>
      <c r="J36" s="404"/>
      <c r="K36" s="403"/>
      <c r="L36" s="403"/>
      <c r="M36" s="403"/>
      <c r="N36" s="403"/>
      <c r="O36" s="403"/>
      <c r="P36" s="403"/>
      <c r="Q36" s="403"/>
      <c r="R36" s="403"/>
      <c r="S36" s="403"/>
      <c r="T36" s="403"/>
      <c r="U36" s="403"/>
      <c r="V36" s="403"/>
      <c r="W36" s="403"/>
      <c r="X36" s="403"/>
      <c r="Y36" s="403"/>
      <c r="Z36" s="403"/>
    </row>
    <row r="37" spans="3:26">
      <c r="C37" s="442"/>
      <c r="D37" s="378"/>
      <c r="E37" s="439"/>
      <c r="F37" s="343"/>
      <c r="G37" s="343"/>
      <c r="H37" s="343"/>
      <c r="I37" s="403"/>
      <c r="J37" s="404"/>
      <c r="K37" s="403"/>
      <c r="L37" s="403"/>
      <c r="M37" s="403"/>
      <c r="N37" s="403"/>
      <c r="O37" s="403"/>
      <c r="P37" s="403"/>
      <c r="Q37" s="403"/>
      <c r="R37" s="403"/>
      <c r="S37" s="403"/>
      <c r="T37" s="403"/>
      <c r="U37" s="403"/>
      <c r="V37" s="403"/>
      <c r="W37" s="403"/>
      <c r="X37" s="403"/>
      <c r="Y37" s="403"/>
      <c r="Z37" s="403"/>
    </row>
    <row r="38" spans="3:26">
      <c r="C38" s="442"/>
      <c r="D38" s="378"/>
      <c r="E38" s="439"/>
      <c r="F38" s="343"/>
      <c r="G38" s="343"/>
      <c r="H38" s="343"/>
      <c r="I38" s="403"/>
      <c r="J38" s="404"/>
      <c r="K38" s="403"/>
      <c r="L38" s="403"/>
      <c r="M38" s="403"/>
      <c r="N38" s="403"/>
      <c r="O38" s="403"/>
      <c r="P38" s="403"/>
      <c r="Q38" s="403"/>
      <c r="R38" s="403"/>
      <c r="S38" s="403"/>
      <c r="T38" s="403"/>
      <c r="U38" s="403"/>
      <c r="V38" s="403"/>
      <c r="W38" s="403"/>
      <c r="X38" s="403"/>
      <c r="Y38" s="403"/>
      <c r="Z38" s="403"/>
    </row>
    <row r="39" spans="3:26">
      <c r="C39" s="442"/>
      <c r="D39" s="378"/>
      <c r="E39" s="439"/>
      <c r="F39" s="343"/>
      <c r="G39" s="343"/>
      <c r="H39" s="343"/>
      <c r="I39" s="403"/>
      <c r="J39" s="404"/>
      <c r="K39" s="403"/>
      <c r="L39" s="403"/>
      <c r="M39" s="403"/>
      <c r="N39" s="403"/>
      <c r="O39" s="403"/>
      <c r="P39" s="403"/>
      <c r="Q39" s="403"/>
      <c r="R39" s="403"/>
      <c r="S39" s="403"/>
      <c r="T39" s="403"/>
      <c r="U39" s="403"/>
      <c r="V39" s="403"/>
      <c r="W39" s="403"/>
      <c r="X39" s="403"/>
      <c r="Y39" s="403"/>
      <c r="Z39" s="403"/>
    </row>
    <row r="40" spans="3:26">
      <c r="C40" s="442"/>
      <c r="D40" s="378"/>
      <c r="E40" s="439"/>
      <c r="F40" s="343"/>
      <c r="G40" s="343"/>
      <c r="H40" s="343"/>
      <c r="I40" s="403"/>
      <c r="J40" s="404"/>
      <c r="K40" s="403"/>
      <c r="L40" s="403"/>
      <c r="M40" s="403"/>
      <c r="N40" s="403"/>
      <c r="O40" s="403"/>
      <c r="P40" s="403"/>
      <c r="Q40" s="403"/>
      <c r="R40" s="403"/>
      <c r="S40" s="403"/>
      <c r="T40" s="403"/>
      <c r="U40" s="403"/>
      <c r="V40" s="403"/>
      <c r="W40" s="403"/>
      <c r="X40" s="403"/>
      <c r="Y40" s="403"/>
      <c r="Z40" s="403"/>
    </row>
    <row r="41" spans="3:26">
      <c r="C41" s="442"/>
      <c r="D41" s="378"/>
      <c r="E41" s="439"/>
      <c r="F41" s="343"/>
      <c r="G41" s="343"/>
      <c r="H41" s="343"/>
      <c r="I41" s="403"/>
      <c r="J41" s="404"/>
      <c r="K41" s="403"/>
      <c r="L41" s="403"/>
      <c r="M41" s="403"/>
      <c r="N41" s="403"/>
      <c r="O41" s="403"/>
      <c r="P41" s="403"/>
      <c r="Q41" s="403"/>
      <c r="R41" s="403"/>
      <c r="S41" s="403"/>
      <c r="T41" s="403"/>
      <c r="U41" s="403"/>
      <c r="V41" s="403"/>
      <c r="W41" s="403"/>
      <c r="X41" s="403"/>
      <c r="Y41" s="403"/>
      <c r="Z41" s="403"/>
    </row>
    <row r="42" spans="3:26">
      <c r="C42" s="442"/>
      <c r="D42" s="378"/>
      <c r="E42" s="439"/>
      <c r="F42" s="343"/>
      <c r="G42" s="343"/>
      <c r="H42" s="343"/>
      <c r="I42" s="403"/>
      <c r="J42" s="404"/>
      <c r="K42" s="403"/>
      <c r="L42" s="403"/>
      <c r="M42" s="403"/>
      <c r="N42" s="403"/>
      <c r="O42" s="403"/>
      <c r="P42" s="403"/>
      <c r="Q42" s="403"/>
      <c r="R42" s="403"/>
      <c r="S42" s="403"/>
      <c r="T42" s="403"/>
      <c r="U42" s="403"/>
      <c r="V42" s="403"/>
      <c r="W42" s="403"/>
      <c r="X42" s="403"/>
      <c r="Y42" s="403"/>
      <c r="Z42" s="403"/>
    </row>
    <row r="43" spans="3:26">
      <c r="C43" s="442"/>
      <c r="D43" s="378"/>
      <c r="E43" s="439"/>
      <c r="F43" s="343"/>
      <c r="G43" s="343"/>
      <c r="H43" s="343"/>
      <c r="I43" s="403"/>
      <c r="J43" s="404"/>
      <c r="K43" s="403"/>
      <c r="L43" s="403"/>
      <c r="M43" s="403"/>
      <c r="N43" s="403"/>
      <c r="O43" s="403"/>
      <c r="P43" s="403"/>
      <c r="Q43" s="403"/>
      <c r="R43" s="403"/>
      <c r="S43" s="403"/>
      <c r="T43" s="403"/>
      <c r="U43" s="403"/>
      <c r="V43" s="403"/>
      <c r="W43" s="403"/>
      <c r="X43" s="403"/>
      <c r="Y43" s="403"/>
      <c r="Z43" s="403"/>
    </row>
    <row r="44" spans="3:26">
      <c r="C44" s="442"/>
      <c r="D44" s="378"/>
      <c r="E44" s="439"/>
      <c r="F44" s="343"/>
      <c r="G44" s="343"/>
      <c r="H44" s="343"/>
      <c r="I44" s="403"/>
      <c r="J44" s="404"/>
      <c r="K44" s="403"/>
      <c r="L44" s="403"/>
      <c r="M44" s="403"/>
      <c r="N44" s="403"/>
      <c r="O44" s="403"/>
      <c r="P44" s="403"/>
      <c r="Q44" s="403"/>
      <c r="R44" s="403"/>
      <c r="S44" s="403"/>
      <c r="T44" s="403"/>
      <c r="U44" s="403"/>
      <c r="V44" s="403"/>
      <c r="W44" s="403"/>
      <c r="X44" s="403"/>
      <c r="Y44" s="403"/>
      <c r="Z44" s="403"/>
    </row>
    <row r="45" spans="3:26">
      <c r="C45" s="442"/>
      <c r="D45" s="378"/>
      <c r="E45" s="439"/>
      <c r="F45" s="343"/>
      <c r="G45" s="343"/>
      <c r="H45" s="343"/>
      <c r="I45" s="403"/>
      <c r="J45" s="404"/>
      <c r="K45" s="403"/>
      <c r="L45" s="403"/>
      <c r="M45" s="403"/>
      <c r="N45" s="403"/>
      <c r="O45" s="403"/>
      <c r="P45" s="403"/>
      <c r="Q45" s="403"/>
      <c r="R45" s="403"/>
      <c r="S45" s="403"/>
      <c r="T45" s="403"/>
      <c r="U45" s="403"/>
      <c r="V45" s="403"/>
      <c r="W45" s="403"/>
      <c r="X45" s="403"/>
      <c r="Y45" s="403"/>
      <c r="Z45" s="403"/>
    </row>
    <row r="46" spans="3:26">
      <c r="C46" s="442"/>
      <c r="D46" s="378"/>
      <c r="E46" s="439"/>
      <c r="F46" s="343"/>
      <c r="G46" s="343"/>
      <c r="H46" s="343"/>
      <c r="I46" s="403"/>
      <c r="J46" s="404"/>
      <c r="K46" s="403"/>
      <c r="L46" s="403"/>
      <c r="M46" s="403"/>
      <c r="N46" s="403"/>
      <c r="O46" s="403"/>
      <c r="P46" s="403"/>
      <c r="Q46" s="403"/>
      <c r="R46" s="403"/>
      <c r="S46" s="403"/>
      <c r="T46" s="403"/>
      <c r="U46" s="403"/>
      <c r="V46" s="403"/>
      <c r="W46" s="403"/>
      <c r="X46" s="403"/>
      <c r="Y46" s="403"/>
      <c r="Z46" s="403"/>
    </row>
    <row r="47" spans="3:26">
      <c r="C47" s="1551"/>
      <c r="D47" s="404"/>
      <c r="E47" s="577"/>
      <c r="F47" s="403"/>
      <c r="G47" s="403"/>
      <c r="H47" s="403"/>
      <c r="I47" s="403"/>
      <c r="J47" s="404"/>
      <c r="K47" s="403"/>
      <c r="L47" s="403"/>
      <c r="M47" s="403"/>
      <c r="N47" s="403"/>
      <c r="O47" s="403"/>
      <c r="P47" s="403"/>
      <c r="Q47" s="403"/>
      <c r="R47" s="403"/>
      <c r="S47" s="403"/>
      <c r="T47" s="403"/>
      <c r="U47" s="403"/>
      <c r="V47" s="403"/>
      <c r="W47" s="403"/>
      <c r="X47" s="403"/>
      <c r="Y47" s="403"/>
      <c r="Z47" s="403"/>
    </row>
    <row r="48" spans="3:26">
      <c r="C48" s="1551"/>
      <c r="D48" s="404"/>
      <c r="E48" s="577"/>
      <c r="F48" s="403"/>
      <c r="G48" s="403"/>
      <c r="H48" s="403"/>
      <c r="I48" s="403"/>
      <c r="J48" s="404"/>
      <c r="K48" s="403"/>
    </row>
    <row r="49" spans="3:11">
      <c r="C49" s="1551"/>
      <c r="D49" s="404"/>
      <c r="E49" s="577"/>
      <c r="F49" s="403"/>
      <c r="G49" s="403"/>
      <c r="H49" s="403"/>
      <c r="I49" s="403"/>
      <c r="J49" s="404"/>
      <c r="K49" s="403"/>
    </row>
    <row r="50" spans="3:11">
      <c r="C50" s="1551"/>
      <c r="D50" s="404"/>
      <c r="E50" s="577"/>
      <c r="F50" s="403"/>
      <c r="G50" s="403"/>
      <c r="H50" s="403"/>
      <c r="I50" s="403"/>
      <c r="J50" s="404"/>
      <c r="K50" s="403"/>
    </row>
    <row r="51" spans="3:11">
      <c r="C51" s="1551"/>
      <c r="D51" s="404"/>
      <c r="E51" s="577"/>
      <c r="F51" s="403"/>
      <c r="G51" s="403"/>
      <c r="H51" s="403"/>
      <c r="I51" s="403"/>
      <c r="J51" s="404"/>
      <c r="K51" s="403"/>
    </row>
    <row r="52" spans="3:11">
      <c r="C52" s="1551"/>
      <c r="D52" s="404"/>
      <c r="E52" s="577"/>
      <c r="F52" s="403"/>
      <c r="G52" s="403"/>
      <c r="H52" s="403"/>
      <c r="I52" s="403"/>
      <c r="J52" s="404"/>
      <c r="K52" s="403"/>
    </row>
    <row r="53" spans="3:11">
      <c r="C53" s="1551"/>
      <c r="D53" s="404"/>
      <c r="E53" s="577"/>
      <c r="F53" s="403"/>
      <c r="G53" s="403"/>
      <c r="H53" s="403"/>
      <c r="I53" s="403"/>
      <c r="J53" s="404"/>
      <c r="K53" s="403"/>
    </row>
    <row r="54" spans="3:11">
      <c r="C54" s="1551"/>
      <c r="D54" s="404"/>
      <c r="E54" s="577"/>
      <c r="F54" s="403"/>
      <c r="G54" s="403"/>
      <c r="H54" s="403"/>
      <c r="I54" s="403"/>
      <c r="J54" s="404"/>
      <c r="K54" s="403"/>
    </row>
    <row r="55" spans="3:11">
      <c r="C55" s="1551"/>
      <c r="D55" s="404"/>
      <c r="E55" s="577"/>
      <c r="F55" s="403"/>
      <c r="G55" s="403"/>
      <c r="H55" s="403"/>
      <c r="I55" s="403"/>
      <c r="J55" s="404"/>
      <c r="K55" s="403"/>
    </row>
    <row r="56" spans="3:11">
      <c r="C56" s="1551"/>
      <c r="D56" s="404"/>
      <c r="E56" s="577"/>
      <c r="F56" s="403"/>
      <c r="G56" s="403"/>
      <c r="H56" s="403"/>
      <c r="I56" s="403"/>
      <c r="J56" s="404"/>
      <c r="K56" s="403"/>
    </row>
    <row r="57" spans="3:11">
      <c r="C57" s="1551"/>
      <c r="D57" s="404"/>
      <c r="E57" s="577"/>
      <c r="F57" s="403"/>
      <c r="G57" s="403"/>
      <c r="H57" s="403"/>
      <c r="I57" s="403"/>
      <c r="J57" s="404"/>
      <c r="K57" s="403"/>
    </row>
    <row r="58" spans="3:11">
      <c r="C58" s="1551"/>
      <c r="D58" s="404"/>
      <c r="E58" s="577"/>
      <c r="F58" s="403"/>
      <c r="G58" s="403"/>
      <c r="H58" s="403"/>
      <c r="I58" s="403"/>
      <c r="J58" s="404"/>
      <c r="K58" s="403"/>
    </row>
    <row r="59" spans="3:11">
      <c r="C59" s="1551"/>
      <c r="D59" s="404"/>
      <c r="E59" s="577"/>
      <c r="F59" s="403"/>
      <c r="G59" s="403"/>
      <c r="H59" s="403"/>
      <c r="I59" s="403"/>
      <c r="J59" s="404"/>
      <c r="K59" s="403"/>
    </row>
    <row r="60" spans="3:11">
      <c r="C60" s="1551"/>
      <c r="D60" s="404"/>
      <c r="E60" s="577"/>
      <c r="F60" s="403"/>
      <c r="G60" s="403"/>
      <c r="H60" s="403"/>
      <c r="I60" s="403"/>
      <c r="J60" s="404"/>
      <c r="K60" s="403"/>
    </row>
    <row r="61" spans="3:11">
      <c r="C61" s="1551"/>
      <c r="D61" s="404"/>
      <c r="E61" s="577"/>
      <c r="F61" s="403"/>
      <c r="G61" s="403"/>
      <c r="H61" s="403"/>
      <c r="I61" s="403"/>
      <c r="J61" s="404"/>
      <c r="K61" s="403"/>
    </row>
    <row r="62" spans="3:11">
      <c r="C62" s="1551"/>
      <c r="D62" s="404"/>
      <c r="E62" s="577"/>
      <c r="F62" s="403"/>
      <c r="G62" s="403"/>
      <c r="H62" s="403"/>
      <c r="I62" s="403"/>
      <c r="J62" s="404"/>
      <c r="K62" s="403"/>
    </row>
    <row r="63" spans="3:11">
      <c r="C63" s="1551"/>
      <c r="D63" s="404"/>
      <c r="E63" s="577"/>
      <c r="F63" s="403"/>
      <c r="G63" s="403"/>
      <c r="H63" s="403"/>
      <c r="I63" s="403"/>
      <c r="J63" s="404"/>
      <c r="K63" s="403"/>
    </row>
    <row r="64" spans="3:11">
      <c r="C64" s="1551"/>
      <c r="D64" s="404"/>
      <c r="E64" s="577"/>
      <c r="F64" s="403"/>
      <c r="G64" s="403"/>
      <c r="H64" s="403"/>
      <c r="I64" s="403"/>
      <c r="J64" s="404"/>
      <c r="K64" s="403"/>
    </row>
    <row r="65" spans="3:11">
      <c r="C65" s="1551"/>
      <c r="D65" s="404"/>
      <c r="E65" s="577"/>
      <c r="F65" s="403"/>
      <c r="G65" s="403"/>
      <c r="H65" s="403"/>
      <c r="I65" s="403"/>
      <c r="J65" s="404"/>
      <c r="K65" s="403"/>
    </row>
    <row r="66" spans="3:11">
      <c r="C66" s="1551"/>
      <c r="D66" s="404"/>
      <c r="E66" s="577"/>
      <c r="F66" s="403"/>
      <c r="G66" s="403"/>
      <c r="H66" s="403"/>
      <c r="I66" s="403"/>
      <c r="J66" s="404"/>
      <c r="K66" s="403"/>
    </row>
    <row r="67" spans="3:11">
      <c r="C67" s="1551"/>
      <c r="D67" s="404"/>
      <c r="E67" s="577"/>
      <c r="F67" s="403"/>
      <c r="G67" s="403"/>
      <c r="H67" s="403"/>
      <c r="I67" s="403"/>
      <c r="J67" s="404"/>
      <c r="K67" s="403"/>
    </row>
    <row r="68" spans="3:11">
      <c r="C68" s="1551"/>
      <c r="D68" s="404"/>
      <c r="E68" s="577"/>
      <c r="F68" s="403"/>
      <c r="G68" s="403"/>
      <c r="H68" s="403"/>
      <c r="I68" s="403"/>
      <c r="J68" s="404"/>
      <c r="K68" s="403"/>
    </row>
    <row r="69" spans="3:11">
      <c r="C69" s="1551"/>
      <c r="D69" s="404"/>
      <c r="E69" s="577"/>
      <c r="F69" s="403"/>
      <c r="G69" s="403"/>
      <c r="H69" s="403"/>
      <c r="I69" s="403"/>
      <c r="J69" s="404"/>
      <c r="K69" s="403"/>
    </row>
    <row r="70" spans="3:11">
      <c r="C70" s="1551"/>
      <c r="D70" s="404"/>
      <c r="E70" s="577"/>
      <c r="F70" s="403"/>
      <c r="G70" s="403"/>
      <c r="H70" s="403"/>
      <c r="I70" s="403"/>
      <c r="J70" s="404"/>
      <c r="K70" s="403"/>
    </row>
    <row r="71" spans="3:11">
      <c r="C71" s="1551"/>
      <c r="D71" s="404"/>
      <c r="E71" s="577"/>
      <c r="F71" s="403"/>
      <c r="G71" s="403"/>
      <c r="H71" s="403"/>
      <c r="I71" s="403"/>
      <c r="J71" s="404"/>
      <c r="K71" s="403"/>
    </row>
    <row r="72" spans="3:11">
      <c r="C72" s="1551"/>
      <c r="D72" s="404"/>
      <c r="E72" s="577"/>
      <c r="F72" s="403"/>
      <c r="G72" s="403"/>
      <c r="H72" s="403"/>
      <c r="I72" s="403"/>
      <c r="J72" s="404"/>
      <c r="K72" s="403"/>
    </row>
    <row r="73" spans="3:11">
      <c r="C73" s="1551"/>
      <c r="D73" s="404"/>
      <c r="E73" s="577"/>
      <c r="F73" s="403"/>
      <c r="G73" s="403"/>
      <c r="H73" s="403"/>
      <c r="I73" s="403"/>
      <c r="J73" s="404"/>
      <c r="K73" s="403"/>
    </row>
    <row r="74" spans="3:11">
      <c r="C74" s="1551"/>
      <c r="D74" s="404"/>
      <c r="E74" s="577"/>
      <c r="F74" s="403"/>
      <c r="G74" s="403"/>
      <c r="H74" s="403"/>
      <c r="I74" s="403"/>
      <c r="J74" s="404"/>
      <c r="K74" s="403"/>
    </row>
    <row r="75" spans="3:11">
      <c r="C75" s="1551"/>
      <c r="D75" s="404"/>
      <c r="E75" s="577"/>
      <c r="F75" s="403"/>
      <c r="G75" s="403"/>
      <c r="H75" s="403"/>
      <c r="I75" s="403"/>
      <c r="J75" s="404"/>
      <c r="K75" s="403"/>
    </row>
    <row r="76" spans="3:11">
      <c r="C76" s="1551"/>
      <c r="D76" s="404"/>
      <c r="E76" s="577"/>
      <c r="F76" s="403"/>
      <c r="G76" s="403"/>
      <c r="H76" s="403"/>
      <c r="I76" s="403"/>
      <c r="J76" s="404"/>
      <c r="K76" s="403"/>
    </row>
    <row r="77" spans="3:11">
      <c r="C77" s="1551"/>
      <c r="D77" s="404"/>
      <c r="E77" s="577"/>
      <c r="F77" s="403"/>
      <c r="G77" s="403"/>
      <c r="H77" s="403"/>
      <c r="I77" s="403"/>
      <c r="J77" s="404"/>
      <c r="K77" s="403"/>
    </row>
    <row r="78" spans="3:11">
      <c r="C78" s="1551"/>
      <c r="D78" s="404"/>
      <c r="E78" s="577"/>
      <c r="F78" s="403"/>
      <c r="G78" s="403"/>
      <c r="H78" s="403"/>
      <c r="I78" s="403"/>
      <c r="J78" s="404"/>
      <c r="K78" s="403"/>
    </row>
    <row r="79" spans="3:11">
      <c r="C79" s="1551"/>
      <c r="D79" s="404"/>
      <c r="E79" s="577"/>
      <c r="F79" s="403"/>
      <c r="G79" s="403"/>
      <c r="H79" s="403"/>
      <c r="I79" s="403"/>
      <c r="J79" s="404"/>
      <c r="K79" s="403"/>
    </row>
    <row r="80" spans="3:11">
      <c r="C80" s="1551"/>
      <c r="D80" s="404"/>
      <c r="E80" s="577"/>
      <c r="F80" s="403"/>
      <c r="G80" s="403"/>
      <c r="H80" s="403"/>
      <c r="I80" s="403"/>
      <c r="J80" s="404"/>
      <c r="K80" s="403"/>
    </row>
    <row r="81" spans="3:11">
      <c r="C81" s="1551"/>
      <c r="D81" s="404"/>
      <c r="E81" s="577"/>
      <c r="F81" s="403"/>
      <c r="G81" s="403"/>
      <c r="H81" s="403"/>
      <c r="I81" s="403"/>
      <c r="J81" s="404"/>
      <c r="K81" s="403"/>
    </row>
    <row r="82" spans="3:11">
      <c r="C82" s="1551"/>
      <c r="D82" s="404"/>
      <c r="E82" s="577"/>
      <c r="F82" s="403"/>
      <c r="G82" s="403"/>
      <c r="H82" s="403"/>
      <c r="I82" s="403"/>
      <c r="J82" s="404"/>
      <c r="K82" s="403"/>
    </row>
    <row r="83" spans="3:11">
      <c r="C83" s="1551"/>
      <c r="D83" s="404"/>
      <c r="E83" s="577"/>
      <c r="F83" s="403"/>
      <c r="G83" s="403"/>
      <c r="H83" s="403"/>
      <c r="I83" s="403"/>
      <c r="J83" s="404"/>
      <c r="K83" s="403"/>
    </row>
    <row r="84" spans="3:11">
      <c r="C84" s="1551"/>
      <c r="D84" s="404"/>
      <c r="E84" s="577"/>
      <c r="F84" s="403"/>
      <c r="G84" s="403"/>
      <c r="H84" s="403"/>
      <c r="I84" s="403"/>
      <c r="J84" s="404"/>
      <c r="K84" s="403"/>
    </row>
    <row r="85" spans="3:11">
      <c r="C85" s="1551"/>
      <c r="D85" s="404"/>
      <c r="E85" s="577"/>
      <c r="F85" s="403"/>
      <c r="G85" s="403"/>
      <c r="H85" s="403"/>
      <c r="I85" s="403"/>
      <c r="J85" s="404"/>
      <c r="K85" s="403"/>
    </row>
    <row r="86" spans="3:11">
      <c r="C86" s="1551"/>
      <c r="D86" s="404"/>
      <c r="E86" s="577"/>
      <c r="F86" s="403"/>
      <c r="G86" s="403"/>
      <c r="H86" s="403"/>
      <c r="I86" s="403"/>
      <c r="J86" s="404"/>
      <c r="K86" s="403"/>
    </row>
    <row r="87" spans="3:11">
      <c r="C87" s="1551"/>
      <c r="D87" s="404"/>
      <c r="E87" s="577"/>
      <c r="F87" s="403"/>
      <c r="G87" s="403"/>
      <c r="H87" s="403"/>
      <c r="I87" s="403"/>
      <c r="J87" s="404"/>
      <c r="K87" s="403"/>
    </row>
    <row r="88" spans="3:11">
      <c r="C88" s="1551"/>
      <c r="D88" s="404"/>
      <c r="E88" s="577"/>
      <c r="F88" s="403"/>
      <c r="G88" s="403"/>
      <c r="H88" s="403"/>
      <c r="I88" s="403"/>
      <c r="J88" s="404"/>
      <c r="K88" s="403"/>
    </row>
    <row r="89" spans="3:11">
      <c r="C89" s="1551"/>
      <c r="D89" s="404"/>
      <c r="E89" s="577"/>
      <c r="F89" s="403"/>
      <c r="G89" s="403"/>
      <c r="H89" s="403"/>
      <c r="I89" s="403"/>
      <c r="J89" s="404"/>
      <c r="K89" s="403"/>
    </row>
    <row r="90" spans="3:11">
      <c r="C90" s="1551"/>
      <c r="D90" s="404"/>
      <c r="E90" s="577"/>
      <c r="F90" s="403"/>
      <c r="G90" s="403"/>
      <c r="H90" s="403"/>
      <c r="I90" s="403"/>
      <c r="J90" s="404"/>
      <c r="K90" s="403"/>
    </row>
    <row r="91" spans="3:11">
      <c r="C91" s="1551"/>
      <c r="D91" s="404"/>
      <c r="E91" s="577"/>
      <c r="F91" s="403"/>
      <c r="G91" s="403"/>
      <c r="H91" s="403"/>
      <c r="I91" s="403"/>
      <c r="J91" s="404"/>
      <c r="K91" s="403"/>
    </row>
    <row r="92" spans="3:11">
      <c r="C92" s="1551"/>
      <c r="D92" s="404"/>
      <c r="E92" s="577"/>
      <c r="F92" s="403"/>
      <c r="G92" s="403"/>
      <c r="H92" s="403"/>
      <c r="I92" s="403"/>
      <c r="J92" s="404"/>
      <c r="K92" s="403"/>
    </row>
    <row r="93" spans="3:11">
      <c r="C93" s="1551"/>
      <c r="D93" s="404"/>
      <c r="E93" s="577"/>
      <c r="F93" s="403"/>
      <c r="G93" s="403"/>
      <c r="H93" s="403"/>
      <c r="I93" s="403"/>
      <c r="J93" s="404"/>
      <c r="K93" s="403"/>
    </row>
    <row r="94" spans="3:11">
      <c r="C94" s="1551"/>
      <c r="D94" s="404"/>
      <c r="E94" s="577"/>
      <c r="F94" s="403"/>
      <c r="G94" s="403"/>
      <c r="H94" s="403"/>
      <c r="I94" s="403"/>
      <c r="J94" s="404"/>
      <c r="K94" s="403"/>
    </row>
    <row r="95" spans="3:11">
      <c r="C95" s="1551"/>
      <c r="D95" s="404"/>
      <c r="E95" s="577"/>
      <c r="F95" s="403"/>
      <c r="G95" s="403"/>
      <c r="H95" s="403"/>
      <c r="I95" s="403"/>
      <c r="J95" s="404"/>
      <c r="K95" s="403"/>
    </row>
    <row r="96" spans="3:11">
      <c r="C96" s="1551"/>
      <c r="D96" s="404"/>
      <c r="E96" s="577"/>
      <c r="F96" s="403"/>
      <c r="G96" s="403"/>
      <c r="H96" s="403"/>
      <c r="I96" s="403"/>
      <c r="J96" s="404"/>
      <c r="K96" s="403"/>
    </row>
    <row r="97" spans="3:11">
      <c r="C97" s="1551"/>
      <c r="D97" s="404"/>
      <c r="E97" s="577"/>
      <c r="F97" s="403"/>
      <c r="G97" s="403"/>
      <c r="H97" s="403"/>
      <c r="I97" s="403"/>
      <c r="J97" s="404"/>
      <c r="K97" s="403"/>
    </row>
    <row r="98" spans="3:11">
      <c r="C98" s="1551"/>
      <c r="D98" s="404"/>
      <c r="E98" s="577"/>
      <c r="F98" s="403"/>
      <c r="G98" s="403"/>
      <c r="H98" s="403"/>
      <c r="I98" s="403"/>
      <c r="J98" s="404"/>
      <c r="K98" s="403"/>
    </row>
    <row r="99" spans="3:11">
      <c r="C99" s="1551"/>
      <c r="D99" s="404"/>
      <c r="E99" s="577"/>
      <c r="F99" s="403"/>
      <c r="G99" s="403"/>
      <c r="H99" s="403"/>
      <c r="I99" s="403"/>
      <c r="J99" s="404"/>
      <c r="K99" s="403"/>
    </row>
    <row r="100" spans="3:11">
      <c r="C100" s="1551"/>
      <c r="D100" s="404"/>
      <c r="E100" s="577"/>
      <c r="F100" s="403"/>
      <c r="G100" s="403"/>
      <c r="H100" s="403"/>
      <c r="I100" s="403"/>
      <c r="J100" s="404"/>
      <c r="K100" s="403"/>
    </row>
    <row r="101" spans="3:11">
      <c r="C101" s="1551"/>
      <c r="D101" s="404"/>
      <c r="E101" s="577"/>
      <c r="F101" s="403"/>
      <c r="G101" s="403"/>
      <c r="H101" s="403"/>
      <c r="I101" s="403"/>
      <c r="J101" s="404"/>
      <c r="K101" s="403"/>
    </row>
    <row r="102" spans="3:11">
      <c r="C102" s="1551"/>
      <c r="D102" s="404"/>
      <c r="E102" s="577"/>
      <c r="F102" s="403"/>
      <c r="G102" s="403"/>
      <c r="H102" s="403"/>
      <c r="I102" s="403"/>
      <c r="J102" s="404"/>
      <c r="K102" s="403"/>
    </row>
    <row r="103" spans="3:11">
      <c r="C103" s="1551"/>
      <c r="D103" s="404"/>
      <c r="E103" s="577"/>
      <c r="F103" s="403"/>
      <c r="G103" s="403"/>
      <c r="H103" s="403"/>
      <c r="I103" s="403"/>
      <c r="J103" s="404"/>
      <c r="K103" s="403"/>
    </row>
    <row r="104" spans="3:11">
      <c r="C104" s="1551"/>
      <c r="D104" s="404"/>
      <c r="E104" s="577"/>
      <c r="F104" s="403"/>
      <c r="G104" s="403"/>
      <c r="H104" s="403"/>
      <c r="I104" s="403"/>
      <c r="J104" s="404"/>
      <c r="K104" s="403"/>
    </row>
    <row r="105" spans="3:11">
      <c r="C105" s="1551"/>
      <c r="D105" s="404"/>
      <c r="E105" s="577"/>
      <c r="F105" s="403"/>
      <c r="G105" s="403"/>
      <c r="H105" s="403"/>
      <c r="I105" s="403"/>
      <c r="J105" s="404"/>
      <c r="K105" s="403"/>
    </row>
    <row r="106" spans="3:11">
      <c r="C106" s="1551"/>
      <c r="D106" s="404"/>
      <c r="E106" s="577"/>
      <c r="F106" s="403"/>
      <c r="G106" s="403"/>
      <c r="H106" s="403"/>
      <c r="I106" s="403"/>
      <c r="J106" s="404"/>
      <c r="K106" s="403"/>
    </row>
    <row r="107" spans="3:11">
      <c r="C107" s="1551"/>
      <c r="D107" s="404"/>
      <c r="E107" s="577"/>
      <c r="F107" s="403"/>
      <c r="G107" s="403"/>
      <c r="H107" s="403"/>
      <c r="I107" s="403"/>
      <c r="J107" s="404"/>
      <c r="K107" s="403"/>
    </row>
    <row r="108" spans="3:11">
      <c r="C108" s="1551"/>
      <c r="D108" s="404"/>
      <c r="E108" s="577"/>
      <c r="F108" s="403"/>
      <c r="G108" s="403"/>
      <c r="H108" s="403"/>
      <c r="I108" s="403"/>
      <c r="J108" s="404"/>
      <c r="K108" s="403"/>
    </row>
    <row r="109" spans="3:11">
      <c r="C109" s="1551"/>
      <c r="D109" s="404"/>
      <c r="E109" s="577"/>
      <c r="F109" s="403"/>
      <c r="G109" s="403"/>
      <c r="H109" s="403"/>
      <c r="I109" s="403"/>
      <c r="J109" s="404"/>
      <c r="K109" s="403"/>
    </row>
    <row r="110" spans="3:11">
      <c r="C110" s="1551"/>
      <c r="D110" s="404"/>
      <c r="E110" s="577"/>
      <c r="F110" s="403"/>
      <c r="G110" s="403"/>
      <c r="H110" s="403"/>
      <c r="I110" s="403"/>
      <c r="J110" s="404"/>
      <c r="K110" s="403"/>
    </row>
    <row r="111" spans="3:11">
      <c r="C111" s="1551"/>
      <c r="D111" s="404"/>
      <c r="E111" s="577"/>
      <c r="F111" s="403"/>
      <c r="G111" s="403"/>
      <c r="H111" s="403"/>
      <c r="I111" s="403"/>
      <c r="J111" s="404"/>
      <c r="K111" s="403"/>
    </row>
    <row r="112" spans="3:11">
      <c r="C112" s="1551"/>
      <c r="D112" s="404"/>
      <c r="E112" s="577"/>
      <c r="F112" s="403"/>
      <c r="G112" s="403"/>
      <c r="H112" s="403"/>
      <c r="I112" s="403"/>
      <c r="J112" s="404"/>
      <c r="K112" s="403"/>
    </row>
    <row r="113" spans="3:11">
      <c r="C113" s="1551"/>
      <c r="D113" s="404"/>
      <c r="E113" s="577"/>
      <c r="F113" s="403"/>
      <c r="G113" s="403"/>
      <c r="H113" s="403"/>
      <c r="I113" s="403"/>
      <c r="J113" s="404"/>
      <c r="K113" s="403"/>
    </row>
    <row r="114" spans="3:11">
      <c r="C114" s="1551"/>
      <c r="D114" s="404"/>
      <c r="E114" s="577"/>
      <c r="F114" s="403"/>
      <c r="G114" s="403"/>
      <c r="H114" s="403"/>
      <c r="I114" s="403"/>
      <c r="J114" s="404"/>
      <c r="K114" s="403"/>
    </row>
    <row r="115" spans="3:11">
      <c r="C115" s="1551"/>
      <c r="D115" s="404"/>
      <c r="E115" s="577"/>
      <c r="F115" s="403"/>
      <c r="G115" s="403"/>
      <c r="H115" s="403"/>
      <c r="I115" s="403"/>
      <c r="J115" s="404"/>
      <c r="K115" s="403"/>
    </row>
    <row r="116" spans="3:11">
      <c r="C116" s="1551"/>
      <c r="D116" s="404"/>
      <c r="E116" s="577"/>
      <c r="F116" s="403"/>
      <c r="G116" s="403"/>
      <c r="H116" s="403"/>
      <c r="I116" s="403"/>
      <c r="J116" s="404"/>
      <c r="K116" s="403"/>
    </row>
    <row r="117" spans="3:11">
      <c r="C117" s="1551"/>
      <c r="D117" s="404"/>
      <c r="E117" s="577"/>
      <c r="F117" s="403"/>
      <c r="G117" s="403"/>
      <c r="H117" s="403"/>
      <c r="I117" s="403"/>
      <c r="J117" s="404"/>
      <c r="K117" s="403"/>
    </row>
    <row r="118" spans="3:11">
      <c r="C118" s="1551"/>
      <c r="D118" s="404"/>
      <c r="E118" s="577"/>
      <c r="F118" s="403"/>
      <c r="G118" s="403"/>
      <c r="H118" s="403"/>
      <c r="I118" s="403"/>
      <c r="J118" s="404"/>
      <c r="K118" s="403"/>
    </row>
    <row r="119" spans="3:11">
      <c r="C119" s="1551"/>
      <c r="D119" s="404"/>
      <c r="E119" s="577"/>
      <c r="F119" s="403"/>
      <c r="G119" s="403"/>
      <c r="H119" s="403"/>
      <c r="I119" s="403"/>
      <c r="J119" s="404"/>
      <c r="K119" s="403"/>
    </row>
    <row r="120" spans="3:11">
      <c r="C120" s="1551"/>
      <c r="D120" s="404"/>
      <c r="E120" s="577"/>
      <c r="F120" s="403"/>
      <c r="G120" s="403"/>
      <c r="H120" s="403"/>
      <c r="I120" s="403"/>
      <c r="J120" s="404"/>
      <c r="K120" s="403"/>
    </row>
    <row r="121" spans="3:11">
      <c r="C121" s="1551"/>
      <c r="D121" s="404"/>
      <c r="E121" s="577"/>
      <c r="F121" s="403"/>
      <c r="G121" s="403"/>
      <c r="H121" s="403"/>
      <c r="I121" s="403"/>
      <c r="J121" s="404"/>
      <c r="K121" s="403"/>
    </row>
    <row r="122" spans="3:11">
      <c r="C122" s="1551"/>
      <c r="D122" s="404"/>
      <c r="E122" s="577"/>
      <c r="F122" s="403"/>
      <c r="G122" s="403"/>
      <c r="H122" s="403"/>
      <c r="I122" s="403"/>
      <c r="J122" s="404"/>
      <c r="K122" s="403"/>
    </row>
    <row r="123" spans="3:11">
      <c r="C123" s="1551"/>
      <c r="D123" s="404"/>
      <c r="E123" s="577"/>
      <c r="F123" s="403"/>
      <c r="G123" s="403"/>
      <c r="H123" s="403"/>
      <c r="I123" s="403"/>
      <c r="J123" s="404"/>
      <c r="K123" s="403"/>
    </row>
    <row r="124" spans="3:11">
      <c r="C124" s="1551"/>
      <c r="D124" s="404"/>
      <c r="E124" s="577"/>
      <c r="F124" s="403"/>
      <c r="G124" s="403"/>
      <c r="H124" s="403"/>
      <c r="I124" s="403"/>
      <c r="J124" s="404"/>
      <c r="K124" s="403"/>
    </row>
    <row r="125" spans="3:11">
      <c r="C125" s="1551"/>
      <c r="D125" s="404"/>
      <c r="E125" s="577"/>
      <c r="F125" s="403"/>
      <c r="G125" s="403"/>
      <c r="H125" s="403"/>
      <c r="I125" s="403"/>
      <c r="J125" s="404"/>
      <c r="K125" s="403"/>
    </row>
    <row r="126" spans="3:11">
      <c r="C126" s="1551"/>
      <c r="D126" s="404"/>
      <c r="E126" s="577"/>
      <c r="F126" s="403"/>
      <c r="G126" s="403"/>
      <c r="H126" s="403"/>
      <c r="I126" s="403"/>
      <c r="J126" s="404"/>
      <c r="K126" s="403"/>
    </row>
    <row r="127" spans="3:11">
      <c r="C127" s="1551"/>
      <c r="D127" s="404"/>
      <c r="E127" s="577"/>
      <c r="F127" s="403"/>
      <c r="G127" s="403"/>
      <c r="H127" s="403"/>
      <c r="I127" s="403"/>
      <c r="J127" s="404"/>
      <c r="K127" s="403"/>
    </row>
    <row r="128" spans="3:11">
      <c r="C128" s="1551"/>
      <c r="D128" s="404"/>
      <c r="E128" s="577"/>
      <c r="F128" s="403"/>
      <c r="G128" s="403"/>
      <c r="H128" s="403"/>
      <c r="I128" s="403"/>
      <c r="J128" s="404"/>
      <c r="K128" s="403"/>
    </row>
    <row r="129" spans="3:11">
      <c r="C129" s="1551"/>
      <c r="D129" s="404"/>
      <c r="E129" s="577"/>
      <c r="F129" s="403"/>
      <c r="G129" s="403"/>
      <c r="H129" s="403"/>
      <c r="I129" s="403"/>
      <c r="J129" s="404"/>
      <c r="K129" s="403"/>
    </row>
    <row r="130" spans="3:11">
      <c r="C130" s="1551"/>
      <c r="D130" s="404"/>
      <c r="E130" s="577"/>
      <c r="F130" s="403"/>
      <c r="G130" s="403"/>
      <c r="H130" s="403"/>
      <c r="I130" s="403"/>
      <c r="J130" s="404"/>
      <c r="K130" s="403"/>
    </row>
    <row r="131" spans="3:11">
      <c r="C131" s="1551"/>
      <c r="D131" s="404"/>
      <c r="E131" s="577"/>
      <c r="F131" s="403"/>
      <c r="G131" s="403"/>
      <c r="H131" s="403"/>
      <c r="I131" s="403"/>
      <c r="J131" s="404"/>
      <c r="K131" s="403"/>
    </row>
    <row r="132" spans="3:11">
      <c r="C132" s="1551"/>
      <c r="D132" s="404"/>
      <c r="E132" s="577"/>
      <c r="F132" s="403"/>
      <c r="G132" s="403"/>
      <c r="H132" s="403"/>
      <c r="I132" s="403"/>
      <c r="J132" s="404"/>
      <c r="K132" s="403"/>
    </row>
    <row r="133" spans="3:11">
      <c r="C133" s="1551"/>
      <c r="D133" s="404"/>
      <c r="E133" s="577"/>
      <c r="F133" s="403"/>
      <c r="G133" s="403"/>
      <c r="H133" s="403"/>
      <c r="I133" s="403"/>
      <c r="J133" s="404"/>
      <c r="K133" s="403"/>
    </row>
    <row r="134" spans="3:11">
      <c r="C134" s="1551"/>
      <c r="D134" s="404"/>
      <c r="E134" s="577"/>
      <c r="F134" s="403"/>
      <c r="G134" s="403"/>
      <c r="H134" s="403"/>
      <c r="I134" s="403"/>
      <c r="J134" s="404"/>
      <c r="K134" s="403"/>
    </row>
    <row r="135" spans="3:11">
      <c r="C135" s="1551"/>
      <c r="D135" s="404"/>
      <c r="E135" s="577"/>
      <c r="F135" s="403"/>
      <c r="G135" s="403"/>
      <c r="H135" s="403"/>
      <c r="I135" s="403"/>
      <c r="J135" s="404"/>
      <c r="K135" s="403"/>
    </row>
    <row r="136" spans="3:11">
      <c r="C136" s="1551"/>
      <c r="D136" s="404"/>
      <c r="E136" s="577"/>
      <c r="F136" s="403"/>
      <c r="G136" s="403"/>
      <c r="H136" s="403"/>
      <c r="I136" s="403"/>
      <c r="J136" s="404"/>
      <c r="K136" s="403"/>
    </row>
    <row r="137" spans="3:11">
      <c r="C137" s="1551"/>
      <c r="D137" s="404"/>
      <c r="E137" s="577"/>
      <c r="F137" s="403"/>
      <c r="G137" s="403"/>
      <c r="H137" s="403"/>
      <c r="I137" s="403"/>
      <c r="J137" s="404"/>
      <c r="K137" s="403"/>
    </row>
  </sheetData>
  <sheetProtection algorithmName="SHA-512" hashValue="+GelN8wXxQUHDQz2PYhnICe53dqzDy3n/sdH5gxhJE7q7d8DSTqZRFmaeqklduUA0RkECYhZV9WeH6Wh8BoMJA==" saltValue="peXOfgDpSRCBM+4O61nihA==" spinCount="100000" sheet="1" objects="1" scenarios="1"/>
  <pageMargins left="0.7" right="0.7" top="0.75" bottom="0.75" header="0.3" footer="0.3"/>
  <pageSetup scale="46"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1"/>
    <pageSetUpPr fitToPage="1"/>
  </sheetPr>
  <dimension ref="A1:EF149"/>
  <sheetViews>
    <sheetView showGridLines="0" zoomScale="70" zoomScaleNormal="70" workbookViewId="0">
      <pane ySplit="2" topLeftCell="A99" activePane="bottomLeft" state="frozen"/>
      <selection pane="bottomLeft" activeCell="T114" sqref="T114"/>
    </sheetView>
  </sheetViews>
  <sheetFormatPr baseColWidth="10" defaultColWidth="19.5" defaultRowHeight="11.75" customHeight="1"/>
  <cols>
    <col min="1" max="1" width="144.25" style="24" customWidth="1"/>
    <col min="2" max="2" width="25.25" style="30" customWidth="1"/>
    <col min="3" max="6" width="25" style="1" customWidth="1"/>
    <col min="7" max="7" width="25" style="882" customWidth="1"/>
    <col min="8" max="19" width="25" style="1" customWidth="1"/>
    <col min="20" max="20" width="160.75" style="1" customWidth="1"/>
    <col min="21" max="21" width="19.5" style="1" customWidth="1"/>
    <col min="22" max="22" width="44.25" style="1168" customWidth="1"/>
    <col min="23" max="23" width="19.5" style="1"/>
    <col min="24" max="24" width="82.25" style="1" customWidth="1"/>
    <col min="25" max="16384" width="19.5" style="1"/>
  </cols>
  <sheetData>
    <row r="1" spans="1:136" ht="14.5" customHeight="1">
      <c r="A1" s="2363" t="s">
        <v>11</v>
      </c>
      <c r="B1" s="2363"/>
      <c r="C1" s="2363"/>
      <c r="D1" s="2363"/>
      <c r="E1" s="2363"/>
      <c r="F1" s="2363"/>
      <c r="G1" s="2363"/>
      <c r="H1" s="2363"/>
      <c r="I1" s="2363"/>
      <c r="J1" s="2363"/>
      <c r="K1" s="2363"/>
      <c r="L1" s="2363"/>
      <c r="M1" s="2363"/>
      <c r="N1" s="2363"/>
      <c r="O1" s="2363"/>
      <c r="P1" s="2363"/>
      <c r="Q1" s="2363"/>
      <c r="R1" s="2363"/>
      <c r="S1" s="2363"/>
      <c r="T1" s="2363"/>
    </row>
    <row r="2" spans="1:136" s="328" customFormat="1" ht="62" customHeight="1">
      <c r="A2" s="2364"/>
      <c r="B2" s="2365"/>
      <c r="C2" s="1275" t="s">
        <v>16</v>
      </c>
      <c r="D2" s="1275" t="s">
        <v>17</v>
      </c>
      <c r="E2" s="1275" t="s">
        <v>380</v>
      </c>
      <c r="F2" s="1275" t="s">
        <v>1900</v>
      </c>
      <c r="G2" s="1276" t="s">
        <v>1722</v>
      </c>
      <c r="H2" s="1275" t="s">
        <v>1720</v>
      </c>
      <c r="I2" s="1275" t="s">
        <v>1715</v>
      </c>
      <c r="J2" s="1275" t="s">
        <v>1716</v>
      </c>
      <c r="K2" s="1275" t="s">
        <v>1717</v>
      </c>
      <c r="L2" s="1275" t="s">
        <v>1718</v>
      </c>
      <c r="M2" s="1275" t="s">
        <v>840</v>
      </c>
      <c r="N2" s="1275" t="s">
        <v>1721</v>
      </c>
      <c r="O2" s="1275" t="s">
        <v>381</v>
      </c>
      <c r="P2" s="1275" t="s">
        <v>390</v>
      </c>
      <c r="Q2" s="1275" t="s">
        <v>394</v>
      </c>
      <c r="R2" s="1275" t="s">
        <v>387</v>
      </c>
      <c r="S2" s="1275" t="s">
        <v>382</v>
      </c>
      <c r="T2" s="1152" t="s">
        <v>12</v>
      </c>
      <c r="U2" s="1153"/>
      <c r="V2" s="1372"/>
      <c r="W2" s="1153"/>
      <c r="X2" s="1386"/>
      <c r="Y2" s="1153"/>
      <c r="Z2" s="1153"/>
      <c r="AA2" s="1153"/>
      <c r="AB2" s="1153"/>
      <c r="AC2" s="1153"/>
      <c r="AD2" s="1153"/>
      <c r="AE2" s="1153"/>
      <c r="AF2" s="1153"/>
      <c r="AG2" s="1153"/>
      <c r="AH2" s="1153"/>
      <c r="AI2" s="1153"/>
      <c r="AJ2" s="1153"/>
      <c r="AK2" s="1153"/>
      <c r="AL2" s="1153"/>
      <c r="AM2" s="1153"/>
      <c r="AN2" s="1153"/>
      <c r="AO2" s="1153"/>
      <c r="AP2" s="1153"/>
      <c r="AQ2" s="1153"/>
      <c r="AR2" s="1153"/>
      <c r="AS2" s="1153"/>
      <c r="AT2" s="1153"/>
      <c r="AU2" s="1153"/>
      <c r="AV2" s="1153"/>
      <c r="AW2" s="1153"/>
      <c r="AX2" s="1153"/>
      <c r="AY2" s="1153"/>
      <c r="AZ2" s="1153"/>
      <c r="BA2" s="1153"/>
      <c r="BB2" s="1153"/>
      <c r="BC2" s="1153"/>
      <c r="BD2" s="1153"/>
      <c r="BE2" s="1153"/>
      <c r="BF2" s="1153"/>
      <c r="BG2" s="1153"/>
      <c r="BH2" s="1153"/>
      <c r="BI2" s="1153"/>
      <c r="BJ2" s="1153"/>
      <c r="BK2" s="1153"/>
      <c r="BL2" s="1153"/>
      <c r="BM2" s="1153"/>
      <c r="BN2" s="1153"/>
      <c r="BO2" s="1153"/>
      <c r="BP2" s="1153"/>
      <c r="BQ2" s="1153"/>
      <c r="BR2" s="1153"/>
      <c r="BS2" s="1153"/>
      <c r="BT2" s="1153"/>
      <c r="BU2" s="1153"/>
      <c r="BV2" s="1153"/>
      <c r="BW2" s="1153"/>
      <c r="BX2" s="1153"/>
      <c r="BY2" s="1153"/>
      <c r="BZ2" s="1153"/>
      <c r="CA2" s="1153"/>
      <c r="CB2" s="1153"/>
      <c r="CC2" s="1153"/>
      <c r="CD2" s="1153"/>
      <c r="CE2" s="1153"/>
      <c r="CF2" s="1153"/>
      <c r="CG2" s="1153"/>
      <c r="CH2" s="1153"/>
      <c r="CI2" s="1153"/>
      <c r="CJ2" s="1153"/>
      <c r="CK2" s="1153"/>
      <c r="CL2" s="1153"/>
      <c r="CM2" s="1153"/>
      <c r="CN2" s="1153"/>
      <c r="CO2" s="1153"/>
      <c r="CP2" s="1153"/>
      <c r="CQ2" s="1153"/>
      <c r="CR2" s="1153"/>
      <c r="CS2" s="1153"/>
      <c r="CT2" s="1153"/>
      <c r="CU2" s="1153"/>
      <c r="CV2" s="1153"/>
      <c r="CW2" s="1153"/>
      <c r="CX2" s="1153"/>
      <c r="CY2" s="1153"/>
      <c r="CZ2" s="1153"/>
      <c r="DA2" s="1153"/>
      <c r="DB2" s="1153"/>
      <c r="DC2" s="1153"/>
      <c r="DD2" s="1153"/>
      <c r="DE2" s="1153"/>
      <c r="DF2" s="1153"/>
      <c r="DG2" s="1153"/>
      <c r="DH2" s="1153"/>
      <c r="DI2" s="1153"/>
      <c r="DJ2" s="1153"/>
      <c r="DK2" s="1153"/>
      <c r="DL2" s="1153"/>
      <c r="DM2" s="1153"/>
      <c r="DN2" s="1153"/>
      <c r="DO2" s="1153"/>
      <c r="DP2" s="1153"/>
      <c r="DQ2" s="1153"/>
      <c r="DR2" s="1153"/>
      <c r="DS2" s="1153"/>
      <c r="DT2" s="1153"/>
      <c r="DU2" s="1153"/>
      <c r="DV2" s="1153"/>
      <c r="DW2" s="1153"/>
      <c r="DX2" s="1153"/>
      <c r="DY2" s="1153"/>
      <c r="DZ2" s="1153"/>
      <c r="EA2" s="1153"/>
      <c r="EB2" s="1153"/>
      <c r="EC2" s="1153"/>
      <c r="ED2" s="1153"/>
      <c r="EE2" s="1153"/>
      <c r="EF2" s="1153"/>
    </row>
    <row r="3" spans="1:136" ht="44.5" customHeight="1">
      <c r="A3" s="768"/>
      <c r="B3" s="1251"/>
      <c r="C3" s="331"/>
      <c r="D3" s="331"/>
      <c r="E3" s="331"/>
      <c r="F3" s="331"/>
      <c r="G3" s="884"/>
      <c r="H3" s="331"/>
      <c r="I3" s="331"/>
      <c r="J3" s="331"/>
      <c r="K3" s="331"/>
      <c r="L3" s="331"/>
      <c r="M3" s="331"/>
      <c r="N3" s="331"/>
      <c r="O3" s="331"/>
      <c r="P3" s="331"/>
      <c r="Q3" s="331"/>
      <c r="R3" s="331"/>
      <c r="S3" s="331"/>
      <c r="T3" s="135"/>
      <c r="U3" s="1154"/>
      <c r="V3" s="1373"/>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35"/>
      <c r="DX3" s="135"/>
      <c r="DY3" s="135"/>
      <c r="DZ3" s="135"/>
      <c r="EA3" s="135"/>
      <c r="EB3" s="135"/>
      <c r="EC3" s="135"/>
      <c r="ED3" s="135"/>
      <c r="EE3" s="135"/>
      <c r="EF3" s="135"/>
    </row>
    <row r="4" spans="1:136" s="1784" customFormat="1" ht="40" customHeight="1" thickBot="1">
      <c r="A4" s="1171" t="s">
        <v>2063</v>
      </c>
      <c r="B4" s="1171"/>
      <c r="C4" s="1781"/>
      <c r="D4" s="1781"/>
      <c r="E4" s="1781"/>
      <c r="F4" s="1781"/>
      <c r="G4" s="1782"/>
      <c r="H4" s="1781"/>
      <c r="I4" s="1781"/>
      <c r="J4" s="1781"/>
      <c r="K4" s="1781"/>
      <c r="L4" s="1781"/>
      <c r="M4" s="1781"/>
      <c r="N4" s="1781"/>
      <c r="O4" s="1781"/>
      <c r="P4" s="1781"/>
      <c r="Q4" s="1781"/>
      <c r="R4" s="1781"/>
      <c r="S4" s="1781"/>
      <c r="T4" s="1783"/>
      <c r="V4" s="1785"/>
      <c r="X4" s="1786"/>
    </row>
    <row r="5" spans="1:136" s="135" customFormat="1" ht="20" customHeight="1" thickTop="1">
      <c r="A5" s="200" t="s">
        <v>1729</v>
      </c>
      <c r="B5" s="50"/>
      <c r="C5" s="1253"/>
      <c r="D5" s="1253"/>
      <c r="E5" s="1253"/>
      <c r="F5" s="1253"/>
      <c r="G5" s="1254"/>
      <c r="H5" s="1253"/>
      <c r="I5" s="1253"/>
      <c r="J5" s="1253"/>
      <c r="K5" s="1253"/>
      <c r="L5" s="1253"/>
      <c r="M5" s="1253"/>
      <c r="N5" s="1253"/>
      <c r="O5" s="1253"/>
      <c r="P5" s="1253"/>
      <c r="Q5" s="1253"/>
      <c r="R5" s="1253"/>
      <c r="S5" s="1253"/>
      <c r="T5" s="326"/>
      <c r="V5" s="1780"/>
      <c r="X5" s="327"/>
    </row>
    <row r="6" spans="1:136" s="322" customFormat="1" ht="50" customHeight="1" thickBot="1">
      <c r="A6" s="1317" t="s">
        <v>288</v>
      </c>
      <c r="B6" s="1318"/>
      <c r="C6" s="1422">
        <v>0</v>
      </c>
      <c r="D6" s="1422">
        <v>0</v>
      </c>
      <c r="E6" s="1422">
        <v>0</v>
      </c>
      <c r="F6" s="1422">
        <v>0</v>
      </c>
      <c r="G6" s="1423">
        <v>0</v>
      </c>
      <c r="H6" s="1422">
        <v>0</v>
      </c>
      <c r="I6" s="1422">
        <v>0</v>
      </c>
      <c r="J6" s="1422">
        <v>0</v>
      </c>
      <c r="K6" s="1422">
        <v>0</v>
      </c>
      <c r="L6" s="1422">
        <v>0</v>
      </c>
      <c r="M6" s="1319" t="s">
        <v>414</v>
      </c>
      <c r="N6" s="1422">
        <v>0</v>
      </c>
      <c r="O6" s="1422">
        <v>0</v>
      </c>
      <c r="P6" s="1422">
        <v>0</v>
      </c>
      <c r="Q6" s="1422">
        <v>0</v>
      </c>
      <c r="R6" s="1422">
        <v>0</v>
      </c>
      <c r="S6" s="1422">
        <v>0</v>
      </c>
      <c r="T6" s="1155" t="s">
        <v>13</v>
      </c>
      <c r="U6" s="135"/>
      <c r="V6" s="1375"/>
      <c r="W6" s="135"/>
      <c r="X6" s="3"/>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35"/>
      <c r="CG6" s="135"/>
      <c r="CH6" s="135"/>
      <c r="CI6" s="135"/>
      <c r="CJ6" s="135"/>
      <c r="CK6" s="135"/>
      <c r="CL6" s="135"/>
      <c r="CM6" s="135"/>
      <c r="CN6" s="135"/>
      <c r="CO6" s="135"/>
      <c r="CP6" s="135"/>
      <c r="CQ6" s="135"/>
      <c r="CR6" s="135"/>
      <c r="CS6" s="135"/>
      <c r="CT6" s="135"/>
      <c r="CU6" s="135"/>
      <c r="CV6" s="135"/>
      <c r="CW6" s="135"/>
      <c r="CX6" s="135"/>
      <c r="CY6" s="135"/>
      <c r="CZ6" s="135"/>
      <c r="DA6" s="135"/>
      <c r="DB6" s="135"/>
      <c r="DC6" s="135"/>
      <c r="DD6" s="135"/>
      <c r="DE6" s="135"/>
      <c r="DF6" s="135"/>
      <c r="DG6" s="135"/>
      <c r="DH6" s="135"/>
      <c r="DI6" s="135"/>
      <c r="DJ6" s="135"/>
      <c r="DK6" s="135"/>
      <c r="DL6" s="135"/>
      <c r="DM6" s="135"/>
      <c r="DN6" s="135"/>
      <c r="DO6" s="135"/>
      <c r="DP6" s="135"/>
      <c r="DQ6" s="135"/>
      <c r="DR6" s="135"/>
      <c r="DS6" s="135"/>
      <c r="DT6" s="135"/>
      <c r="DU6" s="135"/>
      <c r="DV6" s="135"/>
      <c r="DW6" s="135"/>
      <c r="DX6" s="135"/>
      <c r="DY6" s="135"/>
      <c r="DZ6" s="135"/>
      <c r="EA6" s="135"/>
      <c r="EB6" s="135"/>
      <c r="EC6" s="135"/>
      <c r="ED6" s="135"/>
      <c r="EE6" s="135"/>
      <c r="EF6" s="135"/>
    </row>
    <row r="7" spans="1:136" s="135" customFormat="1" ht="20" customHeight="1" thickTop="1">
      <c r="A7" s="200" t="s">
        <v>290</v>
      </c>
      <c r="B7" s="198"/>
      <c r="D7" s="1256"/>
      <c r="E7" s="1256"/>
      <c r="F7" s="1256"/>
      <c r="G7" s="1257"/>
      <c r="I7" s="1258"/>
      <c r="J7" s="1258"/>
      <c r="K7" s="1258"/>
      <c r="L7" s="1258"/>
      <c r="M7" s="1258"/>
      <c r="N7" s="1258"/>
      <c r="O7" s="1258"/>
      <c r="P7" s="1258"/>
      <c r="Q7" s="1258"/>
      <c r="R7" s="1258"/>
      <c r="S7" s="1258"/>
      <c r="T7" s="319"/>
      <c r="U7" s="321"/>
      <c r="V7" s="1374"/>
    </row>
    <row r="8" spans="1:136" s="322" customFormat="1" ht="50" customHeight="1" thickBot="1">
      <c r="A8" s="1317" t="s">
        <v>289</v>
      </c>
      <c r="B8" s="1318"/>
      <c r="C8" s="1422">
        <v>15</v>
      </c>
      <c r="D8" s="1422">
        <v>15</v>
      </c>
      <c r="E8" s="1422">
        <v>15</v>
      </c>
      <c r="F8" s="1422">
        <v>15</v>
      </c>
      <c r="G8" s="1423">
        <v>15</v>
      </c>
      <c r="H8" s="1422">
        <v>15</v>
      </c>
      <c r="I8" s="1422">
        <v>15</v>
      </c>
      <c r="J8" s="1422">
        <v>15</v>
      </c>
      <c r="K8" s="1422">
        <v>15</v>
      </c>
      <c r="L8" s="1422">
        <v>15</v>
      </c>
      <c r="M8" s="1422">
        <v>15</v>
      </c>
      <c r="N8" s="1422">
        <v>15</v>
      </c>
      <c r="O8" s="1422">
        <v>15</v>
      </c>
      <c r="P8" s="1422">
        <v>15</v>
      </c>
      <c r="Q8" s="1422">
        <v>15</v>
      </c>
      <c r="R8" s="1422">
        <v>15</v>
      </c>
      <c r="S8" s="1422">
        <v>15</v>
      </c>
      <c r="T8" s="1155" t="s">
        <v>13</v>
      </c>
      <c r="U8" s="135"/>
      <c r="V8" s="1375"/>
      <c r="W8" s="135"/>
      <c r="X8" s="3"/>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35"/>
      <c r="CG8" s="135"/>
      <c r="CH8" s="135"/>
      <c r="CI8" s="135"/>
      <c r="CJ8" s="135"/>
      <c r="CK8" s="135"/>
      <c r="CL8" s="135"/>
      <c r="CM8" s="135"/>
      <c r="CN8" s="135"/>
      <c r="CO8" s="135"/>
      <c r="CP8" s="135"/>
      <c r="CQ8" s="135"/>
      <c r="CR8" s="135"/>
      <c r="CS8" s="135"/>
      <c r="CT8" s="135"/>
      <c r="CU8" s="135"/>
      <c r="CV8" s="135"/>
      <c r="CW8" s="135"/>
      <c r="CX8" s="135"/>
      <c r="CY8" s="135"/>
      <c r="CZ8" s="135"/>
      <c r="DA8" s="135"/>
      <c r="DB8" s="135"/>
      <c r="DC8" s="135"/>
      <c r="DD8" s="135"/>
      <c r="DE8" s="135"/>
      <c r="DF8" s="135"/>
      <c r="DG8" s="135"/>
      <c r="DH8" s="135"/>
      <c r="DI8" s="135"/>
      <c r="DJ8" s="135"/>
      <c r="DK8" s="135"/>
      <c r="DL8" s="135"/>
      <c r="DM8" s="135"/>
      <c r="DN8" s="135"/>
      <c r="DO8" s="135"/>
      <c r="DP8" s="135"/>
      <c r="DQ8" s="135"/>
      <c r="DR8" s="135"/>
      <c r="DS8" s="135"/>
      <c r="DT8" s="135"/>
      <c r="DU8" s="135"/>
      <c r="DV8" s="135"/>
      <c r="DW8" s="135"/>
      <c r="DX8" s="135"/>
      <c r="DY8" s="135"/>
      <c r="DZ8" s="135"/>
      <c r="EA8" s="135"/>
      <c r="EB8" s="135"/>
      <c r="EC8" s="135"/>
      <c r="ED8" s="135"/>
      <c r="EE8" s="135"/>
      <c r="EF8" s="135"/>
    </row>
    <row r="9" spans="1:136" s="135" customFormat="1" ht="20" customHeight="1" thickTop="1">
      <c r="A9" s="200" t="s">
        <v>307</v>
      </c>
      <c r="B9" s="198"/>
      <c r="C9" s="320"/>
      <c r="D9" s="320"/>
      <c r="E9" s="320"/>
      <c r="F9" s="320"/>
      <c r="G9" s="1259"/>
      <c r="H9" s="320"/>
      <c r="I9" s="320"/>
      <c r="J9" s="320"/>
      <c r="K9" s="320"/>
      <c r="L9" s="320"/>
      <c r="M9" s="320"/>
      <c r="N9" s="320"/>
      <c r="O9" s="320"/>
      <c r="P9" s="320"/>
      <c r="Q9" s="320"/>
      <c r="R9" s="320"/>
      <c r="S9" s="320"/>
      <c r="T9" s="320"/>
      <c r="U9" s="323"/>
      <c r="V9" s="1376"/>
      <c r="W9" s="23"/>
      <c r="X9" s="4"/>
      <c r="Y9" s="321"/>
      <c r="Z9" s="324"/>
      <c r="AA9" s="325"/>
    </row>
    <row r="10" spans="1:136" s="322" customFormat="1" ht="50" customHeight="1" thickBot="1">
      <c r="A10" s="1255" t="s">
        <v>306</v>
      </c>
      <c r="B10" s="1260"/>
      <c r="C10" s="1261"/>
      <c r="D10" s="831"/>
      <c r="E10" s="831"/>
      <c r="F10" s="831"/>
      <c r="G10" s="1262"/>
      <c r="H10" s="1258"/>
      <c r="I10" s="1258"/>
      <c r="J10" s="1258"/>
      <c r="K10" s="1258"/>
      <c r="L10" s="1258"/>
      <c r="M10" s="1111"/>
      <c r="N10" s="1111"/>
      <c r="O10" s="1111"/>
      <c r="P10" s="1111"/>
      <c r="Q10" s="1111"/>
      <c r="R10" s="1111"/>
      <c r="S10" s="1111"/>
      <c r="T10" s="135"/>
      <c r="U10" s="1156"/>
      <c r="V10" s="1376"/>
      <c r="W10" s="23"/>
      <c r="X10" s="4"/>
      <c r="Y10" s="321"/>
      <c r="Z10" s="324"/>
      <c r="AA10" s="32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35"/>
      <c r="CG10" s="135"/>
      <c r="CH10" s="135"/>
      <c r="CI10" s="135"/>
      <c r="CJ10" s="135"/>
      <c r="CK10" s="135"/>
      <c r="CL10" s="135"/>
      <c r="CM10" s="135"/>
      <c r="CN10" s="135"/>
      <c r="CO10" s="135"/>
      <c r="CP10" s="135"/>
      <c r="CQ10" s="135"/>
      <c r="CR10" s="135"/>
      <c r="CS10" s="135"/>
      <c r="CT10" s="135"/>
      <c r="CU10" s="135"/>
      <c r="CV10" s="135"/>
      <c r="CW10" s="135"/>
      <c r="CX10" s="135"/>
      <c r="CY10" s="135"/>
      <c r="CZ10" s="135"/>
      <c r="DA10" s="135"/>
      <c r="DB10" s="135"/>
      <c r="DC10" s="135"/>
      <c r="DD10" s="135"/>
      <c r="DE10" s="135"/>
      <c r="DF10" s="135"/>
      <c r="DG10" s="135"/>
      <c r="DH10" s="135"/>
      <c r="DI10" s="135"/>
      <c r="DJ10" s="135"/>
      <c r="DK10" s="135"/>
      <c r="DL10" s="135"/>
      <c r="DM10" s="135"/>
      <c r="DN10" s="135"/>
      <c r="DO10" s="135"/>
      <c r="DP10" s="135"/>
      <c r="DQ10" s="135"/>
      <c r="DR10" s="135"/>
      <c r="DS10" s="135"/>
      <c r="DT10" s="135"/>
      <c r="DU10" s="135"/>
      <c r="DV10" s="135"/>
      <c r="DW10" s="135"/>
      <c r="DX10" s="135"/>
      <c r="DY10" s="135"/>
      <c r="DZ10" s="135"/>
      <c r="EA10" s="135"/>
      <c r="EB10" s="135"/>
      <c r="EC10" s="135"/>
      <c r="ED10" s="135"/>
      <c r="EE10" s="135"/>
      <c r="EF10" s="135"/>
    </row>
    <row r="11" spans="1:136" s="1166" customFormat="1" ht="40" customHeight="1" thickBot="1">
      <c r="A11" s="2208" t="s">
        <v>2062</v>
      </c>
      <c r="B11" s="1322"/>
      <c r="C11" s="2207"/>
      <c r="D11" s="2207"/>
      <c r="E11" s="2207"/>
      <c r="F11" s="2207"/>
      <c r="G11" s="2207"/>
      <c r="H11" s="2207"/>
      <c r="I11" s="2207"/>
      <c r="J11" s="2207"/>
      <c r="K11" s="2207"/>
      <c r="L11" s="2207"/>
      <c r="M11" s="2207"/>
      <c r="N11" s="2207"/>
      <c r="O11" s="2207"/>
      <c r="P11" s="2207"/>
      <c r="Q11" s="2207"/>
      <c r="R11" s="2207"/>
      <c r="S11" s="2207"/>
      <c r="T11" s="1167"/>
      <c r="V11" s="1377"/>
      <c r="X11" s="1239"/>
    </row>
    <row r="12" spans="1:136" s="135" customFormat="1" ht="25" customHeight="1" thickTop="1">
      <c r="A12" s="1309" t="s">
        <v>286</v>
      </c>
      <c r="B12" s="1309"/>
      <c r="C12" s="331"/>
      <c r="D12" s="331"/>
      <c r="E12" s="331"/>
      <c r="F12" s="331"/>
      <c r="G12" s="331"/>
      <c r="H12" s="331"/>
      <c r="I12" s="331"/>
      <c r="J12" s="331"/>
      <c r="K12" s="331"/>
      <c r="L12" s="331"/>
      <c r="M12" s="331"/>
      <c r="N12" s="331"/>
      <c r="O12" s="331"/>
      <c r="P12" s="331"/>
      <c r="Q12" s="331"/>
      <c r="R12" s="331"/>
      <c r="S12" s="331"/>
      <c r="T12" s="1157" t="s">
        <v>14</v>
      </c>
      <c r="V12" s="1375"/>
      <c r="X12" s="3"/>
    </row>
    <row r="13" spans="1:136" ht="63" customHeight="1">
      <c r="A13" s="1277" t="s">
        <v>841</v>
      </c>
      <c r="B13" s="1278"/>
      <c r="C13" s="1296" t="s">
        <v>391</v>
      </c>
      <c r="D13" s="1296" t="s">
        <v>392</v>
      </c>
      <c r="E13" s="1297" t="s">
        <v>393</v>
      </c>
      <c r="F13" s="1297" t="s">
        <v>393</v>
      </c>
      <c r="G13" s="1125" t="s">
        <v>1723</v>
      </c>
      <c r="H13" s="1296" t="s">
        <v>1719</v>
      </c>
      <c r="I13" s="1124" t="s">
        <v>867</v>
      </c>
      <c r="J13" s="1124" t="s">
        <v>868</v>
      </c>
      <c r="K13" s="1124" t="s">
        <v>869</v>
      </c>
      <c r="L13" s="1124" t="s">
        <v>870</v>
      </c>
      <c r="M13" s="1126" t="s">
        <v>18</v>
      </c>
      <c r="N13" s="1126" t="s">
        <v>18</v>
      </c>
      <c r="O13" s="1124" t="s">
        <v>322</v>
      </c>
      <c r="P13" s="1124" t="s">
        <v>322</v>
      </c>
      <c r="Q13" s="1124" t="s">
        <v>322</v>
      </c>
      <c r="R13" s="1124" t="s">
        <v>388</v>
      </c>
      <c r="S13" s="1124" t="s">
        <v>389</v>
      </c>
      <c r="T13" s="1158" t="s">
        <v>1780</v>
      </c>
      <c r="U13" s="135"/>
      <c r="V13" s="1373"/>
      <c r="W13" s="135"/>
      <c r="X13" s="3"/>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5"/>
      <c r="CK13" s="135"/>
      <c r="CL13" s="135"/>
      <c r="CM13" s="135"/>
      <c r="CN13" s="135"/>
      <c r="CO13" s="135"/>
      <c r="CP13" s="135"/>
      <c r="CQ13" s="135"/>
      <c r="CR13" s="135"/>
      <c r="CS13" s="135"/>
      <c r="CT13" s="135"/>
      <c r="CU13" s="135"/>
      <c r="CV13" s="135"/>
      <c r="CW13" s="135"/>
      <c r="CX13" s="135"/>
      <c r="CY13" s="135"/>
      <c r="CZ13" s="135"/>
      <c r="DA13" s="135"/>
      <c r="DB13" s="135"/>
      <c r="DC13" s="135"/>
      <c r="DD13" s="135"/>
      <c r="DE13" s="135"/>
      <c r="DF13" s="135"/>
      <c r="DG13" s="135"/>
      <c r="DH13" s="135"/>
      <c r="DI13" s="135"/>
      <c r="DJ13" s="135"/>
      <c r="DK13" s="135"/>
      <c r="DL13" s="135"/>
      <c r="DM13" s="135"/>
      <c r="DN13" s="135"/>
      <c r="DO13" s="135"/>
      <c r="DP13" s="135"/>
      <c r="DQ13" s="135"/>
      <c r="DR13" s="135"/>
      <c r="DS13" s="135"/>
      <c r="DT13" s="135"/>
      <c r="DU13" s="135"/>
      <c r="DV13" s="135"/>
      <c r="DW13" s="135"/>
      <c r="DX13" s="135"/>
      <c r="DY13" s="135"/>
      <c r="DZ13" s="135"/>
      <c r="EA13" s="135"/>
      <c r="EB13" s="135"/>
      <c r="EC13" s="135"/>
      <c r="ED13" s="135"/>
      <c r="EE13" s="135"/>
      <c r="EF13" s="135"/>
    </row>
    <row r="14" spans="1:136" ht="40" customHeight="1">
      <c r="A14" s="1279" t="s">
        <v>314</v>
      </c>
      <c r="B14" s="1280"/>
      <c r="C14" s="331"/>
      <c r="D14" s="331"/>
      <c r="E14" s="331"/>
      <c r="F14" s="331"/>
      <c r="G14" s="884"/>
      <c r="H14" s="331"/>
      <c r="I14" s="331"/>
      <c r="J14" s="331"/>
      <c r="K14" s="331"/>
      <c r="L14" s="331"/>
      <c r="M14" s="331"/>
      <c r="N14" s="331"/>
      <c r="O14" s="331"/>
      <c r="P14" s="331"/>
      <c r="Q14" s="331"/>
      <c r="R14" s="331"/>
      <c r="S14" s="331"/>
      <c r="T14" s="1158"/>
      <c r="U14" s="135"/>
      <c r="V14" s="1373"/>
      <c r="W14" s="135"/>
      <c r="X14" s="3"/>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35"/>
      <c r="CG14" s="135"/>
      <c r="CH14" s="135"/>
      <c r="CI14" s="135"/>
      <c r="CJ14" s="135"/>
      <c r="CK14" s="135"/>
      <c r="CL14" s="135"/>
      <c r="CM14" s="135"/>
      <c r="CN14" s="135"/>
      <c r="CO14" s="135"/>
      <c r="CP14" s="135"/>
      <c r="CQ14" s="135"/>
      <c r="CR14" s="135"/>
      <c r="CS14" s="135"/>
      <c r="CT14" s="135"/>
      <c r="CU14" s="135"/>
      <c r="CV14" s="135"/>
      <c r="CW14" s="135"/>
      <c r="CX14" s="135"/>
      <c r="CY14" s="135"/>
      <c r="CZ14" s="135"/>
      <c r="DA14" s="135"/>
      <c r="DB14" s="135"/>
      <c r="DC14" s="135"/>
      <c r="DD14" s="135"/>
      <c r="DE14" s="135"/>
      <c r="DF14" s="135"/>
      <c r="DG14" s="135"/>
      <c r="DH14" s="135"/>
      <c r="DI14" s="135"/>
      <c r="DJ14" s="135"/>
      <c r="DK14" s="135"/>
      <c r="DL14" s="135"/>
      <c r="DM14" s="135"/>
      <c r="DN14" s="135"/>
      <c r="DO14" s="135"/>
      <c r="DP14" s="135"/>
      <c r="DQ14" s="135"/>
      <c r="DR14" s="135"/>
      <c r="DS14" s="135"/>
      <c r="DT14" s="135"/>
      <c r="DU14" s="135"/>
      <c r="DV14" s="135"/>
      <c r="DW14" s="135"/>
      <c r="DX14" s="135"/>
      <c r="DY14" s="135"/>
      <c r="DZ14" s="135"/>
      <c r="EA14" s="135"/>
      <c r="EB14" s="135"/>
      <c r="EC14" s="135"/>
      <c r="ED14" s="135"/>
      <c r="EE14" s="135"/>
      <c r="EF14" s="135"/>
    </row>
    <row r="15" spans="1:136" ht="25" customHeight="1">
      <c r="A15" s="1314" t="s">
        <v>313</v>
      </c>
      <c r="B15" s="1323"/>
      <c r="C15" s="1324"/>
      <c r="D15" s="1324"/>
      <c r="E15" s="1324"/>
      <c r="F15" s="1324"/>
      <c r="G15" s="1325"/>
      <c r="H15" s="1324"/>
      <c r="I15" s="1326"/>
      <c r="J15" s="1326"/>
      <c r="K15" s="1326"/>
      <c r="L15" s="1326"/>
      <c r="M15" s="1326"/>
      <c r="N15" s="1326"/>
      <c r="O15" s="1326"/>
      <c r="P15" s="1326"/>
      <c r="Q15" s="1326"/>
      <c r="R15" s="1326"/>
      <c r="S15" s="1326"/>
      <c r="T15" s="1155"/>
      <c r="U15" s="135"/>
      <c r="V15" s="1374"/>
      <c r="W15" s="135"/>
      <c r="X15" s="3"/>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5"/>
      <c r="CK15" s="135"/>
      <c r="CL15" s="135"/>
      <c r="CM15" s="135"/>
      <c r="CN15" s="135"/>
      <c r="CO15" s="135"/>
      <c r="CP15" s="135"/>
      <c r="CQ15" s="135"/>
      <c r="CR15" s="135"/>
      <c r="CS15" s="135"/>
      <c r="CT15" s="135"/>
      <c r="CU15" s="135"/>
      <c r="CV15" s="135"/>
      <c r="CW15" s="135"/>
      <c r="CX15" s="135"/>
      <c r="CY15" s="135"/>
      <c r="CZ15" s="135"/>
      <c r="DA15" s="135"/>
      <c r="DB15" s="135"/>
      <c r="DC15" s="135"/>
      <c r="DD15" s="135"/>
      <c r="DE15" s="135"/>
      <c r="DF15" s="135"/>
      <c r="DG15" s="135"/>
      <c r="DH15" s="135"/>
      <c r="DI15" s="135"/>
      <c r="DJ15" s="135"/>
      <c r="DK15" s="135"/>
      <c r="DL15" s="135"/>
      <c r="DM15" s="135"/>
      <c r="DN15" s="135"/>
      <c r="DO15" s="135"/>
      <c r="DP15" s="135"/>
      <c r="DQ15" s="135"/>
      <c r="DR15" s="135"/>
      <c r="DS15" s="135"/>
      <c r="DT15" s="135"/>
      <c r="DU15" s="135"/>
      <c r="DV15" s="135"/>
      <c r="DW15" s="135"/>
      <c r="DX15" s="135"/>
      <c r="DY15" s="135"/>
      <c r="DZ15" s="135"/>
      <c r="EA15" s="135"/>
      <c r="EB15" s="135"/>
      <c r="EC15" s="135"/>
      <c r="ED15" s="135"/>
      <c r="EE15" s="135"/>
      <c r="EF15" s="135"/>
    </row>
    <row r="16" spans="1:136" ht="25" customHeight="1">
      <c r="A16" s="1281" t="s">
        <v>332</v>
      </c>
      <c r="B16" s="1282"/>
      <c r="C16" s="1127"/>
      <c r="D16" s="1127"/>
      <c r="E16" s="1128"/>
      <c r="F16" s="1128"/>
      <c r="G16" s="1129"/>
      <c r="H16" s="1130"/>
      <c r="I16" s="1130"/>
      <c r="J16" s="1130"/>
      <c r="K16" s="1130"/>
      <c r="L16" s="1130"/>
      <c r="M16" s="1130"/>
      <c r="N16" s="1130"/>
      <c r="O16" s="1130"/>
      <c r="P16" s="1130"/>
      <c r="Q16" s="1130"/>
      <c r="R16" s="1130"/>
      <c r="S16" s="1130"/>
      <c r="T16" s="1159"/>
      <c r="U16" s="135"/>
      <c r="V16" s="1374"/>
      <c r="W16" s="135"/>
      <c r="X16" s="51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5"/>
      <c r="CK16" s="135"/>
      <c r="CL16" s="135"/>
      <c r="CM16" s="135"/>
      <c r="CN16" s="135"/>
      <c r="CO16" s="135"/>
      <c r="CP16" s="135"/>
      <c r="CQ16" s="135"/>
      <c r="CR16" s="135"/>
      <c r="CS16" s="135"/>
      <c r="CT16" s="135"/>
      <c r="CU16" s="135"/>
      <c r="CV16" s="135"/>
      <c r="CW16" s="135"/>
      <c r="CX16" s="135"/>
      <c r="CY16" s="135"/>
      <c r="CZ16" s="135"/>
      <c r="DA16" s="135"/>
      <c r="DB16" s="135"/>
      <c r="DC16" s="135"/>
      <c r="DD16" s="135"/>
      <c r="DE16" s="135"/>
      <c r="DF16" s="135"/>
      <c r="DG16" s="135"/>
      <c r="DH16" s="135"/>
      <c r="DI16" s="135"/>
      <c r="DJ16" s="135"/>
      <c r="DK16" s="135"/>
      <c r="DL16" s="135"/>
      <c r="DM16" s="135"/>
      <c r="DN16" s="135"/>
      <c r="DO16" s="135"/>
      <c r="DP16" s="135"/>
      <c r="DQ16" s="135"/>
      <c r="DR16" s="135"/>
      <c r="DS16" s="135"/>
      <c r="DT16" s="135"/>
      <c r="DU16" s="135"/>
      <c r="DV16" s="135"/>
      <c r="DW16" s="135"/>
      <c r="DX16" s="135"/>
      <c r="DY16" s="135"/>
      <c r="DZ16" s="135"/>
      <c r="EA16" s="135"/>
      <c r="EB16" s="135"/>
      <c r="EC16" s="135"/>
      <c r="ED16" s="135"/>
      <c r="EE16" s="135"/>
      <c r="EF16" s="135"/>
    </row>
    <row r="17" spans="1:136" ht="25" customHeight="1">
      <c r="A17" s="71"/>
      <c r="B17" s="205"/>
      <c r="C17" s="1263"/>
      <c r="D17" s="1263"/>
      <c r="E17" s="1264"/>
      <c r="F17" s="1264"/>
      <c r="G17" s="1265"/>
      <c r="H17" s="1266"/>
      <c r="I17" s="1266"/>
      <c r="J17" s="1266"/>
      <c r="K17" s="1266"/>
      <c r="L17" s="1266"/>
      <c r="M17" s="1266"/>
      <c r="N17" s="1266"/>
      <c r="O17" s="1266"/>
      <c r="P17" s="1266"/>
      <c r="Q17" s="1266"/>
      <c r="R17" s="1266"/>
      <c r="S17" s="1266"/>
      <c r="T17" s="1159"/>
      <c r="U17" s="135"/>
      <c r="V17" s="1374"/>
      <c r="W17" s="135"/>
      <c r="X17" s="51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5"/>
      <c r="CK17" s="135"/>
      <c r="CL17" s="135"/>
      <c r="CM17" s="135"/>
      <c r="CN17" s="135"/>
      <c r="CO17" s="135"/>
      <c r="CP17" s="135"/>
      <c r="CQ17" s="135"/>
      <c r="CR17" s="135"/>
      <c r="CS17" s="135"/>
      <c r="CT17" s="135"/>
      <c r="CU17" s="135"/>
      <c r="CV17" s="135"/>
      <c r="CW17" s="135"/>
      <c r="CX17" s="135"/>
      <c r="CY17" s="135"/>
      <c r="CZ17" s="135"/>
      <c r="DA17" s="135"/>
      <c r="DB17" s="135"/>
      <c r="DC17" s="135"/>
      <c r="DD17" s="135"/>
      <c r="DE17" s="135"/>
      <c r="DF17" s="135"/>
      <c r="DG17" s="135"/>
      <c r="DH17" s="135"/>
      <c r="DI17" s="135"/>
      <c r="DJ17" s="135"/>
      <c r="DK17" s="135"/>
      <c r="DL17" s="135"/>
      <c r="DM17" s="135"/>
      <c r="DN17" s="135"/>
      <c r="DO17" s="135"/>
      <c r="DP17" s="135"/>
      <c r="DQ17" s="135"/>
      <c r="DR17" s="135"/>
      <c r="DS17" s="135"/>
      <c r="DT17" s="135"/>
      <c r="DU17" s="135"/>
      <c r="DV17" s="135"/>
      <c r="DW17" s="135"/>
      <c r="DX17" s="135"/>
      <c r="DY17" s="135"/>
      <c r="DZ17" s="135"/>
      <c r="EA17" s="135"/>
      <c r="EB17" s="135"/>
      <c r="EC17" s="135"/>
      <c r="ED17" s="135"/>
      <c r="EE17" s="135"/>
      <c r="EF17" s="135"/>
    </row>
    <row r="18" spans="1:136" s="1241" customFormat="1" ht="40" customHeight="1" thickBot="1">
      <c r="A18" s="1086" t="s">
        <v>2064</v>
      </c>
      <c r="B18" s="2212"/>
      <c r="C18" s="2213"/>
      <c r="D18" s="2213"/>
      <c r="E18" s="2213"/>
      <c r="F18" s="2213"/>
      <c r="G18" s="2214"/>
      <c r="H18" s="2213"/>
      <c r="I18" s="2213"/>
      <c r="J18" s="2213"/>
      <c r="K18" s="2213"/>
      <c r="L18" s="2213"/>
      <c r="M18" s="2213"/>
      <c r="N18" s="2213"/>
      <c r="O18" s="2213"/>
      <c r="P18" s="2213"/>
      <c r="Q18" s="2213"/>
      <c r="R18" s="2213"/>
      <c r="S18" s="2213"/>
      <c r="T18" s="1247"/>
      <c r="U18" s="1112"/>
      <c r="V18" s="1378"/>
      <c r="W18" s="1112"/>
      <c r="X18" s="1389"/>
      <c r="Y18" s="1112"/>
      <c r="Z18" s="1112"/>
      <c r="AA18" s="1112"/>
      <c r="AB18" s="1112"/>
      <c r="AC18" s="1112"/>
      <c r="AD18" s="1112"/>
      <c r="AE18" s="1112"/>
      <c r="AF18" s="1112"/>
      <c r="AG18" s="1112"/>
    </row>
    <row r="19" spans="1:136" s="1112" customFormat="1" ht="30" customHeight="1" thickTop="1">
      <c r="A19" s="917" t="s">
        <v>1553</v>
      </c>
      <c r="B19" s="2209"/>
      <c r="C19" s="2210"/>
      <c r="D19" s="2210"/>
      <c r="E19" s="2210"/>
      <c r="F19" s="2210"/>
      <c r="G19" s="2211"/>
      <c r="H19" s="2210"/>
      <c r="I19" s="2210"/>
      <c r="J19" s="2210"/>
      <c r="K19" s="2210"/>
      <c r="L19" s="2210"/>
      <c r="M19" s="2210"/>
      <c r="N19" s="2210"/>
      <c r="O19" s="2210"/>
      <c r="P19" s="2210"/>
      <c r="Q19" s="2210"/>
      <c r="R19" s="2210"/>
      <c r="S19" s="2210"/>
      <c r="T19" s="1247"/>
      <c r="V19" s="1378"/>
      <c r="X19" s="1389"/>
    </row>
    <row r="20" spans="1:136" s="135" customFormat="1" ht="25" customHeight="1">
      <c r="A20" s="930" t="s">
        <v>817</v>
      </c>
      <c r="B20" s="1312" t="s">
        <v>36</v>
      </c>
      <c r="C20" s="1301"/>
      <c r="D20" s="1301"/>
      <c r="E20" s="1301"/>
      <c r="F20" s="1301"/>
      <c r="G20" s="1302"/>
      <c r="H20" s="1301"/>
      <c r="I20" s="1301"/>
      <c r="J20" s="1301"/>
      <c r="K20" s="1301"/>
      <c r="L20" s="1301"/>
      <c r="M20" s="1301"/>
      <c r="N20" s="1301"/>
      <c r="O20" s="1301"/>
      <c r="P20" s="1301"/>
      <c r="Q20" s="1301"/>
      <c r="R20" s="1301"/>
      <c r="S20" s="1301"/>
      <c r="T20" s="1164"/>
      <c r="V20" s="1374"/>
      <c r="X20" s="2"/>
    </row>
    <row r="21" spans="1:136" ht="25" customHeight="1">
      <c r="A21" s="313" t="s">
        <v>912</v>
      </c>
      <c r="B21" s="1288" t="s">
        <v>36</v>
      </c>
      <c r="C21" s="367"/>
      <c r="D21" s="367"/>
      <c r="E21" s="367"/>
      <c r="F21" s="367"/>
      <c r="G21" s="883"/>
      <c r="H21" s="367"/>
      <c r="I21" s="367"/>
      <c r="J21" s="367"/>
      <c r="K21" s="367"/>
      <c r="L21" s="367"/>
      <c r="M21" s="367"/>
      <c r="N21" s="367"/>
      <c r="O21" s="367"/>
      <c r="P21" s="367"/>
      <c r="Q21" s="367"/>
      <c r="R21" s="367"/>
      <c r="S21" s="367"/>
      <c r="T21" s="304"/>
      <c r="U21" s="135"/>
      <c r="V21" s="1374"/>
      <c r="W21" s="135"/>
      <c r="X21" s="2"/>
      <c r="Y21" s="135"/>
      <c r="Z21" s="135"/>
      <c r="AA21" s="135"/>
      <c r="AB21" s="135"/>
      <c r="AC21" s="135"/>
      <c r="AD21" s="135"/>
      <c r="AE21" s="135"/>
      <c r="AF21" s="135"/>
      <c r="AG21" s="135"/>
    </row>
    <row r="22" spans="1:136" ht="25" customHeight="1">
      <c r="A22" s="316" t="s">
        <v>1839</v>
      </c>
      <c r="B22" s="1288" t="s">
        <v>36</v>
      </c>
      <c r="C22" s="367"/>
      <c r="D22" s="367"/>
      <c r="E22" s="367"/>
      <c r="F22" s="367"/>
      <c r="G22" s="883"/>
      <c r="H22" s="367"/>
      <c r="I22" s="367"/>
      <c r="J22" s="367"/>
      <c r="K22" s="367"/>
      <c r="L22" s="367"/>
      <c r="M22" s="367"/>
      <c r="N22" s="367"/>
      <c r="O22" s="367"/>
      <c r="P22" s="367"/>
      <c r="Q22" s="367"/>
      <c r="R22" s="367"/>
      <c r="S22" s="367"/>
      <c r="T22" s="304"/>
      <c r="U22" s="135"/>
      <c r="V22" s="1374"/>
      <c r="W22" s="135"/>
      <c r="X22" s="2"/>
      <c r="Y22" s="135"/>
      <c r="Z22" s="135"/>
      <c r="AA22" s="135"/>
      <c r="AB22" s="135"/>
      <c r="AC22" s="135"/>
      <c r="AD22" s="135"/>
      <c r="AE22" s="135"/>
      <c r="AF22" s="135"/>
      <c r="AG22" s="135"/>
    </row>
    <row r="23" spans="1:136" ht="25" customHeight="1">
      <c r="A23" s="314" t="s">
        <v>1841</v>
      </c>
      <c r="B23" s="1288" t="s">
        <v>36</v>
      </c>
      <c r="C23" s="367">
        <v>22</v>
      </c>
      <c r="D23" s="367">
        <v>22</v>
      </c>
      <c r="E23" s="367">
        <v>22</v>
      </c>
      <c r="F23" s="367">
        <v>22</v>
      </c>
      <c r="G23" s="883">
        <v>22</v>
      </c>
      <c r="H23" s="367">
        <v>22</v>
      </c>
      <c r="I23" s="367">
        <v>22</v>
      </c>
      <c r="J23" s="367">
        <v>22</v>
      </c>
      <c r="K23" s="367">
        <v>22</v>
      </c>
      <c r="L23" s="367">
        <v>22</v>
      </c>
      <c r="M23" s="367">
        <v>22</v>
      </c>
      <c r="N23" s="367">
        <v>22</v>
      </c>
      <c r="O23" s="367">
        <v>18</v>
      </c>
      <c r="P23" s="367">
        <v>18</v>
      </c>
      <c r="Q23" s="367">
        <v>18</v>
      </c>
      <c r="R23" s="367">
        <v>18</v>
      </c>
      <c r="S23" s="367">
        <v>18</v>
      </c>
      <c r="T23" s="304"/>
      <c r="U23" s="135"/>
      <c r="V23" s="1373"/>
      <c r="W23" s="135"/>
      <c r="X23" s="2"/>
      <c r="Y23" s="135"/>
      <c r="Z23" s="135"/>
      <c r="AA23" s="135"/>
      <c r="AB23" s="135"/>
      <c r="AC23" s="135"/>
      <c r="AD23" s="135"/>
      <c r="AE23" s="135"/>
      <c r="AF23" s="135"/>
      <c r="AG23" s="135"/>
    </row>
    <row r="24" spans="1:136" ht="25" customHeight="1">
      <c r="A24" s="314" t="s">
        <v>1842</v>
      </c>
      <c r="B24" s="1289" t="s">
        <v>36</v>
      </c>
      <c r="C24" s="367">
        <v>26</v>
      </c>
      <c r="D24" s="367">
        <v>26</v>
      </c>
      <c r="E24" s="367">
        <v>26</v>
      </c>
      <c r="F24" s="367">
        <v>26</v>
      </c>
      <c r="G24" s="883">
        <v>26</v>
      </c>
      <c r="H24" s="367">
        <v>24</v>
      </c>
      <c r="I24" s="367">
        <v>24</v>
      </c>
      <c r="J24" s="367">
        <v>24</v>
      </c>
      <c r="K24" s="367">
        <v>24</v>
      </c>
      <c r="L24" s="367">
        <v>24</v>
      </c>
      <c r="M24" s="367">
        <v>24</v>
      </c>
      <c r="N24" s="367">
        <v>24</v>
      </c>
      <c r="O24" s="367">
        <v>26</v>
      </c>
      <c r="P24" s="367">
        <v>26</v>
      </c>
      <c r="Q24" s="367">
        <v>26</v>
      </c>
      <c r="R24" s="367">
        <v>26</v>
      </c>
      <c r="S24" s="367">
        <v>26</v>
      </c>
      <c r="T24" s="304"/>
      <c r="U24" s="135"/>
      <c r="V24" s="1373"/>
      <c r="W24" s="135"/>
      <c r="X24" s="2"/>
      <c r="Y24" s="135"/>
      <c r="Z24" s="135"/>
      <c r="AA24" s="135"/>
      <c r="AB24" s="135"/>
      <c r="AC24" s="135"/>
      <c r="AD24" s="135"/>
      <c r="AE24" s="135"/>
      <c r="AF24" s="135"/>
      <c r="AG24" s="135"/>
    </row>
    <row r="25" spans="1:136" ht="25" customHeight="1">
      <c r="A25" s="1343"/>
      <c r="B25" s="1344"/>
      <c r="C25" s="1345"/>
      <c r="D25" s="1345"/>
      <c r="E25" s="1345"/>
      <c r="F25" s="1345"/>
      <c r="G25" s="1346"/>
      <c r="H25" s="1345"/>
      <c r="I25" s="1345"/>
      <c r="J25" s="1345"/>
      <c r="K25" s="1345"/>
      <c r="L25" s="1345"/>
      <c r="M25" s="1345"/>
      <c r="N25" s="1345"/>
      <c r="O25" s="1345"/>
      <c r="P25" s="1345"/>
      <c r="Q25" s="1345"/>
      <c r="R25" s="1345"/>
      <c r="S25" s="1345"/>
      <c r="T25" s="304"/>
      <c r="U25" s="135"/>
      <c r="V25" s="1374"/>
      <c r="W25" s="135"/>
      <c r="X25" s="2"/>
      <c r="Y25" s="135"/>
      <c r="Z25" s="135"/>
      <c r="AA25" s="135"/>
      <c r="AB25" s="135"/>
      <c r="AC25" s="135"/>
      <c r="AD25" s="135"/>
      <c r="AE25" s="135"/>
      <c r="AF25" s="135"/>
      <c r="AG25" s="135"/>
    </row>
    <row r="26" spans="1:136" s="1241" customFormat="1" ht="40" customHeight="1" thickBot="1">
      <c r="A26" s="1105" t="s">
        <v>2065</v>
      </c>
      <c r="B26" s="1328"/>
      <c r="C26" s="1329"/>
      <c r="D26" s="1329"/>
      <c r="E26" s="1329"/>
      <c r="F26" s="1329"/>
      <c r="G26" s="1330"/>
      <c r="H26" s="1329"/>
      <c r="I26" s="1329"/>
      <c r="J26" s="1329"/>
      <c r="K26" s="1329"/>
      <c r="L26" s="1329"/>
      <c r="M26" s="1329"/>
      <c r="N26" s="1329"/>
      <c r="O26" s="1329"/>
      <c r="P26" s="1329"/>
      <c r="Q26" s="1329"/>
      <c r="R26" s="1329"/>
      <c r="S26" s="1329"/>
      <c r="T26" s="1240"/>
      <c r="U26" s="1112"/>
      <c r="V26" s="1378"/>
      <c r="W26" s="1112"/>
      <c r="X26" s="358"/>
      <c r="Y26" s="1112"/>
      <c r="Z26" s="1112"/>
      <c r="AA26" s="1112"/>
      <c r="AB26" s="1112"/>
      <c r="AC26" s="1112"/>
      <c r="AD26" s="1112"/>
      <c r="AE26" s="1112"/>
      <c r="AF26" s="1112"/>
      <c r="AG26" s="1112"/>
      <c r="AH26" s="1112"/>
      <c r="AI26" s="1112"/>
      <c r="AJ26" s="1112"/>
      <c r="AK26" s="1112"/>
      <c r="AL26" s="1112"/>
      <c r="AM26" s="1112"/>
      <c r="AN26" s="1112"/>
      <c r="AO26" s="1112"/>
      <c r="AP26" s="1112"/>
      <c r="AQ26" s="1112"/>
      <c r="AR26" s="1112"/>
      <c r="AS26" s="1112"/>
      <c r="AT26" s="1112"/>
      <c r="AU26" s="1112"/>
      <c r="AV26" s="1112"/>
      <c r="AW26" s="1112"/>
      <c r="AX26" s="1112"/>
      <c r="AY26" s="1112"/>
      <c r="AZ26" s="1112"/>
      <c r="BA26" s="1112"/>
      <c r="BB26" s="1112"/>
      <c r="BC26" s="1112"/>
      <c r="BD26" s="1112"/>
      <c r="BE26" s="1112"/>
      <c r="BF26" s="1112"/>
      <c r="BG26" s="1112"/>
      <c r="BH26" s="1112"/>
      <c r="BI26" s="1112"/>
      <c r="BJ26" s="1112"/>
      <c r="BK26" s="1112"/>
      <c r="BL26" s="1112"/>
      <c r="BM26" s="1112"/>
      <c r="BN26" s="1112"/>
      <c r="BO26" s="1112"/>
      <c r="BP26" s="1112"/>
      <c r="BQ26" s="1112"/>
      <c r="BR26" s="1112"/>
      <c r="BS26" s="1112"/>
      <c r="BT26" s="1112"/>
      <c r="BU26" s="1112"/>
      <c r="BV26" s="1112"/>
      <c r="BW26" s="1112"/>
      <c r="BX26" s="1112"/>
      <c r="BY26" s="1112"/>
      <c r="BZ26" s="1112"/>
      <c r="CA26" s="1112"/>
      <c r="CB26" s="1112"/>
      <c r="CC26" s="1112"/>
      <c r="CD26" s="1112"/>
      <c r="CE26" s="1112"/>
      <c r="CF26" s="1112"/>
      <c r="CG26" s="1112"/>
      <c r="CH26" s="1112"/>
      <c r="CI26" s="1112"/>
      <c r="CJ26" s="1112"/>
      <c r="CK26" s="1112"/>
      <c r="CL26" s="1112"/>
      <c r="CM26" s="1112"/>
      <c r="CN26" s="1112"/>
      <c r="CO26" s="1112"/>
      <c r="CP26" s="1112"/>
      <c r="CQ26" s="1112"/>
      <c r="CR26" s="1112"/>
      <c r="CS26" s="1112"/>
      <c r="CT26" s="1112"/>
      <c r="CU26" s="1112"/>
      <c r="CV26" s="1112"/>
      <c r="CW26" s="1112"/>
      <c r="CX26" s="1112"/>
      <c r="CY26" s="1112"/>
      <c r="CZ26" s="1112"/>
      <c r="DA26" s="1112"/>
      <c r="DB26" s="1112"/>
      <c r="DC26" s="1112"/>
      <c r="DD26" s="1112"/>
      <c r="DE26" s="1112"/>
      <c r="DF26" s="1112"/>
      <c r="DG26" s="1112"/>
      <c r="DH26" s="1112"/>
      <c r="DI26" s="1112"/>
      <c r="DJ26" s="1112"/>
      <c r="DK26" s="1112"/>
      <c r="DL26" s="1112"/>
      <c r="DM26" s="1112"/>
      <c r="DN26" s="1112"/>
      <c r="DO26" s="1112"/>
      <c r="DP26" s="1112"/>
      <c r="DQ26" s="1112"/>
      <c r="DR26" s="1112"/>
      <c r="DS26" s="1112"/>
      <c r="DT26" s="1112"/>
      <c r="DU26" s="1112"/>
      <c r="DV26" s="1112"/>
      <c r="DW26" s="1112"/>
      <c r="DX26" s="1112"/>
      <c r="DY26" s="1112"/>
      <c r="DZ26" s="1112"/>
      <c r="EA26" s="1112"/>
      <c r="EB26" s="1112"/>
      <c r="EC26" s="1112"/>
      <c r="ED26" s="1112"/>
      <c r="EE26" s="1112"/>
      <c r="EF26" s="1112"/>
    </row>
    <row r="27" spans="1:136" s="135" customFormat="1" ht="25" customHeight="1" thickTop="1">
      <c r="A27" s="917" t="s">
        <v>791</v>
      </c>
      <c r="B27" s="1327" t="s">
        <v>0</v>
      </c>
      <c r="C27" s="1320">
        <f>_xlfn.XLOOKUP(REPORT!D12, OccType, SCHEDULES!F13:F20, "Not Found")</f>
        <v>276.5</v>
      </c>
      <c r="D27" s="1320">
        <f>_xlfn.XLOOKUP(REPORT!D12, OccType, SCHEDULES!F13:F20, "Not Found")</f>
        <v>276.5</v>
      </c>
      <c r="E27" s="1320">
        <f>_xlfn.XLOOKUP(REPORT!D12, OccType, SCHEDULES!F13:F20, "Not Found")</f>
        <v>276.5</v>
      </c>
      <c r="F27" s="1320">
        <f>_xlfn.XLOOKUP(REPORT!D12, OccType, SCHEDULES!F13:F20, "Not Found")</f>
        <v>276.5</v>
      </c>
      <c r="G27" s="1321">
        <f>_xlfn.XLOOKUP(REPORT!D12, OccType, SCHEDULES!F13:F20, "Not Found")</f>
        <v>276.5</v>
      </c>
      <c r="H27" s="1320">
        <f>_xlfn.XLOOKUP(REPORT!D12, OccType, SCHEDULES!F13:F20, "Not Found")</f>
        <v>276.5</v>
      </c>
      <c r="I27" s="1320">
        <f>H27/1.1</f>
        <v>251.36363636363635</v>
      </c>
      <c r="J27" s="1320">
        <f>F27/1.2</f>
        <v>230.41666666666669</v>
      </c>
      <c r="K27" s="1320">
        <f>F27/1.4</f>
        <v>197.5</v>
      </c>
      <c r="L27" s="1320">
        <f>H27/1.7</f>
        <v>162.64705882352942</v>
      </c>
      <c r="M27" s="1320">
        <v>100</v>
      </c>
      <c r="N27" s="1320">
        <f>F27/1.6</f>
        <v>172.8125</v>
      </c>
      <c r="O27" s="1320">
        <v>60</v>
      </c>
      <c r="P27" s="1320">
        <v>60</v>
      </c>
      <c r="Q27" s="1320">
        <v>60</v>
      </c>
      <c r="R27" s="1320">
        <v>100</v>
      </c>
      <c r="S27" s="1320">
        <v>100</v>
      </c>
      <c r="T27" s="1160"/>
      <c r="V27" s="1375"/>
      <c r="X27" s="3"/>
    </row>
    <row r="28" spans="1:136" ht="25" customHeight="1">
      <c r="A28" s="532" t="s">
        <v>792</v>
      </c>
      <c r="B28" s="1284" t="s">
        <v>310</v>
      </c>
      <c r="C28" s="1131"/>
      <c r="D28" s="1131"/>
      <c r="E28" s="1131"/>
      <c r="F28" s="1131"/>
      <c r="G28" s="1132"/>
      <c r="H28" s="1131"/>
      <c r="I28" s="1131"/>
      <c r="J28" s="1131"/>
      <c r="K28" s="1131"/>
      <c r="L28" s="1131"/>
      <c r="M28" s="1131"/>
      <c r="N28" s="1131"/>
      <c r="O28" s="1131"/>
      <c r="P28" s="1131"/>
      <c r="Q28" s="1131"/>
      <c r="R28" s="1131"/>
      <c r="S28" s="1131"/>
      <c r="T28" s="1161"/>
      <c r="U28" s="135"/>
      <c r="V28" s="1374"/>
      <c r="W28" s="135"/>
      <c r="X28" s="3"/>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5"/>
      <c r="DR28" s="135"/>
      <c r="DS28" s="135"/>
      <c r="DT28" s="135"/>
      <c r="DU28" s="135"/>
      <c r="DV28" s="135"/>
      <c r="DW28" s="135"/>
      <c r="DX28" s="135"/>
      <c r="DY28" s="135"/>
      <c r="DZ28" s="135"/>
      <c r="EA28" s="135"/>
      <c r="EB28" s="135"/>
      <c r="EC28" s="135"/>
      <c r="ED28" s="135"/>
      <c r="EE28" s="135"/>
      <c r="EF28" s="135"/>
    </row>
    <row r="29" spans="1:136" ht="25" customHeight="1">
      <c r="A29" s="532" t="s">
        <v>793</v>
      </c>
      <c r="B29" s="1284" t="s">
        <v>312</v>
      </c>
      <c r="C29" s="1131"/>
      <c r="D29" s="1131"/>
      <c r="E29" s="1131"/>
      <c r="F29" s="1131"/>
      <c r="G29" s="1132"/>
      <c r="H29" s="1131"/>
      <c r="I29" s="1131"/>
      <c r="J29" s="1131"/>
      <c r="K29" s="1131"/>
      <c r="L29" s="1131"/>
      <c r="M29" s="1131"/>
      <c r="N29" s="1131"/>
      <c r="O29" s="1131"/>
      <c r="P29" s="1131"/>
      <c r="Q29" s="1131"/>
      <c r="R29" s="1131"/>
      <c r="S29" s="1131"/>
      <c r="T29" s="1161"/>
      <c r="U29" s="135"/>
      <c r="V29" s="1374"/>
      <c r="W29" s="135"/>
      <c r="X29" s="3"/>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5"/>
      <c r="CK29" s="135"/>
      <c r="CL29" s="135"/>
      <c r="CM29" s="135"/>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5"/>
      <c r="DR29" s="135"/>
      <c r="DS29" s="135"/>
      <c r="DT29" s="135"/>
      <c r="DU29" s="135"/>
      <c r="DV29" s="135"/>
      <c r="DW29" s="135"/>
      <c r="DX29" s="135"/>
      <c r="DY29" s="135"/>
      <c r="DZ29" s="135"/>
      <c r="EA29" s="135"/>
      <c r="EB29" s="135"/>
      <c r="EC29" s="135"/>
      <c r="ED29" s="135"/>
      <c r="EE29" s="135"/>
      <c r="EF29" s="135"/>
    </row>
    <row r="30" spans="1:136" ht="25" customHeight="1">
      <c r="A30" s="532" t="s">
        <v>794</v>
      </c>
      <c r="B30" s="1284" t="s">
        <v>3</v>
      </c>
      <c r="C30" s="488"/>
      <c r="D30" s="488"/>
      <c r="E30" s="488"/>
      <c r="F30" s="488"/>
      <c r="G30" s="1133"/>
      <c r="H30" s="488"/>
      <c r="I30" s="488"/>
      <c r="J30" s="488"/>
      <c r="K30" s="488"/>
      <c r="L30" s="488"/>
      <c r="M30" s="488"/>
      <c r="N30" s="488"/>
      <c r="O30" s="488"/>
      <c r="P30" s="488"/>
      <c r="Q30" s="488"/>
      <c r="R30" s="488"/>
      <c r="S30" s="488"/>
      <c r="T30" s="1162"/>
      <c r="U30" s="135"/>
      <c r="V30" s="1374"/>
      <c r="W30" s="135"/>
      <c r="X30" s="3"/>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35"/>
      <c r="CG30" s="135"/>
      <c r="CH30" s="135"/>
      <c r="CI30" s="135"/>
      <c r="CJ30" s="135"/>
      <c r="CK30" s="135"/>
      <c r="CL30" s="135"/>
      <c r="CM30" s="135"/>
      <c r="CN30" s="135"/>
      <c r="CO30" s="135"/>
      <c r="CP30" s="135"/>
      <c r="CQ30" s="135"/>
      <c r="CR30" s="135"/>
      <c r="CS30" s="135"/>
      <c r="CT30" s="135"/>
      <c r="CU30" s="135"/>
      <c r="CV30" s="135"/>
      <c r="CW30" s="135"/>
      <c r="CX30" s="135"/>
      <c r="CY30" s="135"/>
      <c r="CZ30" s="135"/>
      <c r="DA30" s="135"/>
      <c r="DB30" s="135"/>
      <c r="DC30" s="135"/>
      <c r="DD30" s="135"/>
      <c r="DE30" s="135"/>
      <c r="DF30" s="135"/>
      <c r="DG30" s="135"/>
      <c r="DH30" s="135"/>
      <c r="DI30" s="135"/>
      <c r="DJ30" s="135"/>
      <c r="DK30" s="135"/>
      <c r="DL30" s="135"/>
      <c r="DM30" s="135"/>
      <c r="DN30" s="135"/>
      <c r="DO30" s="135"/>
      <c r="DP30" s="135"/>
      <c r="DQ30" s="135"/>
      <c r="DR30" s="135"/>
      <c r="DS30" s="135"/>
      <c r="DT30" s="135"/>
      <c r="DU30" s="135"/>
      <c r="DV30" s="135"/>
      <c r="DW30" s="135"/>
      <c r="DX30" s="135"/>
      <c r="DY30" s="135"/>
      <c r="DZ30" s="135"/>
      <c r="EA30" s="135"/>
      <c r="EB30" s="135"/>
      <c r="EC30" s="135"/>
      <c r="ED30" s="135"/>
      <c r="EE30" s="135"/>
      <c r="EF30" s="135"/>
    </row>
    <row r="31" spans="1:136" ht="25" customHeight="1">
      <c r="A31" s="532" t="s">
        <v>1827</v>
      </c>
      <c r="B31" s="1284" t="s">
        <v>310</v>
      </c>
      <c r="C31" s="486"/>
      <c r="D31" s="486"/>
      <c r="E31" s="486"/>
      <c r="F31" s="486"/>
      <c r="G31" s="885"/>
      <c r="H31" s="486"/>
      <c r="I31" s="486"/>
      <c r="J31" s="486"/>
      <c r="K31" s="486"/>
      <c r="L31" s="486"/>
      <c r="M31" s="487"/>
      <c r="N31" s="487"/>
      <c r="O31" s="487"/>
      <c r="P31" s="487"/>
      <c r="Q31" s="487"/>
      <c r="R31" s="487"/>
      <c r="S31" s="487"/>
      <c r="T31" s="135"/>
      <c r="U31" s="135"/>
      <c r="V31" s="1374"/>
      <c r="W31" s="135"/>
      <c r="X31" s="2"/>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5"/>
      <c r="CK31" s="135"/>
      <c r="CL31" s="135"/>
      <c r="CM31" s="135"/>
      <c r="CN31" s="135"/>
      <c r="CO31" s="135"/>
      <c r="CP31" s="135"/>
      <c r="CQ31" s="135"/>
      <c r="CR31" s="135"/>
      <c r="CS31" s="135"/>
      <c r="CT31" s="135"/>
      <c r="CU31" s="135"/>
      <c r="CV31" s="135"/>
      <c r="CW31" s="135"/>
      <c r="CX31" s="135"/>
      <c r="CY31" s="135"/>
      <c r="CZ31" s="135"/>
      <c r="DA31" s="135"/>
      <c r="DB31" s="135"/>
      <c r="DC31" s="135"/>
      <c r="DD31" s="135"/>
      <c r="DE31" s="135"/>
      <c r="DF31" s="135"/>
      <c r="DG31" s="135"/>
      <c r="DH31" s="135"/>
      <c r="DI31" s="135"/>
      <c r="DJ31" s="135"/>
      <c r="DK31" s="135"/>
      <c r="DL31" s="135"/>
      <c r="DM31" s="135"/>
      <c r="DN31" s="135"/>
      <c r="DO31" s="135"/>
      <c r="DP31" s="135"/>
      <c r="DQ31" s="135"/>
      <c r="DR31" s="135"/>
      <c r="DS31" s="135"/>
      <c r="DT31" s="135"/>
      <c r="DU31" s="135"/>
      <c r="DV31" s="135"/>
      <c r="DW31" s="135"/>
      <c r="DX31" s="135"/>
      <c r="DY31" s="135"/>
      <c r="DZ31" s="135"/>
      <c r="EA31" s="135"/>
      <c r="EB31" s="135"/>
      <c r="EC31" s="135"/>
      <c r="ED31" s="135"/>
      <c r="EE31" s="135"/>
      <c r="EF31" s="135"/>
    </row>
    <row r="32" spans="1:136" ht="25" customHeight="1">
      <c r="A32" s="532" t="s">
        <v>2051</v>
      </c>
      <c r="B32" s="1284" t="s">
        <v>2150</v>
      </c>
      <c r="C32" s="1134"/>
      <c r="D32" s="1134"/>
      <c r="E32" s="1134"/>
      <c r="F32" s="1134"/>
      <c r="G32" s="1135"/>
      <c r="H32" s="1134"/>
      <c r="I32" s="1134"/>
      <c r="J32" s="1134"/>
      <c r="K32" s="1134"/>
      <c r="L32" s="1134"/>
      <c r="M32" s="1134"/>
      <c r="N32" s="1134"/>
      <c r="O32" s="1134"/>
      <c r="P32" s="1134"/>
      <c r="Q32" s="1134"/>
      <c r="R32" s="1134"/>
      <c r="S32" s="1134"/>
      <c r="T32" s="137"/>
      <c r="U32" s="135"/>
      <c r="V32" s="1374"/>
      <c r="W32" s="135"/>
      <c r="X32" s="3"/>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5"/>
      <c r="CK32" s="135"/>
      <c r="CL32" s="135"/>
      <c r="CM32" s="135"/>
      <c r="CN32" s="135"/>
      <c r="CO32" s="135"/>
      <c r="CP32" s="135"/>
      <c r="CQ32" s="135"/>
      <c r="CR32" s="135"/>
      <c r="CS32" s="135"/>
      <c r="CT32" s="135"/>
      <c r="CU32" s="135"/>
      <c r="CV32" s="135"/>
      <c r="CW32" s="135"/>
      <c r="CX32" s="135"/>
      <c r="CY32" s="135"/>
      <c r="CZ32" s="135"/>
      <c r="DA32" s="135"/>
      <c r="DB32" s="135"/>
      <c r="DC32" s="135"/>
      <c r="DD32" s="135"/>
      <c r="DE32" s="135"/>
      <c r="DF32" s="135"/>
      <c r="DG32" s="135"/>
      <c r="DH32" s="135"/>
      <c r="DI32" s="135"/>
      <c r="DJ32" s="135"/>
      <c r="DK32" s="135"/>
      <c r="DL32" s="135"/>
      <c r="DM32" s="135"/>
      <c r="DN32" s="135"/>
      <c r="DO32" s="135"/>
      <c r="DP32" s="135"/>
      <c r="DQ32" s="135"/>
      <c r="DR32" s="135"/>
      <c r="DS32" s="135"/>
      <c r="DT32" s="135"/>
      <c r="DU32" s="135"/>
      <c r="DV32" s="135"/>
      <c r="DW32" s="135"/>
      <c r="DX32" s="135"/>
      <c r="DY32" s="135"/>
      <c r="DZ32" s="135"/>
      <c r="EA32" s="135"/>
      <c r="EB32" s="135"/>
      <c r="EC32" s="135"/>
      <c r="ED32" s="135"/>
      <c r="EE32" s="135"/>
      <c r="EF32" s="135"/>
    </row>
    <row r="33" spans="1:136" ht="25" customHeight="1">
      <c r="A33" s="532" t="s">
        <v>1828</v>
      </c>
      <c r="B33" s="1283" t="s">
        <v>308</v>
      </c>
      <c r="C33" s="1134"/>
      <c r="D33" s="1134"/>
      <c r="E33" s="1134"/>
      <c r="F33" s="1134"/>
      <c r="G33" s="1135"/>
      <c r="H33" s="1134"/>
      <c r="I33" s="1134"/>
      <c r="J33" s="1134"/>
      <c r="K33" s="1134"/>
      <c r="L33" s="1134"/>
      <c r="M33" s="1134"/>
      <c r="N33" s="1134"/>
      <c r="O33" s="1134"/>
      <c r="P33" s="1134"/>
      <c r="Q33" s="1134"/>
      <c r="R33" s="1134"/>
      <c r="S33" s="1134"/>
      <c r="T33" s="137"/>
      <c r="U33" s="135"/>
      <c r="V33" s="1374"/>
      <c r="W33" s="135"/>
      <c r="X33" s="3"/>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35"/>
      <c r="CG33" s="135"/>
      <c r="CH33" s="135"/>
      <c r="CI33" s="135"/>
      <c r="CJ33" s="135"/>
      <c r="CK33" s="135"/>
      <c r="CL33" s="135"/>
      <c r="CM33" s="135"/>
      <c r="CN33" s="135"/>
      <c r="CO33" s="135"/>
      <c r="CP33" s="135"/>
      <c r="CQ33" s="135"/>
      <c r="CR33" s="135"/>
      <c r="CS33" s="135"/>
      <c r="CT33" s="135"/>
      <c r="CU33" s="135"/>
      <c r="CV33" s="135"/>
      <c r="CW33" s="135"/>
      <c r="CX33" s="135"/>
      <c r="CY33" s="135"/>
      <c r="CZ33" s="135"/>
      <c r="DA33" s="135"/>
      <c r="DB33" s="135"/>
      <c r="DC33" s="135"/>
      <c r="DD33" s="135"/>
      <c r="DE33" s="135"/>
      <c r="DF33" s="135"/>
      <c r="DG33" s="135"/>
      <c r="DH33" s="135"/>
      <c r="DI33" s="135"/>
      <c r="DJ33" s="135"/>
      <c r="DK33" s="135"/>
      <c r="DL33" s="135"/>
      <c r="DM33" s="135"/>
      <c r="DN33" s="135"/>
      <c r="DO33" s="135"/>
      <c r="DP33" s="135"/>
      <c r="DQ33" s="135"/>
      <c r="DR33" s="135"/>
      <c r="DS33" s="135"/>
      <c r="DT33" s="135"/>
      <c r="DU33" s="135"/>
      <c r="DV33" s="135"/>
      <c r="DW33" s="135"/>
      <c r="DX33" s="135"/>
      <c r="DY33" s="135"/>
      <c r="DZ33" s="135"/>
      <c r="EA33" s="135"/>
      <c r="EB33" s="135"/>
      <c r="EC33" s="135"/>
      <c r="ED33" s="135"/>
      <c r="EE33" s="135"/>
      <c r="EF33" s="135"/>
    </row>
    <row r="34" spans="1:136" ht="25" customHeight="1">
      <c r="A34" s="532" t="s">
        <v>1829</v>
      </c>
      <c r="B34" s="1311" t="s">
        <v>463</v>
      </c>
      <c r="C34" s="1331"/>
      <c r="D34" s="1331"/>
      <c r="E34" s="1331"/>
      <c r="F34" s="1331"/>
      <c r="G34" s="1332"/>
      <c r="H34" s="1331"/>
      <c r="I34" s="1331"/>
      <c r="J34" s="1331"/>
      <c r="K34" s="1331"/>
      <c r="L34" s="1331"/>
      <c r="M34" s="1331"/>
      <c r="N34" s="1331"/>
      <c r="O34" s="1331"/>
      <c r="P34" s="1331"/>
      <c r="Q34" s="1331"/>
      <c r="R34" s="1331"/>
      <c r="S34" s="1331"/>
      <c r="T34" s="137"/>
      <c r="U34" s="135"/>
      <c r="V34" s="1374"/>
      <c r="W34" s="135"/>
      <c r="X34" s="3"/>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5"/>
      <c r="CK34" s="135"/>
      <c r="CL34" s="135"/>
      <c r="CM34" s="135"/>
      <c r="CN34" s="135"/>
      <c r="CO34" s="135"/>
      <c r="CP34" s="135"/>
      <c r="CQ34" s="135"/>
      <c r="CR34" s="135"/>
      <c r="CS34" s="135"/>
      <c r="CT34" s="135"/>
      <c r="CU34" s="135"/>
      <c r="CV34" s="135"/>
      <c r="CW34" s="135"/>
      <c r="CX34" s="135"/>
      <c r="CY34" s="135"/>
      <c r="CZ34" s="135"/>
      <c r="DA34" s="135"/>
      <c r="DB34" s="135"/>
      <c r="DC34" s="135"/>
      <c r="DD34" s="135"/>
      <c r="DE34" s="135"/>
      <c r="DF34" s="135"/>
      <c r="DG34" s="135"/>
      <c r="DH34" s="135"/>
      <c r="DI34" s="135"/>
      <c r="DJ34" s="135"/>
      <c r="DK34" s="135"/>
      <c r="DL34" s="135"/>
      <c r="DM34" s="135"/>
      <c r="DN34" s="135"/>
      <c r="DO34" s="135"/>
      <c r="DP34" s="135"/>
      <c r="DQ34" s="135"/>
      <c r="DR34" s="135"/>
      <c r="DS34" s="135"/>
      <c r="DT34" s="135"/>
      <c r="DU34" s="135"/>
      <c r="DV34" s="135"/>
      <c r="DW34" s="135"/>
      <c r="DX34" s="135"/>
      <c r="DY34" s="135"/>
      <c r="DZ34" s="135"/>
      <c r="EA34" s="135"/>
      <c r="EB34" s="135"/>
      <c r="EC34" s="135"/>
      <c r="ED34" s="135"/>
      <c r="EE34" s="135"/>
      <c r="EF34" s="135"/>
    </row>
    <row r="35" spans="1:136" ht="25" customHeight="1">
      <c r="A35" s="532" t="s">
        <v>2008</v>
      </c>
      <c r="B35" s="1283" t="s">
        <v>0</v>
      </c>
      <c r="C35" s="1136">
        <v>0</v>
      </c>
      <c r="D35" s="1136">
        <v>0</v>
      </c>
      <c r="E35" s="1136">
        <v>0</v>
      </c>
      <c r="F35" s="1136">
        <v>0</v>
      </c>
      <c r="G35" s="1136">
        <v>0</v>
      </c>
      <c r="H35" s="1136">
        <v>0</v>
      </c>
      <c r="I35" s="1136">
        <v>0</v>
      </c>
      <c r="J35" s="1136">
        <v>0</v>
      </c>
      <c r="K35" s="1136">
        <v>0</v>
      </c>
      <c r="L35" s="1136">
        <v>0</v>
      </c>
      <c r="M35" s="1136">
        <v>0</v>
      </c>
      <c r="N35" s="1136">
        <v>0</v>
      </c>
      <c r="O35" s="1136">
        <v>60</v>
      </c>
      <c r="P35" s="1136">
        <v>45</v>
      </c>
      <c r="Q35" s="1136">
        <v>30</v>
      </c>
      <c r="R35" s="1136">
        <v>60</v>
      </c>
      <c r="S35" s="1136">
        <v>75</v>
      </c>
      <c r="T35" s="137"/>
      <c r="U35" s="135"/>
      <c r="V35" s="1373"/>
      <c r="W35" s="135"/>
      <c r="X35" s="3"/>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35"/>
      <c r="CG35" s="135"/>
      <c r="CH35" s="135"/>
      <c r="CI35" s="135"/>
      <c r="CJ35" s="135"/>
      <c r="CK35" s="135"/>
      <c r="CL35" s="135"/>
      <c r="CM35" s="135"/>
      <c r="CN35" s="135"/>
      <c r="CO35" s="135"/>
      <c r="CP35" s="135"/>
      <c r="CQ35" s="135"/>
      <c r="CR35" s="135"/>
      <c r="CS35" s="135"/>
      <c r="CT35" s="135"/>
      <c r="CU35" s="135"/>
      <c r="CV35" s="135"/>
      <c r="CW35" s="135"/>
      <c r="CX35" s="135"/>
      <c r="CY35" s="135"/>
      <c r="CZ35" s="135"/>
      <c r="DA35" s="135"/>
      <c r="DB35" s="135"/>
      <c r="DC35" s="135"/>
      <c r="DD35" s="135"/>
      <c r="DE35" s="135"/>
      <c r="DF35" s="135"/>
      <c r="DG35" s="135"/>
      <c r="DH35" s="135"/>
      <c r="DI35" s="135"/>
      <c r="DJ35" s="135"/>
      <c r="DK35" s="135"/>
      <c r="DL35" s="135"/>
      <c r="DM35" s="135"/>
      <c r="DN35" s="135"/>
      <c r="DO35" s="135"/>
      <c r="DP35" s="135"/>
      <c r="DQ35" s="135"/>
      <c r="DR35" s="135"/>
      <c r="DS35" s="135"/>
      <c r="DT35" s="135"/>
      <c r="DU35" s="135"/>
      <c r="DV35" s="135"/>
      <c r="DW35" s="135"/>
      <c r="DX35" s="135"/>
      <c r="DY35" s="135"/>
      <c r="DZ35" s="135"/>
      <c r="EA35" s="135"/>
      <c r="EB35" s="135"/>
      <c r="EC35" s="135"/>
      <c r="ED35" s="135"/>
      <c r="EE35" s="135"/>
      <c r="EF35" s="135"/>
    </row>
    <row r="36" spans="1:136" ht="25.75" customHeight="1">
      <c r="A36" s="1269"/>
      <c r="B36" s="1270"/>
      <c r="C36" s="1267"/>
      <c r="D36" s="1267"/>
      <c r="E36" s="1267"/>
      <c r="F36" s="1267"/>
      <c r="G36" s="1268"/>
      <c r="H36" s="1267"/>
      <c r="I36" s="1267"/>
      <c r="J36" s="1267"/>
      <c r="K36" s="1267"/>
      <c r="L36" s="1267"/>
      <c r="M36" s="1267"/>
      <c r="N36" s="1267"/>
      <c r="O36" s="1267"/>
      <c r="P36" s="1267"/>
      <c r="Q36" s="1267"/>
      <c r="R36" s="1267"/>
      <c r="S36" s="1267"/>
      <c r="T36" s="137"/>
      <c r="U36" s="135"/>
      <c r="V36" s="1374"/>
      <c r="W36" s="135"/>
      <c r="X36" s="3"/>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35"/>
      <c r="CG36" s="135"/>
      <c r="CH36" s="135"/>
      <c r="CI36" s="135"/>
      <c r="CJ36" s="135"/>
      <c r="CK36" s="135"/>
      <c r="CL36" s="135"/>
      <c r="CM36" s="135"/>
      <c r="CN36" s="135"/>
      <c r="CO36" s="135"/>
      <c r="CP36" s="135"/>
      <c r="CQ36" s="135"/>
      <c r="CR36" s="135"/>
      <c r="CS36" s="135"/>
      <c r="CT36" s="135"/>
      <c r="CU36" s="135"/>
      <c r="CV36" s="135"/>
      <c r="CW36" s="135"/>
      <c r="CX36" s="135"/>
      <c r="CY36" s="135"/>
      <c r="CZ36" s="135"/>
      <c r="DA36" s="135"/>
      <c r="DB36" s="135"/>
      <c r="DC36" s="135"/>
      <c r="DD36" s="135"/>
      <c r="DE36" s="135"/>
      <c r="DF36" s="135"/>
      <c r="DG36" s="135"/>
      <c r="DH36" s="135"/>
      <c r="DI36" s="135"/>
      <c r="DJ36" s="135"/>
      <c r="DK36" s="135"/>
      <c r="DL36" s="135"/>
      <c r="DM36" s="135"/>
      <c r="DN36" s="135"/>
      <c r="DO36" s="135"/>
      <c r="DP36" s="135"/>
      <c r="DQ36" s="135"/>
      <c r="DR36" s="135"/>
      <c r="DS36" s="135"/>
      <c r="DT36" s="135"/>
      <c r="DU36" s="135"/>
      <c r="DV36" s="135"/>
      <c r="DW36" s="135"/>
      <c r="DX36" s="135"/>
      <c r="DY36" s="135"/>
      <c r="DZ36" s="135"/>
      <c r="EA36" s="135"/>
      <c r="EB36" s="135"/>
      <c r="EC36" s="135"/>
      <c r="ED36" s="135"/>
      <c r="EE36" s="135"/>
      <c r="EF36" s="135"/>
    </row>
    <row r="37" spans="1:136" s="1244" customFormat="1" ht="40" customHeight="1" thickBot="1">
      <c r="A37" s="1104" t="s">
        <v>2066</v>
      </c>
      <c r="B37" s="2226" t="s">
        <v>351</v>
      </c>
      <c r="C37" s="2227">
        <v>30</v>
      </c>
      <c r="D37" s="2227">
        <v>30</v>
      </c>
      <c r="E37" s="2227">
        <v>30</v>
      </c>
      <c r="F37" s="2227">
        <v>30</v>
      </c>
      <c r="G37" s="2228">
        <v>30</v>
      </c>
      <c r="H37" s="2227">
        <v>60</v>
      </c>
      <c r="I37" s="2227">
        <v>60</v>
      </c>
      <c r="J37" s="2227">
        <v>60</v>
      </c>
      <c r="K37" s="2227">
        <v>60</v>
      </c>
      <c r="L37" s="2227">
        <v>60</v>
      </c>
      <c r="M37" s="2227">
        <v>60</v>
      </c>
      <c r="N37" s="2227">
        <v>60</v>
      </c>
      <c r="O37" s="2227">
        <v>150</v>
      </c>
      <c r="P37" s="2227">
        <v>150</v>
      </c>
      <c r="Q37" s="2227">
        <v>150</v>
      </c>
      <c r="R37" s="2227">
        <v>150</v>
      </c>
      <c r="S37" s="2227">
        <v>150</v>
      </c>
      <c r="T37" s="1242" t="s">
        <v>15</v>
      </c>
      <c r="U37" s="1243"/>
      <c r="V37" s="1379"/>
      <c r="W37" s="1243"/>
      <c r="X37" s="1387"/>
      <c r="Y37" s="1243"/>
      <c r="Z37" s="1243"/>
      <c r="AA37" s="1243"/>
      <c r="AB37" s="1243"/>
      <c r="AC37" s="1243"/>
      <c r="AD37" s="1243"/>
      <c r="AE37" s="1243"/>
      <c r="AF37" s="1243"/>
      <c r="AG37" s="1243"/>
      <c r="AH37" s="1243"/>
      <c r="AI37" s="1243"/>
      <c r="AJ37" s="1243"/>
      <c r="AK37" s="1243"/>
      <c r="AL37" s="1243"/>
      <c r="AM37" s="1243"/>
      <c r="AN37" s="1243"/>
      <c r="AO37" s="1243"/>
      <c r="AP37" s="1243"/>
      <c r="AQ37" s="1243"/>
      <c r="AR37" s="1243"/>
      <c r="AS37" s="1243"/>
      <c r="AT37" s="1243"/>
      <c r="AU37" s="1243"/>
      <c r="AV37" s="1243"/>
      <c r="AW37" s="1243"/>
      <c r="AX37" s="1243"/>
      <c r="AY37" s="1243"/>
      <c r="AZ37" s="1243"/>
      <c r="BA37" s="1243"/>
      <c r="BB37" s="1243"/>
      <c r="BC37" s="1243"/>
      <c r="BD37" s="1243"/>
      <c r="BE37" s="1243"/>
      <c r="BF37" s="1243"/>
      <c r="BG37" s="1243"/>
      <c r="BH37" s="1243"/>
      <c r="BI37" s="1243"/>
      <c r="BJ37" s="1243"/>
      <c r="BK37" s="1243"/>
      <c r="BL37" s="1243"/>
      <c r="BM37" s="1243"/>
      <c r="BN37" s="1243"/>
      <c r="BO37" s="1243"/>
      <c r="BP37" s="1243"/>
      <c r="BQ37" s="1243"/>
      <c r="BR37" s="1243"/>
      <c r="BS37" s="1243"/>
      <c r="BT37" s="1243"/>
      <c r="BU37" s="1243"/>
      <c r="BV37" s="1243"/>
      <c r="BW37" s="1243"/>
      <c r="BX37" s="1243"/>
      <c r="BY37" s="1243"/>
      <c r="BZ37" s="1243"/>
      <c r="CA37" s="1243"/>
      <c r="CB37" s="1243"/>
      <c r="CC37" s="1243"/>
      <c r="CD37" s="1243"/>
      <c r="CE37" s="1243"/>
      <c r="CF37" s="1243"/>
      <c r="CG37" s="1243"/>
      <c r="CH37" s="1243"/>
      <c r="CI37" s="1243"/>
      <c r="CJ37" s="1243"/>
      <c r="CK37" s="1243"/>
      <c r="CL37" s="1243"/>
      <c r="CM37" s="1243"/>
      <c r="CN37" s="1243"/>
      <c r="CO37" s="1243"/>
      <c r="CP37" s="1243"/>
      <c r="CQ37" s="1243"/>
      <c r="CR37" s="1243"/>
      <c r="CS37" s="1243"/>
      <c r="CT37" s="1243"/>
      <c r="CU37" s="1243"/>
      <c r="CV37" s="1243"/>
      <c r="CW37" s="1243"/>
      <c r="CX37" s="1243"/>
      <c r="CY37" s="1243"/>
      <c r="CZ37" s="1243"/>
      <c r="DA37" s="1243"/>
      <c r="DB37" s="1243"/>
      <c r="DC37" s="1243"/>
      <c r="DD37" s="1243"/>
      <c r="DE37" s="1243"/>
      <c r="DF37" s="1243"/>
      <c r="DG37" s="1243"/>
      <c r="DH37" s="1243"/>
      <c r="DI37" s="1243"/>
      <c r="DJ37" s="1243"/>
      <c r="DK37" s="1243"/>
      <c r="DL37" s="1243"/>
      <c r="DM37" s="1243"/>
      <c r="DN37" s="1243"/>
      <c r="DO37" s="1243"/>
      <c r="DP37" s="1243"/>
      <c r="DQ37" s="1243"/>
      <c r="DR37" s="1243"/>
      <c r="DS37" s="1243"/>
      <c r="DT37" s="1243"/>
      <c r="DU37" s="1243"/>
      <c r="DV37" s="1243"/>
      <c r="DW37" s="1243"/>
      <c r="DX37" s="1243"/>
      <c r="DY37" s="1243"/>
      <c r="DZ37" s="1243"/>
      <c r="EA37" s="1243"/>
      <c r="EB37" s="1243"/>
      <c r="EC37" s="1243"/>
      <c r="ED37" s="1243"/>
      <c r="EE37" s="1243"/>
      <c r="EF37" s="1243"/>
    </row>
    <row r="38" spans="1:136" s="1243" customFormat="1" ht="30" customHeight="1" thickTop="1">
      <c r="A38" s="1954" t="s">
        <v>2050</v>
      </c>
      <c r="B38" s="2223"/>
      <c r="C38" s="2224"/>
      <c r="D38" s="2224"/>
      <c r="E38" s="2224"/>
      <c r="F38" s="2224"/>
      <c r="G38" s="2225"/>
      <c r="H38" s="2224"/>
      <c r="I38" s="2224"/>
      <c r="J38" s="2224"/>
      <c r="K38" s="2224"/>
      <c r="L38" s="2224"/>
      <c r="M38" s="2224"/>
      <c r="N38" s="2224"/>
      <c r="O38" s="2224"/>
      <c r="P38" s="2224"/>
      <c r="Q38" s="2224"/>
      <c r="R38" s="2224"/>
      <c r="S38" s="2224"/>
      <c r="T38" s="1242"/>
      <c r="V38" s="1957"/>
      <c r="X38" s="1387"/>
    </row>
    <row r="39" spans="1:136" s="135" customFormat="1" ht="25" customHeight="1">
      <c r="A39" s="762" t="s">
        <v>2046</v>
      </c>
      <c r="B39" s="1333" t="s">
        <v>340</v>
      </c>
      <c r="C39" s="1334" t="str">
        <f>B39</f>
        <v>Use Your Own Value</v>
      </c>
      <c r="D39" s="1335">
        <v>500</v>
      </c>
      <c r="E39" s="1335">
        <v>500</v>
      </c>
      <c r="F39" s="1335">
        <v>500</v>
      </c>
      <c r="G39" s="1336">
        <v>500</v>
      </c>
      <c r="H39" s="1335">
        <v>500</v>
      </c>
      <c r="I39" s="1335">
        <v>500</v>
      </c>
      <c r="J39" s="1335">
        <v>500</v>
      </c>
      <c r="K39" s="1335">
        <v>500</v>
      </c>
      <c r="L39" s="1335">
        <v>500</v>
      </c>
      <c r="M39" s="1335">
        <v>500</v>
      </c>
      <c r="N39" s="1335">
        <v>500</v>
      </c>
      <c r="O39" s="1335">
        <v>500</v>
      </c>
      <c r="P39" s="1335">
        <v>500</v>
      </c>
      <c r="Q39" s="1335">
        <v>500</v>
      </c>
      <c r="R39" s="1335">
        <v>500</v>
      </c>
      <c r="S39" s="1335">
        <v>500</v>
      </c>
      <c r="T39" s="1163" t="s">
        <v>15</v>
      </c>
      <c r="V39" s="1375"/>
      <c r="X39" s="1111"/>
    </row>
    <row r="40" spans="1:136" ht="25" customHeight="1">
      <c r="A40" s="1966" t="s">
        <v>2045</v>
      </c>
      <c r="B40" s="1285" t="s">
        <v>339</v>
      </c>
      <c r="C40" s="1139">
        <v>500</v>
      </c>
      <c r="D40" s="1139">
        <v>500</v>
      </c>
      <c r="E40" s="1139">
        <v>500</v>
      </c>
      <c r="F40" s="1139">
        <v>500</v>
      </c>
      <c r="G40" s="1137">
        <v>500</v>
      </c>
      <c r="H40" s="1139">
        <v>500</v>
      </c>
      <c r="I40" s="1139">
        <v>500</v>
      </c>
      <c r="J40" s="1139">
        <v>500</v>
      </c>
      <c r="K40" s="1139">
        <v>500</v>
      </c>
      <c r="L40" s="1139">
        <v>500</v>
      </c>
      <c r="M40" s="1139">
        <v>500</v>
      </c>
      <c r="N40" s="1139">
        <v>500</v>
      </c>
      <c r="O40" s="1139">
        <v>500</v>
      </c>
      <c r="P40" s="1139">
        <v>500</v>
      </c>
      <c r="Q40" s="1139">
        <v>500</v>
      </c>
      <c r="R40" s="1139">
        <v>500</v>
      </c>
      <c r="S40" s="1139">
        <v>500</v>
      </c>
      <c r="T40" s="3"/>
      <c r="U40" s="135"/>
      <c r="V40" s="1373"/>
      <c r="W40" s="135"/>
      <c r="X40" s="3"/>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5"/>
      <c r="CK40" s="135"/>
      <c r="CL40" s="135"/>
      <c r="CM40" s="135"/>
      <c r="CN40" s="135"/>
      <c r="CO40" s="135"/>
      <c r="CP40" s="135"/>
      <c r="CQ40" s="135"/>
      <c r="CR40" s="135"/>
      <c r="CS40" s="135"/>
      <c r="CT40" s="135"/>
      <c r="CU40" s="135"/>
      <c r="CV40" s="135"/>
      <c r="CW40" s="135"/>
      <c r="CX40" s="135"/>
      <c r="CY40" s="135"/>
      <c r="CZ40" s="135"/>
      <c r="DA40" s="135"/>
      <c r="DB40" s="135"/>
      <c r="DC40" s="135"/>
      <c r="DD40" s="135"/>
      <c r="DE40" s="135"/>
      <c r="DF40" s="135"/>
      <c r="DG40" s="135"/>
      <c r="DH40" s="135"/>
      <c r="DI40" s="135"/>
      <c r="DJ40" s="135"/>
      <c r="DK40" s="135"/>
      <c r="DL40" s="135"/>
      <c r="DM40" s="135"/>
      <c r="DN40" s="135"/>
      <c r="DO40" s="135"/>
      <c r="DP40" s="135"/>
      <c r="DQ40" s="135"/>
      <c r="DR40" s="135"/>
      <c r="DS40" s="135"/>
      <c r="DT40" s="135"/>
      <c r="DU40" s="135"/>
      <c r="DV40" s="135"/>
      <c r="DW40" s="135"/>
      <c r="DX40" s="135"/>
      <c r="DY40" s="135"/>
      <c r="DZ40" s="135"/>
      <c r="EA40" s="135"/>
      <c r="EB40" s="135"/>
      <c r="EC40" s="135"/>
      <c r="ED40" s="135"/>
      <c r="EE40" s="135"/>
      <c r="EF40" s="135"/>
    </row>
    <row r="41" spans="1:136" ht="25" customHeight="1">
      <c r="A41" s="1967" t="s">
        <v>2052</v>
      </c>
      <c r="B41" s="1270"/>
      <c r="C41" s="1271"/>
      <c r="D41" s="1271"/>
      <c r="E41" s="1271"/>
      <c r="F41" s="1271"/>
      <c r="G41" s="1272"/>
      <c r="H41" s="1271"/>
      <c r="I41" s="1271"/>
      <c r="J41" s="1271"/>
      <c r="K41" s="1271"/>
      <c r="L41" s="1271"/>
      <c r="M41" s="1271"/>
      <c r="N41" s="1271"/>
      <c r="O41" s="1271"/>
      <c r="P41" s="1271"/>
      <c r="Q41" s="1271"/>
      <c r="R41" s="1271"/>
      <c r="S41" s="1271"/>
      <c r="T41" s="135"/>
      <c r="U41" s="135"/>
      <c r="V41" s="1374"/>
      <c r="W41" s="135"/>
      <c r="X41" s="2"/>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5"/>
      <c r="CK41" s="135"/>
      <c r="CL41" s="135"/>
      <c r="CM41" s="135"/>
      <c r="CN41" s="135"/>
      <c r="CO41" s="135"/>
      <c r="CP41" s="135"/>
      <c r="CQ41" s="135"/>
      <c r="CR41" s="135"/>
      <c r="CS41" s="135"/>
      <c r="CT41" s="135"/>
      <c r="CU41" s="135"/>
      <c r="CV41" s="135"/>
      <c r="CW41" s="135"/>
      <c r="CX41" s="135"/>
      <c r="CY41" s="135"/>
      <c r="CZ41" s="135"/>
      <c r="DA41" s="135"/>
      <c r="DB41" s="135"/>
      <c r="DC41" s="135"/>
      <c r="DD41" s="135"/>
      <c r="DE41" s="135"/>
      <c r="DF41" s="135"/>
      <c r="DG41" s="135"/>
      <c r="DH41" s="135"/>
      <c r="DI41" s="135"/>
      <c r="DJ41" s="135"/>
      <c r="DK41" s="135"/>
      <c r="DL41" s="135"/>
      <c r="DM41" s="135"/>
      <c r="DN41" s="135"/>
      <c r="DO41" s="135"/>
      <c r="DP41" s="135"/>
      <c r="DQ41" s="135"/>
      <c r="DR41" s="135"/>
      <c r="DS41" s="135"/>
      <c r="DT41" s="135"/>
      <c r="DU41" s="135"/>
      <c r="DV41" s="135"/>
      <c r="DW41" s="135"/>
      <c r="DX41" s="135"/>
      <c r="DY41" s="135"/>
      <c r="DZ41" s="135"/>
      <c r="EA41" s="135"/>
      <c r="EB41" s="135"/>
      <c r="EC41" s="135"/>
      <c r="ED41" s="135"/>
      <c r="EE41" s="135"/>
      <c r="EF41" s="135"/>
    </row>
    <row r="42" spans="1:136" s="1244" customFormat="1" ht="39" customHeight="1" thickBot="1">
      <c r="A42" s="1098" t="s">
        <v>2077</v>
      </c>
      <c r="B42" s="2218"/>
      <c r="C42" s="2221"/>
      <c r="D42" s="2221"/>
      <c r="E42" s="2221"/>
      <c r="F42" s="2221"/>
      <c r="G42" s="2222"/>
      <c r="H42" s="2221"/>
      <c r="I42" s="2221"/>
      <c r="J42" s="2221"/>
      <c r="K42" s="2221"/>
      <c r="L42" s="2221"/>
      <c r="M42" s="2221"/>
      <c r="N42" s="2221"/>
      <c r="O42" s="2221"/>
      <c r="P42" s="2221"/>
      <c r="Q42" s="2221"/>
      <c r="R42" s="2221"/>
      <c r="S42" s="2221"/>
      <c r="T42" s="1245"/>
      <c r="U42" s="1243"/>
      <c r="V42" s="1380"/>
      <c r="W42" s="1243"/>
      <c r="X42" s="1388"/>
      <c r="Y42" s="1243"/>
      <c r="Z42" s="1243"/>
      <c r="AA42" s="1243"/>
      <c r="AB42" s="1243"/>
      <c r="AC42" s="1243"/>
      <c r="AD42" s="1243"/>
      <c r="AE42" s="1243"/>
      <c r="AF42" s="1243"/>
      <c r="AG42" s="1243"/>
      <c r="AH42" s="1243"/>
      <c r="AI42" s="1243"/>
      <c r="AJ42" s="1243"/>
      <c r="AK42" s="1243"/>
      <c r="AL42" s="1243"/>
      <c r="AM42" s="1243"/>
      <c r="AN42" s="1243"/>
      <c r="AO42" s="1243"/>
      <c r="AP42" s="1243"/>
      <c r="AQ42" s="1243"/>
      <c r="AR42" s="1243"/>
      <c r="AS42" s="1243"/>
      <c r="AT42" s="1243"/>
      <c r="AU42" s="1243"/>
      <c r="AV42" s="1243"/>
      <c r="AW42" s="1243"/>
      <c r="AX42" s="1243"/>
      <c r="AY42" s="1243"/>
      <c r="AZ42" s="1243"/>
      <c r="BA42" s="1243"/>
      <c r="BB42" s="1243"/>
      <c r="BC42" s="1243"/>
      <c r="BD42" s="1243"/>
      <c r="BE42" s="1243"/>
      <c r="BF42" s="1243"/>
      <c r="BG42" s="1243"/>
      <c r="BH42" s="1243"/>
      <c r="BI42" s="1243"/>
      <c r="BJ42" s="1243"/>
      <c r="BK42" s="1243"/>
      <c r="BL42" s="1243"/>
      <c r="BM42" s="1243"/>
      <c r="BN42" s="1243"/>
      <c r="BO42" s="1243"/>
      <c r="BP42" s="1243"/>
      <c r="BQ42" s="1243"/>
      <c r="BR42" s="1243"/>
      <c r="BS42" s="1243"/>
      <c r="BT42" s="1243"/>
      <c r="BU42" s="1243"/>
      <c r="BV42" s="1243"/>
      <c r="BW42" s="1243"/>
      <c r="BX42" s="1243"/>
      <c r="BY42" s="1243"/>
      <c r="BZ42" s="1243"/>
      <c r="CA42" s="1243"/>
      <c r="CB42" s="1243"/>
      <c r="CC42" s="1243"/>
      <c r="CD42" s="1243"/>
      <c r="CE42" s="1243"/>
      <c r="CF42" s="1243"/>
      <c r="CG42" s="1243"/>
      <c r="CH42" s="1243"/>
      <c r="CI42" s="1243"/>
      <c r="CJ42" s="1243"/>
      <c r="CK42" s="1243"/>
      <c r="CL42" s="1243"/>
      <c r="CM42" s="1243"/>
      <c r="CN42" s="1243"/>
      <c r="CO42" s="1243"/>
      <c r="CP42" s="1243"/>
      <c r="CQ42" s="1243"/>
      <c r="CR42" s="1243"/>
      <c r="CS42" s="1243"/>
      <c r="CT42" s="1243"/>
      <c r="CU42" s="1243"/>
      <c r="CV42" s="1243"/>
      <c r="CW42" s="1243"/>
      <c r="CX42" s="1243"/>
      <c r="CY42" s="1243"/>
      <c r="CZ42" s="1243"/>
      <c r="DA42" s="1243"/>
      <c r="DB42" s="1243"/>
      <c r="DC42" s="1243"/>
      <c r="DD42" s="1243"/>
      <c r="DE42" s="1243"/>
      <c r="DF42" s="1243"/>
      <c r="DG42" s="1243"/>
      <c r="DH42" s="1243"/>
      <c r="DI42" s="1243"/>
      <c r="DJ42" s="1243"/>
      <c r="DK42" s="1243"/>
      <c r="DL42" s="1243"/>
      <c r="DM42" s="1243"/>
      <c r="DN42" s="1243"/>
      <c r="DO42" s="1243"/>
      <c r="DP42" s="1243"/>
      <c r="DQ42" s="1243"/>
      <c r="DR42" s="1243"/>
      <c r="DS42" s="1243"/>
      <c r="DT42" s="1243"/>
      <c r="DU42" s="1243"/>
      <c r="DV42" s="1243"/>
      <c r="DW42" s="1243"/>
      <c r="DX42" s="1243"/>
      <c r="DY42" s="1243"/>
      <c r="DZ42" s="1243"/>
      <c r="EA42" s="1243"/>
      <c r="EB42" s="1243"/>
      <c r="EC42" s="1243"/>
      <c r="ED42" s="1243"/>
      <c r="EE42" s="1243"/>
      <c r="EF42" s="1243"/>
    </row>
    <row r="43" spans="1:136" s="1243" customFormat="1" ht="30" customHeight="1" thickTop="1">
      <c r="A43" s="762" t="s">
        <v>2076</v>
      </c>
      <c r="B43" s="1313" t="s">
        <v>0</v>
      </c>
      <c r="C43" s="2219"/>
      <c r="D43" s="2219"/>
      <c r="E43" s="2219"/>
      <c r="F43" s="2219"/>
      <c r="G43" s="2220"/>
      <c r="H43" s="2219"/>
      <c r="I43" s="2219"/>
      <c r="J43" s="2219"/>
      <c r="K43" s="2219"/>
      <c r="L43" s="2219"/>
      <c r="M43" s="2219"/>
      <c r="N43" s="2219"/>
      <c r="O43" s="2219"/>
      <c r="P43" s="2219"/>
      <c r="Q43" s="2219"/>
      <c r="R43" s="2219"/>
      <c r="S43" s="2219"/>
      <c r="T43" s="1245"/>
      <c r="V43" s="2016"/>
      <c r="X43" s="1388"/>
    </row>
    <row r="44" spans="1:136" s="135" customFormat="1" ht="20.5" customHeight="1">
      <c r="A44" s="762" t="s">
        <v>1831</v>
      </c>
      <c r="B44" s="1313" t="s">
        <v>0</v>
      </c>
      <c r="C44" s="2216"/>
      <c r="D44" s="2216"/>
      <c r="E44" s="2216"/>
      <c r="F44" s="2216"/>
      <c r="G44" s="2217"/>
      <c r="H44" s="2216"/>
      <c r="I44" s="2216"/>
      <c r="J44" s="2216"/>
      <c r="K44" s="2216"/>
      <c r="L44" s="2216"/>
      <c r="M44" s="2216"/>
      <c r="N44" s="2216"/>
      <c r="O44" s="2216"/>
      <c r="P44" s="2216"/>
      <c r="Q44" s="2216"/>
      <c r="R44" s="2216"/>
      <c r="S44" s="2216"/>
      <c r="T44" s="3"/>
      <c r="V44" s="1374"/>
      <c r="X44" s="3"/>
    </row>
    <row r="45" spans="1:136" ht="20.5" customHeight="1">
      <c r="A45" s="310" t="s">
        <v>1830</v>
      </c>
      <c r="B45" s="1283" t="s">
        <v>0</v>
      </c>
      <c r="C45" s="1140"/>
      <c r="D45" s="1140"/>
      <c r="E45" s="1140"/>
      <c r="F45" s="1140"/>
      <c r="G45" s="1141"/>
      <c r="H45" s="1140"/>
      <c r="I45" s="1140"/>
      <c r="J45" s="1140"/>
      <c r="K45" s="1140"/>
      <c r="L45" s="1140"/>
      <c r="M45" s="1140"/>
      <c r="N45" s="1140"/>
      <c r="O45" s="1140"/>
      <c r="P45" s="1140"/>
      <c r="Q45" s="1140"/>
      <c r="R45" s="1140"/>
      <c r="S45" s="1140"/>
      <c r="T45" s="3"/>
      <c r="U45" s="135"/>
      <c r="V45" s="1374"/>
      <c r="W45" s="135"/>
      <c r="X45" s="3"/>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5"/>
      <c r="CK45" s="135"/>
      <c r="CL45" s="135"/>
      <c r="CM45" s="135"/>
      <c r="CN45" s="135"/>
      <c r="CO45" s="135"/>
      <c r="CP45" s="135"/>
      <c r="CQ45" s="135"/>
      <c r="CR45" s="135"/>
      <c r="CS45" s="135"/>
      <c r="CT45" s="135"/>
      <c r="CU45" s="135"/>
      <c r="CV45" s="135"/>
      <c r="CW45" s="135"/>
      <c r="CX45" s="135"/>
      <c r="CY45" s="135"/>
      <c r="CZ45" s="135"/>
      <c r="DA45" s="135"/>
      <c r="DB45" s="135"/>
      <c r="DC45" s="135"/>
      <c r="DD45" s="135"/>
      <c r="DE45" s="135"/>
      <c r="DF45" s="135"/>
      <c r="DG45" s="135"/>
      <c r="DH45" s="135"/>
      <c r="DI45" s="135"/>
      <c r="DJ45" s="135"/>
      <c r="DK45" s="135"/>
      <c r="DL45" s="135"/>
      <c r="DM45" s="135"/>
      <c r="DN45" s="135"/>
      <c r="DO45" s="135"/>
      <c r="DP45" s="135"/>
      <c r="DQ45" s="135"/>
      <c r="DR45" s="135"/>
      <c r="DS45" s="135"/>
      <c r="DT45" s="135"/>
      <c r="DU45" s="135"/>
      <c r="DV45" s="135"/>
      <c r="DW45" s="135"/>
      <c r="DX45" s="135"/>
      <c r="DY45" s="135"/>
      <c r="DZ45" s="135"/>
      <c r="EA45" s="135"/>
      <c r="EB45" s="135"/>
      <c r="EC45" s="135"/>
      <c r="ED45" s="135"/>
      <c r="EE45" s="135"/>
      <c r="EF45" s="135"/>
    </row>
    <row r="46" spans="1:136" ht="25.75" customHeight="1">
      <c r="A46" s="310" t="s">
        <v>1832</v>
      </c>
      <c r="B46" s="1283" t="s">
        <v>0</v>
      </c>
      <c r="C46" s="1140"/>
      <c r="D46" s="1140"/>
      <c r="E46" s="1140"/>
      <c r="F46" s="1140"/>
      <c r="G46" s="1141"/>
      <c r="H46" s="1140"/>
      <c r="I46" s="1140"/>
      <c r="J46" s="1140"/>
      <c r="K46" s="1140"/>
      <c r="L46" s="1140"/>
      <c r="M46" s="1140"/>
      <c r="N46" s="1140"/>
      <c r="O46" s="1140"/>
      <c r="P46" s="1140"/>
      <c r="Q46" s="1140"/>
      <c r="R46" s="1140"/>
      <c r="S46" s="1140"/>
      <c r="T46" s="3"/>
      <c r="U46" s="135"/>
      <c r="V46" s="1374"/>
      <c r="W46" s="135"/>
      <c r="X46" s="3"/>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35"/>
      <c r="CG46" s="135"/>
      <c r="CH46" s="135"/>
      <c r="CI46" s="135"/>
      <c r="CJ46" s="135"/>
      <c r="CK46" s="135"/>
      <c r="CL46" s="135"/>
      <c r="CM46" s="135"/>
      <c r="CN46" s="135"/>
      <c r="CO46" s="135"/>
      <c r="CP46" s="135"/>
      <c r="CQ46" s="135"/>
      <c r="CR46" s="135"/>
      <c r="CS46" s="135"/>
      <c r="CT46" s="135"/>
      <c r="CU46" s="135"/>
      <c r="CV46" s="135"/>
      <c r="CW46" s="135"/>
      <c r="CX46" s="135"/>
      <c r="CY46" s="135"/>
      <c r="CZ46" s="135"/>
      <c r="DA46" s="135"/>
      <c r="DB46" s="135"/>
      <c r="DC46" s="135"/>
      <c r="DD46" s="135"/>
      <c r="DE46" s="135"/>
      <c r="DF46" s="135"/>
      <c r="DG46" s="135"/>
      <c r="DH46" s="135"/>
      <c r="DI46" s="135"/>
      <c r="DJ46" s="135"/>
      <c r="DK46" s="135"/>
      <c r="DL46" s="135"/>
      <c r="DM46" s="135"/>
      <c r="DN46" s="135"/>
      <c r="DO46" s="135"/>
      <c r="DP46" s="135"/>
      <c r="DQ46" s="135"/>
      <c r="DR46" s="135"/>
      <c r="DS46" s="135"/>
      <c r="DT46" s="135"/>
      <c r="DU46" s="135"/>
      <c r="DV46" s="135"/>
      <c r="DW46" s="135"/>
      <c r="DX46" s="135"/>
      <c r="DY46" s="135"/>
      <c r="DZ46" s="135"/>
      <c r="EA46" s="135"/>
      <c r="EB46" s="135"/>
      <c r="EC46" s="135"/>
      <c r="ED46" s="135"/>
      <c r="EE46" s="135"/>
      <c r="EF46" s="135"/>
    </row>
    <row r="47" spans="1:136" ht="25.75" customHeight="1">
      <c r="A47" s="1277"/>
      <c r="B47" s="1270"/>
      <c r="C47" s="135"/>
      <c r="D47" s="135"/>
      <c r="E47" s="135"/>
      <c r="F47" s="135"/>
      <c r="G47" s="1252"/>
      <c r="H47" s="135"/>
      <c r="I47" s="135"/>
      <c r="J47" s="135"/>
      <c r="K47" s="135"/>
      <c r="L47" s="135"/>
      <c r="M47" s="135"/>
      <c r="N47" s="135"/>
      <c r="O47" s="135"/>
      <c r="P47" s="135"/>
      <c r="Q47" s="135"/>
      <c r="R47" s="135"/>
      <c r="S47" s="135"/>
      <c r="T47" s="3"/>
      <c r="U47" s="135"/>
      <c r="V47" s="1374"/>
      <c r="W47" s="135"/>
      <c r="X47" s="2"/>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35"/>
      <c r="CG47" s="135"/>
      <c r="CH47" s="135"/>
      <c r="CI47" s="135"/>
      <c r="CJ47" s="135"/>
      <c r="CK47" s="135"/>
      <c r="CL47" s="135"/>
      <c r="CM47" s="135"/>
      <c r="CN47" s="135"/>
      <c r="CO47" s="135"/>
      <c r="CP47" s="135"/>
      <c r="CQ47" s="135"/>
      <c r="CR47" s="135"/>
      <c r="CS47" s="135"/>
      <c r="CT47" s="135"/>
      <c r="CU47" s="135"/>
      <c r="CV47" s="135"/>
      <c r="CW47" s="135"/>
      <c r="CX47" s="135"/>
      <c r="CY47" s="135"/>
      <c r="CZ47" s="135"/>
      <c r="DA47" s="135"/>
      <c r="DB47" s="135"/>
      <c r="DC47" s="135"/>
      <c r="DD47" s="135"/>
      <c r="DE47" s="135"/>
      <c r="DF47" s="135"/>
      <c r="DG47" s="135"/>
      <c r="DH47" s="135"/>
      <c r="DI47" s="135"/>
      <c r="DJ47" s="135"/>
      <c r="DK47" s="135"/>
      <c r="DL47" s="135"/>
      <c r="DM47" s="135"/>
      <c r="DN47" s="135"/>
      <c r="DO47" s="135"/>
      <c r="DP47" s="135"/>
      <c r="DQ47" s="135"/>
      <c r="DR47" s="135"/>
      <c r="DS47" s="135"/>
      <c r="DT47" s="135"/>
      <c r="DU47" s="135"/>
      <c r="DV47" s="135"/>
      <c r="DW47" s="135"/>
      <c r="DX47" s="135"/>
      <c r="DY47" s="135"/>
      <c r="DZ47" s="135"/>
      <c r="EA47" s="135"/>
      <c r="EB47" s="135"/>
      <c r="EC47" s="135"/>
      <c r="ED47" s="135"/>
      <c r="EE47" s="135"/>
      <c r="EF47" s="135"/>
    </row>
    <row r="48" spans="1:136" s="1241" customFormat="1" ht="40" customHeight="1" thickBot="1">
      <c r="A48" s="1104" t="s">
        <v>2067</v>
      </c>
      <c r="B48" s="1337"/>
      <c r="C48" s="1337"/>
      <c r="D48" s="1337"/>
      <c r="E48" s="1337"/>
      <c r="F48" s="1337"/>
      <c r="G48" s="1338"/>
      <c r="H48" s="1337"/>
      <c r="I48" s="1337"/>
      <c r="J48" s="1337"/>
      <c r="K48" s="1337"/>
      <c r="L48" s="1337"/>
      <c r="M48" s="1337"/>
      <c r="N48" s="1337"/>
      <c r="O48" s="1337"/>
      <c r="P48" s="1337"/>
      <c r="Q48" s="1337"/>
      <c r="R48" s="1337"/>
      <c r="S48" s="1337"/>
      <c r="T48" s="1246"/>
      <c r="U48" s="1112"/>
      <c r="V48" s="1381"/>
      <c r="W48" s="1112"/>
      <c r="X48" s="358"/>
      <c r="Y48" s="1112"/>
      <c r="Z48" s="1112"/>
      <c r="AA48" s="1112"/>
      <c r="AB48" s="1112"/>
      <c r="AC48" s="1112"/>
      <c r="AD48" s="1112"/>
      <c r="AE48" s="1112"/>
      <c r="AF48" s="1112"/>
      <c r="AG48" s="1112"/>
      <c r="AH48" s="1112"/>
      <c r="AI48" s="1112"/>
      <c r="AJ48" s="1112"/>
      <c r="AK48" s="1112"/>
      <c r="AL48" s="1112"/>
      <c r="AM48" s="1112"/>
      <c r="AN48" s="1112"/>
      <c r="AO48" s="1112"/>
      <c r="AP48" s="1112"/>
      <c r="AQ48" s="1112"/>
      <c r="AR48" s="1112"/>
      <c r="AS48" s="1112"/>
      <c r="AT48" s="1112"/>
      <c r="AU48" s="1112"/>
      <c r="AV48" s="1112"/>
      <c r="AW48" s="1112"/>
      <c r="AX48" s="1112"/>
      <c r="AY48" s="1112"/>
      <c r="AZ48" s="1112"/>
      <c r="BA48" s="1112"/>
      <c r="BB48" s="1112"/>
      <c r="BC48" s="1112"/>
      <c r="BD48" s="1112"/>
      <c r="BE48" s="1112"/>
      <c r="BF48" s="1112"/>
      <c r="BG48" s="1112"/>
      <c r="BH48" s="1112"/>
      <c r="BI48" s="1112"/>
      <c r="BJ48" s="1112"/>
      <c r="BK48" s="1112"/>
      <c r="BL48" s="1112"/>
      <c r="BM48" s="1112"/>
      <c r="BN48" s="1112"/>
      <c r="BO48" s="1112"/>
      <c r="BP48" s="1112"/>
      <c r="BQ48" s="1112"/>
      <c r="BR48" s="1112"/>
      <c r="BS48" s="1112"/>
      <c r="BT48" s="1112"/>
      <c r="BU48" s="1112"/>
      <c r="BV48" s="1112"/>
      <c r="BW48" s="1112"/>
      <c r="BX48" s="1112"/>
      <c r="BY48" s="1112"/>
      <c r="BZ48" s="1112"/>
      <c r="CA48" s="1112"/>
      <c r="CB48" s="1112"/>
      <c r="CC48" s="1112"/>
      <c r="CD48" s="1112"/>
      <c r="CE48" s="1112"/>
      <c r="CF48" s="1112"/>
      <c r="CG48" s="1112"/>
      <c r="CH48" s="1112"/>
      <c r="CI48" s="1112"/>
      <c r="CJ48" s="1112"/>
      <c r="CK48" s="1112"/>
      <c r="CL48" s="1112"/>
      <c r="CM48" s="1112"/>
      <c r="CN48" s="1112"/>
      <c r="CO48" s="1112"/>
      <c r="CP48" s="1112"/>
      <c r="CQ48" s="1112"/>
      <c r="CR48" s="1112"/>
      <c r="CS48" s="1112"/>
      <c r="CT48" s="1112"/>
      <c r="CU48" s="1112"/>
      <c r="CV48" s="1112"/>
      <c r="CW48" s="1112"/>
      <c r="CX48" s="1112"/>
      <c r="CY48" s="1112"/>
      <c r="CZ48" s="1112"/>
      <c r="DA48" s="1112"/>
      <c r="DB48" s="1112"/>
      <c r="DC48" s="1112"/>
      <c r="DD48" s="1112"/>
      <c r="DE48" s="1112"/>
      <c r="DF48" s="1112"/>
      <c r="DG48" s="1112"/>
      <c r="DH48" s="1112"/>
      <c r="DI48" s="1112"/>
      <c r="DJ48" s="1112"/>
      <c r="DK48" s="1112"/>
      <c r="DL48" s="1112"/>
      <c r="DM48" s="1112"/>
      <c r="DN48" s="1112"/>
      <c r="DO48" s="1112"/>
      <c r="DP48" s="1112"/>
      <c r="DQ48" s="1112"/>
      <c r="DR48" s="1112"/>
      <c r="DS48" s="1112"/>
      <c r="DT48" s="1112"/>
      <c r="DU48" s="1112"/>
      <c r="DV48" s="1112"/>
      <c r="DW48" s="1112"/>
      <c r="DX48" s="1112"/>
      <c r="DY48" s="1112"/>
      <c r="DZ48" s="1112"/>
      <c r="EA48" s="1112"/>
      <c r="EB48" s="1112"/>
      <c r="EC48" s="1112"/>
      <c r="ED48" s="1112"/>
      <c r="EE48" s="1112"/>
      <c r="EF48" s="1112"/>
    </row>
    <row r="49" spans="1:136" s="1112" customFormat="1" ht="26" customHeight="1" thickTop="1">
      <c r="A49" s="1637" t="s">
        <v>2149</v>
      </c>
      <c r="B49" s="1315" t="s">
        <v>277</v>
      </c>
      <c r="C49" s="1316">
        <v>275</v>
      </c>
      <c r="D49" s="1316">
        <v>275</v>
      </c>
      <c r="E49" s="1316">
        <v>275</v>
      </c>
      <c r="F49" s="1316">
        <v>275</v>
      </c>
      <c r="G49" s="1316">
        <v>275</v>
      </c>
      <c r="H49" s="1316">
        <v>220</v>
      </c>
      <c r="I49" s="1316">
        <v>220</v>
      </c>
      <c r="J49" s="1316">
        <v>220</v>
      </c>
      <c r="K49" s="1316">
        <v>220</v>
      </c>
      <c r="L49" s="1316">
        <v>220</v>
      </c>
      <c r="M49" s="1316">
        <v>220</v>
      </c>
      <c r="N49" s="1316">
        <v>220</v>
      </c>
      <c r="O49" s="1316">
        <v>220</v>
      </c>
      <c r="P49" s="1316">
        <v>62.5</v>
      </c>
      <c r="Q49" s="1316">
        <v>62.5</v>
      </c>
      <c r="R49" s="1316">
        <v>62.5</v>
      </c>
      <c r="S49" s="1316">
        <v>62.5</v>
      </c>
      <c r="T49" s="1228" t="s">
        <v>1804</v>
      </c>
      <c r="V49" s="1381"/>
      <c r="X49" s="358"/>
    </row>
    <row r="50" spans="1:136" s="1112" customFormat="1" ht="26" customHeight="1">
      <c r="A50" s="1635" t="s">
        <v>1984</v>
      </c>
      <c r="B50" s="1315"/>
      <c r="C50" s="1316">
        <v>110</v>
      </c>
      <c r="D50" s="1316">
        <v>110</v>
      </c>
      <c r="E50" s="1316">
        <v>110</v>
      </c>
      <c r="F50" s="1316">
        <v>110</v>
      </c>
      <c r="G50" s="1316">
        <v>110</v>
      </c>
      <c r="H50" s="1316">
        <v>88</v>
      </c>
      <c r="I50" s="1316">
        <v>88</v>
      </c>
      <c r="J50" s="1316">
        <v>88</v>
      </c>
      <c r="K50" s="1316">
        <v>88</v>
      </c>
      <c r="L50" s="1316">
        <v>88</v>
      </c>
      <c r="M50" s="1316">
        <v>88</v>
      </c>
      <c r="N50" s="1316">
        <v>88</v>
      </c>
      <c r="O50" s="1316">
        <v>88</v>
      </c>
      <c r="P50" s="1316">
        <v>25</v>
      </c>
      <c r="Q50" s="1316">
        <v>25</v>
      </c>
      <c r="R50" s="1316">
        <v>25</v>
      </c>
      <c r="S50" s="1316">
        <v>25</v>
      </c>
      <c r="T50" s="1228"/>
      <c r="V50" s="1631"/>
      <c r="X50" s="358"/>
    </row>
    <row r="51" spans="1:136" ht="26" customHeight="1">
      <c r="A51" s="318" t="s">
        <v>1836</v>
      </c>
      <c r="B51" s="1286"/>
      <c r="C51" s="367"/>
      <c r="D51" s="367"/>
      <c r="E51" s="367"/>
      <c r="F51" s="367"/>
      <c r="G51" s="883"/>
      <c r="H51" s="367"/>
      <c r="I51" s="367"/>
      <c r="J51" s="367"/>
      <c r="K51" s="367"/>
      <c r="L51" s="367"/>
      <c r="M51" s="367"/>
      <c r="N51" s="367"/>
      <c r="O51" s="367"/>
      <c r="P51" s="367"/>
      <c r="Q51" s="367"/>
      <c r="R51" s="367"/>
      <c r="S51" s="367"/>
      <c r="T51" s="135"/>
      <c r="U51" s="135"/>
      <c r="V51" s="1374"/>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5"/>
      <c r="CK51" s="135"/>
      <c r="CL51" s="135"/>
      <c r="CM51" s="135"/>
      <c r="CN51" s="135"/>
      <c r="CO51" s="135"/>
      <c r="CP51" s="135"/>
      <c r="CQ51" s="135"/>
      <c r="CR51" s="135"/>
      <c r="CS51" s="135"/>
      <c r="CT51" s="135"/>
      <c r="CU51" s="135"/>
      <c r="CV51" s="135"/>
      <c r="CW51" s="135"/>
      <c r="CX51" s="135"/>
      <c r="CY51" s="135"/>
      <c r="CZ51" s="135"/>
      <c r="DA51" s="135"/>
      <c r="DB51" s="135"/>
      <c r="DC51" s="135"/>
      <c r="DD51" s="135"/>
      <c r="DE51" s="135"/>
      <c r="DF51" s="135"/>
      <c r="DG51" s="135"/>
      <c r="DH51" s="135"/>
      <c r="DI51" s="135"/>
      <c r="DJ51" s="135"/>
      <c r="DK51" s="135"/>
      <c r="DL51" s="135"/>
      <c r="DM51" s="135"/>
      <c r="DN51" s="135"/>
      <c r="DO51" s="135"/>
      <c r="DP51" s="135"/>
      <c r="DQ51" s="135"/>
      <c r="DR51" s="135"/>
      <c r="DS51" s="135"/>
      <c r="DT51" s="135"/>
      <c r="DU51" s="135"/>
      <c r="DV51" s="135"/>
      <c r="DW51" s="135"/>
      <c r="DX51" s="135"/>
      <c r="DY51" s="135"/>
      <c r="DZ51" s="135"/>
      <c r="EA51" s="135"/>
      <c r="EB51" s="135"/>
      <c r="EC51" s="135"/>
      <c r="ED51" s="135"/>
      <c r="EE51" s="135"/>
      <c r="EF51" s="135"/>
    </row>
    <row r="52" spans="1:136" ht="26" customHeight="1">
      <c r="A52" s="318" t="s">
        <v>848</v>
      </c>
      <c r="B52" s="1286"/>
      <c r="C52" s="367">
        <v>0.9</v>
      </c>
      <c r="D52" s="367">
        <v>0.9</v>
      </c>
      <c r="E52" s="367">
        <v>0.9</v>
      </c>
      <c r="F52" s="367">
        <v>0.9</v>
      </c>
      <c r="G52" s="883">
        <v>0.9</v>
      </c>
      <c r="H52" s="367">
        <v>0.9</v>
      </c>
      <c r="I52" s="367">
        <v>0.9</v>
      </c>
      <c r="J52" s="367">
        <v>0.9</v>
      </c>
      <c r="K52" s="367">
        <v>0.9</v>
      </c>
      <c r="L52" s="367">
        <v>0.9</v>
      </c>
      <c r="M52" s="367">
        <v>0.9</v>
      </c>
      <c r="N52" s="367">
        <v>0.9</v>
      </c>
      <c r="O52" s="367">
        <v>0.9</v>
      </c>
      <c r="P52" s="367">
        <v>0.9</v>
      </c>
      <c r="Q52" s="367">
        <v>0.9</v>
      </c>
      <c r="R52" s="367">
        <v>0.9</v>
      </c>
      <c r="S52" s="367">
        <v>0.9</v>
      </c>
      <c r="T52" s="135"/>
      <c r="U52" s="135"/>
      <c r="V52" s="1373"/>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5"/>
      <c r="CK52" s="135"/>
      <c r="CL52" s="135"/>
      <c r="CM52" s="135"/>
      <c r="CN52" s="135"/>
      <c r="CO52" s="135"/>
      <c r="CP52" s="135"/>
      <c r="CQ52" s="135"/>
      <c r="CR52" s="135"/>
      <c r="CS52" s="135"/>
      <c r="CT52" s="135"/>
      <c r="CU52" s="135"/>
      <c r="CV52" s="135"/>
      <c r="CW52" s="135"/>
      <c r="CX52" s="135"/>
      <c r="CY52" s="135"/>
      <c r="CZ52" s="135"/>
      <c r="DA52" s="135"/>
      <c r="DB52" s="135"/>
      <c r="DC52" s="135"/>
      <c r="DD52" s="135"/>
      <c r="DE52" s="135"/>
      <c r="DF52" s="135"/>
      <c r="DG52" s="135"/>
      <c r="DH52" s="135"/>
      <c r="DI52" s="135"/>
      <c r="DJ52" s="135"/>
      <c r="DK52" s="135"/>
      <c r="DL52" s="135"/>
      <c r="DM52" s="135"/>
      <c r="DN52" s="135"/>
      <c r="DO52" s="135"/>
      <c r="DP52" s="135"/>
      <c r="DQ52" s="135"/>
      <c r="DR52" s="135"/>
      <c r="DS52" s="135"/>
      <c r="DT52" s="135"/>
      <c r="DU52" s="135"/>
      <c r="DV52" s="135"/>
      <c r="DW52" s="135"/>
      <c r="DX52" s="135"/>
      <c r="DY52" s="135"/>
      <c r="DZ52" s="135"/>
      <c r="EA52" s="135"/>
      <c r="EB52" s="135"/>
      <c r="EC52" s="135"/>
      <c r="ED52" s="135"/>
      <c r="EE52" s="135"/>
      <c r="EF52" s="135"/>
    </row>
    <row r="53" spans="1:136" ht="26" customHeight="1">
      <c r="A53" s="316" t="s">
        <v>1837</v>
      </c>
      <c r="B53" s="1287"/>
      <c r="C53" s="367">
        <v>0.42</v>
      </c>
      <c r="D53" s="367">
        <v>0.42</v>
      </c>
      <c r="E53" s="367">
        <v>0</v>
      </c>
      <c r="F53" s="367">
        <v>0</v>
      </c>
      <c r="G53" s="883">
        <v>0.75</v>
      </c>
      <c r="H53" s="367">
        <v>0</v>
      </c>
      <c r="I53" s="367">
        <v>0.42</v>
      </c>
      <c r="J53" s="367">
        <v>0.42</v>
      </c>
      <c r="K53" s="367">
        <v>0.42</v>
      </c>
      <c r="L53" s="367">
        <v>0.42</v>
      </c>
      <c r="M53" s="367">
        <v>0.42</v>
      </c>
      <c r="N53" s="367">
        <v>0</v>
      </c>
      <c r="O53" s="367">
        <v>0.42</v>
      </c>
      <c r="P53" s="367">
        <v>0.42</v>
      </c>
      <c r="Q53" s="367">
        <v>0.42</v>
      </c>
      <c r="R53" s="367">
        <v>0.42</v>
      </c>
      <c r="S53" s="367">
        <v>0.42</v>
      </c>
      <c r="T53" s="135"/>
      <c r="U53" s="135"/>
      <c r="V53" s="1373"/>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5"/>
      <c r="CK53" s="135"/>
      <c r="CL53" s="135"/>
      <c r="CM53" s="135"/>
      <c r="CN53" s="135"/>
      <c r="CO53" s="135"/>
      <c r="CP53" s="135"/>
      <c r="CQ53" s="135"/>
      <c r="CR53" s="135"/>
      <c r="CS53" s="135"/>
      <c r="CT53" s="135"/>
      <c r="CU53" s="135"/>
      <c r="CV53" s="135"/>
      <c r="CW53" s="135"/>
      <c r="CX53" s="135"/>
      <c r="CY53" s="135"/>
      <c r="CZ53" s="135"/>
      <c r="DA53" s="135"/>
      <c r="DB53" s="135"/>
      <c r="DC53" s="135"/>
      <c r="DD53" s="135"/>
      <c r="DE53" s="135"/>
      <c r="DF53" s="135"/>
      <c r="DG53" s="135"/>
      <c r="DH53" s="135"/>
      <c r="DI53" s="135"/>
      <c r="DJ53" s="135"/>
      <c r="DK53" s="135"/>
      <c r="DL53" s="135"/>
      <c r="DM53" s="135"/>
      <c r="DN53" s="135"/>
      <c r="DO53" s="135"/>
      <c r="DP53" s="135"/>
      <c r="DQ53" s="135"/>
      <c r="DR53" s="135"/>
      <c r="DS53" s="135"/>
      <c r="DT53" s="135"/>
      <c r="DU53" s="135"/>
      <c r="DV53" s="135"/>
      <c r="DW53" s="135"/>
      <c r="DX53" s="135"/>
      <c r="DY53" s="135"/>
      <c r="DZ53" s="135"/>
      <c r="EA53" s="135"/>
      <c r="EB53" s="135"/>
      <c r="EC53" s="135"/>
      <c r="ED53" s="135"/>
      <c r="EE53" s="135"/>
      <c r="EF53" s="135"/>
    </row>
    <row r="54" spans="1:136" s="1885" customFormat="1" ht="50" customHeight="1">
      <c r="A54" s="1708" t="s">
        <v>2032</v>
      </c>
      <c r="B54" s="1878"/>
      <c r="C54" s="1879"/>
      <c r="D54" s="1879"/>
      <c r="E54" s="1879"/>
      <c r="F54" s="1879"/>
      <c r="G54" s="1880"/>
      <c r="H54" s="1879"/>
      <c r="I54" s="1879"/>
      <c r="J54" s="1879"/>
      <c r="K54" s="1879"/>
      <c r="L54" s="1879"/>
      <c r="M54" s="1879"/>
      <c r="N54" s="1879"/>
      <c r="O54" s="1879"/>
      <c r="P54" s="1879"/>
      <c r="Q54" s="1879"/>
      <c r="R54" s="1879"/>
      <c r="S54" s="1879"/>
      <c r="T54" s="1881"/>
      <c r="U54" s="1882"/>
      <c r="V54" s="1883"/>
      <c r="W54" s="1882"/>
      <c r="X54" s="1884"/>
      <c r="Y54" s="1882"/>
      <c r="Z54" s="1882"/>
      <c r="AA54" s="1882"/>
      <c r="AB54" s="1882"/>
      <c r="AC54" s="1882"/>
      <c r="AD54" s="1882"/>
      <c r="AE54" s="1882"/>
      <c r="AF54" s="1882"/>
      <c r="AG54" s="1882"/>
      <c r="AH54" s="1882"/>
      <c r="AI54" s="1882"/>
      <c r="AJ54" s="1882"/>
      <c r="AK54" s="1882"/>
      <c r="AL54" s="1882"/>
      <c r="AM54" s="1882"/>
      <c r="AN54" s="1882"/>
      <c r="AO54" s="1882"/>
      <c r="AP54" s="1882"/>
      <c r="AQ54" s="1882"/>
      <c r="AR54" s="1882"/>
      <c r="AS54" s="1882"/>
      <c r="AT54" s="1882"/>
      <c r="AU54" s="1882"/>
      <c r="AV54" s="1882"/>
      <c r="AW54" s="1882"/>
      <c r="AX54" s="1882"/>
      <c r="AY54" s="1882"/>
      <c r="AZ54" s="1882"/>
      <c r="BA54" s="1882"/>
      <c r="BB54" s="1882"/>
      <c r="BC54" s="1882"/>
      <c r="BD54" s="1882"/>
      <c r="BE54" s="1882"/>
      <c r="BF54" s="1882"/>
      <c r="BG54" s="1882"/>
      <c r="BH54" s="1882"/>
      <c r="BI54" s="1882"/>
      <c r="BJ54" s="1882"/>
      <c r="BK54" s="1882"/>
      <c r="BL54" s="1882"/>
      <c r="BM54" s="1882"/>
      <c r="BN54" s="1882"/>
      <c r="BO54" s="1882"/>
      <c r="BP54" s="1882"/>
      <c r="BQ54" s="1882"/>
      <c r="BR54" s="1882"/>
      <c r="BS54" s="1882"/>
      <c r="BT54" s="1882"/>
      <c r="BU54" s="1882"/>
      <c r="BV54" s="1882"/>
      <c r="BW54" s="1882"/>
      <c r="BX54" s="1882"/>
      <c r="BY54" s="1882"/>
      <c r="BZ54" s="1882"/>
      <c r="CA54" s="1882"/>
      <c r="CB54" s="1882"/>
      <c r="CC54" s="1882"/>
      <c r="CD54" s="1882"/>
      <c r="CE54" s="1882"/>
      <c r="CF54" s="1882"/>
      <c r="CG54" s="1882"/>
      <c r="CH54" s="1882"/>
      <c r="CI54" s="1882"/>
      <c r="CJ54" s="1882"/>
      <c r="CK54" s="1882"/>
      <c r="CL54" s="1882"/>
      <c r="CM54" s="1882"/>
      <c r="CN54" s="1882"/>
      <c r="CO54" s="1882"/>
      <c r="CP54" s="1882"/>
      <c r="CQ54" s="1882"/>
      <c r="CR54" s="1882"/>
      <c r="CS54" s="1882"/>
      <c r="CT54" s="1882"/>
      <c r="CU54" s="1882"/>
      <c r="CV54" s="1882"/>
      <c r="CW54" s="1882"/>
      <c r="CX54" s="1882"/>
      <c r="CY54" s="1882"/>
      <c r="CZ54" s="1882"/>
      <c r="DA54" s="1882"/>
      <c r="DB54" s="1882"/>
      <c r="DC54" s="1882"/>
      <c r="DD54" s="1882"/>
      <c r="DE54" s="1882"/>
      <c r="DF54" s="1882"/>
      <c r="DG54" s="1882"/>
      <c r="DH54" s="1882"/>
      <c r="DI54" s="1882"/>
      <c r="DJ54" s="1882"/>
      <c r="DK54" s="1882"/>
      <c r="DL54" s="1882"/>
      <c r="DM54" s="1882"/>
      <c r="DN54" s="1882"/>
      <c r="DO54" s="1882"/>
      <c r="DP54" s="1882"/>
      <c r="DQ54" s="1882"/>
      <c r="DR54" s="1882"/>
      <c r="DS54" s="1882"/>
      <c r="DT54" s="1882"/>
      <c r="DU54" s="1882"/>
      <c r="DV54" s="1882"/>
      <c r="DW54" s="1882"/>
      <c r="DX54" s="1882"/>
      <c r="DY54" s="1882"/>
      <c r="DZ54" s="1882"/>
      <c r="EA54" s="1882"/>
      <c r="EB54" s="1882"/>
      <c r="EC54" s="1882"/>
      <c r="ED54" s="1882"/>
      <c r="EE54" s="1882"/>
      <c r="EF54" s="1882"/>
    </row>
    <row r="55" spans="1:136" s="1241" customFormat="1" ht="40" customHeight="1" thickBot="1">
      <c r="A55" s="1098" t="s">
        <v>2068</v>
      </c>
      <c r="B55" s="1339"/>
      <c r="C55" s="1340"/>
      <c r="D55" s="1340"/>
      <c r="E55" s="1340"/>
      <c r="F55" s="1340"/>
      <c r="G55" s="1341"/>
      <c r="H55" s="1340"/>
      <c r="I55" s="1340"/>
      <c r="J55" s="1340"/>
      <c r="K55" s="1340"/>
      <c r="L55" s="1340"/>
      <c r="M55" s="1340"/>
      <c r="N55" s="1340"/>
      <c r="O55" s="1340"/>
      <c r="P55" s="1340"/>
      <c r="Q55" s="1340"/>
      <c r="R55" s="1340"/>
      <c r="S55" s="1340"/>
      <c r="T55" s="1246"/>
      <c r="U55" s="1112"/>
      <c r="V55" s="1380"/>
      <c r="W55" s="1112"/>
      <c r="X55" s="1389"/>
      <c r="Y55" s="1112"/>
      <c r="Z55" s="1112"/>
      <c r="AA55" s="1112"/>
      <c r="AB55" s="1112"/>
      <c r="AC55" s="1112"/>
      <c r="AD55" s="1112"/>
      <c r="AE55" s="1112"/>
      <c r="AF55" s="1112"/>
      <c r="AG55" s="1112"/>
      <c r="AH55" s="1112"/>
      <c r="AI55" s="1112"/>
      <c r="AJ55" s="1112"/>
      <c r="AK55" s="1112"/>
      <c r="AL55" s="1112"/>
      <c r="AM55" s="1112"/>
      <c r="AN55" s="1112"/>
      <c r="AO55" s="1112"/>
      <c r="AP55" s="1112"/>
      <c r="AQ55" s="1112"/>
      <c r="AR55" s="1112"/>
      <c r="AS55" s="1112"/>
      <c r="AT55" s="1112"/>
      <c r="AU55" s="1112"/>
      <c r="AV55" s="1112"/>
      <c r="AW55" s="1112"/>
      <c r="AX55" s="1112"/>
      <c r="AY55" s="1112"/>
      <c r="AZ55" s="1112"/>
      <c r="BA55" s="1112"/>
      <c r="BB55" s="1112"/>
      <c r="BC55" s="1112"/>
      <c r="BD55" s="1112"/>
      <c r="BE55" s="1112"/>
      <c r="BF55" s="1112"/>
      <c r="BG55" s="1112"/>
      <c r="BH55" s="1112"/>
      <c r="BI55" s="1112"/>
      <c r="BJ55" s="1112"/>
      <c r="BK55" s="1112"/>
      <c r="BL55" s="1112"/>
      <c r="BM55" s="1112"/>
      <c r="BN55" s="1112"/>
      <c r="BO55" s="1112"/>
      <c r="BP55" s="1112"/>
      <c r="BQ55" s="1112"/>
      <c r="BR55" s="1112"/>
      <c r="BS55" s="1112"/>
      <c r="BT55" s="1112"/>
      <c r="BU55" s="1112"/>
      <c r="BV55" s="1112"/>
      <c r="BW55" s="1112"/>
      <c r="BX55" s="1112"/>
      <c r="BY55" s="1112"/>
      <c r="BZ55" s="1112"/>
      <c r="CA55" s="1112"/>
      <c r="CB55" s="1112"/>
      <c r="CC55" s="1112"/>
      <c r="CD55" s="1112"/>
      <c r="CE55" s="1112"/>
      <c r="CF55" s="1112"/>
      <c r="CG55" s="1112"/>
      <c r="CH55" s="1112"/>
      <c r="CI55" s="1112"/>
      <c r="CJ55" s="1112"/>
      <c r="CK55" s="1112"/>
      <c r="CL55" s="1112"/>
      <c r="CM55" s="1112"/>
      <c r="CN55" s="1112"/>
      <c r="CO55" s="1112"/>
      <c r="CP55" s="1112"/>
      <c r="CQ55" s="1112"/>
      <c r="CR55" s="1112"/>
      <c r="CS55" s="1112"/>
      <c r="CT55" s="1112"/>
      <c r="CU55" s="1112"/>
      <c r="CV55" s="1112"/>
      <c r="CW55" s="1112"/>
      <c r="CX55" s="1112"/>
      <c r="CY55" s="1112"/>
      <c r="CZ55" s="1112"/>
      <c r="DA55" s="1112"/>
      <c r="DB55" s="1112"/>
      <c r="DC55" s="1112"/>
      <c r="DD55" s="1112"/>
      <c r="DE55" s="1112"/>
      <c r="DF55" s="1112"/>
      <c r="DG55" s="1112"/>
      <c r="DH55" s="1112"/>
      <c r="DI55" s="1112"/>
      <c r="DJ55" s="1112"/>
      <c r="DK55" s="1112"/>
      <c r="DL55" s="1112"/>
      <c r="DM55" s="1112"/>
      <c r="DN55" s="1112"/>
      <c r="DO55" s="1112"/>
      <c r="DP55" s="1112"/>
      <c r="DQ55" s="1112"/>
      <c r="DR55" s="1112"/>
      <c r="DS55" s="1112"/>
      <c r="DT55" s="1112"/>
      <c r="DU55" s="1112"/>
      <c r="DV55" s="1112"/>
      <c r="DW55" s="1112"/>
      <c r="DX55" s="1112"/>
      <c r="DY55" s="1112"/>
      <c r="DZ55" s="1112"/>
      <c r="EA55" s="1112"/>
      <c r="EB55" s="1112"/>
      <c r="EC55" s="1112"/>
      <c r="ED55" s="1112"/>
      <c r="EE55" s="1112"/>
      <c r="EF55" s="1112"/>
    </row>
    <row r="56" spans="1:136" s="135" customFormat="1" ht="25" customHeight="1" thickTop="1">
      <c r="A56" s="762" t="s">
        <v>800</v>
      </c>
      <c r="B56" s="1313" t="s">
        <v>6</v>
      </c>
      <c r="C56" s="1342">
        <v>150</v>
      </c>
      <c r="D56" s="1342">
        <v>150</v>
      </c>
      <c r="E56" s="1342">
        <v>150</v>
      </c>
      <c r="F56" s="1342">
        <v>150</v>
      </c>
      <c r="G56" s="1336">
        <v>150</v>
      </c>
      <c r="H56" s="1342">
        <v>150</v>
      </c>
      <c r="I56" s="1342">
        <v>150</v>
      </c>
      <c r="J56" s="1342">
        <v>150</v>
      </c>
      <c r="K56" s="1342">
        <v>150</v>
      </c>
      <c r="L56" s="1342">
        <v>150</v>
      </c>
      <c r="M56" s="1342">
        <v>150</v>
      </c>
      <c r="N56" s="1342">
        <v>150</v>
      </c>
      <c r="O56" s="1342">
        <v>150</v>
      </c>
      <c r="P56" s="1342">
        <v>150</v>
      </c>
      <c r="Q56" s="1342">
        <v>150</v>
      </c>
      <c r="R56" s="1342">
        <v>150</v>
      </c>
      <c r="S56" s="1342">
        <v>150</v>
      </c>
      <c r="T56" s="3"/>
      <c r="V56" s="1375"/>
      <c r="X56" s="1113"/>
    </row>
    <row r="57" spans="1:136" ht="25" customHeight="1">
      <c r="A57" s="310" t="s">
        <v>801</v>
      </c>
      <c r="B57" s="1283" t="s">
        <v>7</v>
      </c>
      <c r="C57" s="1136">
        <v>1000</v>
      </c>
      <c r="D57" s="1136">
        <v>1000</v>
      </c>
      <c r="E57" s="1136">
        <v>1000</v>
      </c>
      <c r="F57" s="1136">
        <v>1000</v>
      </c>
      <c r="G57" s="1137">
        <v>1000</v>
      </c>
      <c r="H57" s="1136">
        <v>1000</v>
      </c>
      <c r="I57" s="1136">
        <v>1000</v>
      </c>
      <c r="J57" s="1136">
        <v>1000</v>
      </c>
      <c r="K57" s="1136">
        <v>1000</v>
      </c>
      <c r="L57" s="1136">
        <v>1000</v>
      </c>
      <c r="M57" s="1136">
        <v>1000</v>
      </c>
      <c r="N57" s="1136">
        <v>1000</v>
      </c>
      <c r="O57" s="1136">
        <v>1000</v>
      </c>
      <c r="P57" s="1136">
        <v>1000</v>
      </c>
      <c r="Q57" s="1136">
        <v>1000</v>
      </c>
      <c r="R57" s="1136">
        <v>1000</v>
      </c>
      <c r="S57" s="1136">
        <v>1000</v>
      </c>
      <c r="T57" s="3"/>
      <c r="U57" s="135"/>
      <c r="V57" s="1373"/>
      <c r="W57" s="135"/>
      <c r="X57" s="1113"/>
      <c r="Y57" s="135"/>
      <c r="Z57" s="135"/>
      <c r="AA57" s="135"/>
      <c r="AB57" s="135"/>
      <c r="AC57" s="135"/>
      <c r="AD57" s="135"/>
      <c r="AE57" s="135"/>
      <c r="AF57" s="135"/>
      <c r="AG57" s="135"/>
    </row>
    <row r="58" spans="1:136" ht="25" customHeight="1">
      <c r="A58" s="310" t="s">
        <v>802</v>
      </c>
      <c r="B58" s="1283" t="s">
        <v>7</v>
      </c>
      <c r="C58" s="1136">
        <v>150</v>
      </c>
      <c r="D58" s="1136">
        <v>150</v>
      </c>
      <c r="E58" s="1136">
        <v>150</v>
      </c>
      <c r="F58" s="1136">
        <v>150</v>
      </c>
      <c r="G58" s="1137">
        <v>150</v>
      </c>
      <c r="H58" s="1136">
        <v>150</v>
      </c>
      <c r="I58" s="1136">
        <v>150</v>
      </c>
      <c r="J58" s="1136">
        <v>150</v>
      </c>
      <c r="K58" s="1136">
        <v>150</v>
      </c>
      <c r="L58" s="1136">
        <v>150</v>
      </c>
      <c r="M58" s="1136">
        <v>150</v>
      </c>
      <c r="N58" s="1136">
        <v>150</v>
      </c>
      <c r="O58" s="1136">
        <v>150</v>
      </c>
      <c r="P58" s="1136">
        <v>150</v>
      </c>
      <c r="Q58" s="1136">
        <v>150</v>
      </c>
      <c r="R58" s="1136">
        <v>150</v>
      </c>
      <c r="S58" s="1136">
        <v>150</v>
      </c>
      <c r="T58" s="3"/>
      <c r="U58" s="135"/>
      <c r="V58" s="1373"/>
      <c r="W58" s="135"/>
      <c r="X58" s="1113"/>
      <c r="Y58" s="135"/>
      <c r="Z58" s="135"/>
      <c r="AA58" s="135"/>
      <c r="AB58" s="135"/>
      <c r="AC58" s="135"/>
      <c r="AD58" s="135"/>
      <c r="AE58" s="135"/>
      <c r="AF58" s="135"/>
      <c r="AG58" s="135"/>
    </row>
    <row r="59" spans="1:136" ht="25" customHeight="1">
      <c r="A59" s="311" t="s">
        <v>1527</v>
      </c>
      <c r="B59" s="1283" t="s">
        <v>8</v>
      </c>
      <c r="C59" s="1138" t="s">
        <v>272</v>
      </c>
      <c r="D59" s="1138" t="s">
        <v>272</v>
      </c>
      <c r="E59" s="1138" t="s">
        <v>272</v>
      </c>
      <c r="F59" s="1138" t="s">
        <v>272</v>
      </c>
      <c r="G59" s="1142" t="s">
        <v>272</v>
      </c>
      <c r="H59" s="1138" t="s">
        <v>272</v>
      </c>
      <c r="I59" s="1138" t="s">
        <v>272</v>
      </c>
      <c r="J59" s="1138" t="s">
        <v>272</v>
      </c>
      <c r="K59" s="1138" t="s">
        <v>272</v>
      </c>
      <c r="L59" s="1138" t="s">
        <v>272</v>
      </c>
      <c r="M59" s="1138" t="s">
        <v>272</v>
      </c>
      <c r="N59" s="1138" t="s">
        <v>272</v>
      </c>
      <c r="O59" s="1138" t="s">
        <v>272</v>
      </c>
      <c r="P59" s="1138" t="s">
        <v>272</v>
      </c>
      <c r="Q59" s="1138" t="s">
        <v>272</v>
      </c>
      <c r="R59" s="1138" t="s">
        <v>272</v>
      </c>
      <c r="S59" s="1138" t="s">
        <v>272</v>
      </c>
      <c r="T59" s="3"/>
      <c r="U59" s="135"/>
      <c r="V59" s="1373"/>
      <c r="W59" s="135"/>
      <c r="X59" s="3"/>
      <c r="Y59" s="135"/>
      <c r="Z59" s="135"/>
      <c r="AA59" s="135"/>
      <c r="AB59" s="135"/>
      <c r="AC59" s="135"/>
      <c r="AD59" s="135"/>
      <c r="AE59" s="135"/>
      <c r="AF59" s="135"/>
      <c r="AG59" s="135"/>
    </row>
    <row r="60" spans="1:136" ht="25" customHeight="1">
      <c r="A60" s="2001" t="s">
        <v>291</v>
      </c>
      <c r="B60" s="1285" t="s">
        <v>5</v>
      </c>
      <c r="C60" s="1143"/>
      <c r="D60" s="1143"/>
      <c r="E60" s="1143"/>
      <c r="F60" s="1143"/>
      <c r="G60" s="1144"/>
      <c r="H60" s="1143"/>
      <c r="I60" s="1143"/>
      <c r="J60" s="1143"/>
      <c r="K60" s="1143"/>
      <c r="L60" s="1143"/>
      <c r="M60" s="1143"/>
      <c r="N60" s="1143"/>
      <c r="O60" s="1143"/>
      <c r="P60" s="1143"/>
      <c r="Q60" s="1143"/>
      <c r="R60" s="1143"/>
      <c r="S60" s="1143"/>
      <c r="T60" s="137"/>
      <c r="U60" s="135"/>
      <c r="V60" s="1374"/>
      <c r="W60" s="135"/>
      <c r="X60" s="3"/>
      <c r="Y60" s="135"/>
      <c r="Z60" s="135"/>
      <c r="AA60" s="135"/>
      <c r="AB60" s="135"/>
      <c r="AC60" s="135"/>
      <c r="AD60" s="135"/>
      <c r="AE60" s="135"/>
      <c r="AF60" s="135"/>
      <c r="AG60" s="135"/>
    </row>
    <row r="61" spans="1:136" ht="25" customHeight="1">
      <c r="A61" s="77"/>
      <c r="B61" s="79"/>
      <c r="C61" s="1267"/>
      <c r="D61" s="1267"/>
      <c r="E61" s="1267"/>
      <c r="F61" s="1267"/>
      <c r="G61" s="1268"/>
      <c r="H61" s="1267"/>
      <c r="I61" s="1267"/>
      <c r="J61" s="1267"/>
      <c r="K61" s="1267"/>
      <c r="L61" s="1267"/>
      <c r="M61" s="1267"/>
      <c r="N61" s="1267"/>
      <c r="O61" s="1267"/>
      <c r="P61" s="1267"/>
      <c r="Q61" s="1267"/>
      <c r="R61" s="1267"/>
      <c r="S61" s="1267"/>
      <c r="T61" s="137"/>
      <c r="U61" s="135"/>
      <c r="V61" s="1374"/>
      <c r="W61" s="135"/>
      <c r="X61" s="1113"/>
      <c r="Y61" s="135"/>
      <c r="Z61" s="135"/>
      <c r="AA61" s="135"/>
      <c r="AB61" s="135"/>
      <c r="AC61" s="135"/>
      <c r="AD61" s="135"/>
      <c r="AE61" s="135"/>
      <c r="AF61" s="135"/>
      <c r="AG61" s="135"/>
    </row>
    <row r="62" spans="1:136" s="1249" customFormat="1" ht="40" customHeight="1" thickBot="1">
      <c r="A62" s="1086" t="s">
        <v>2069</v>
      </c>
      <c r="B62" s="1347"/>
      <c r="C62" s="1348"/>
      <c r="D62" s="1348"/>
      <c r="E62" s="1348"/>
      <c r="F62" s="1348"/>
      <c r="G62" s="1349"/>
      <c r="H62" s="1348"/>
      <c r="I62" s="1348"/>
      <c r="J62" s="1348"/>
      <c r="K62" s="1348"/>
      <c r="L62" s="1348"/>
      <c r="M62" s="1348"/>
      <c r="N62" s="1348"/>
      <c r="O62" s="1348"/>
      <c r="P62" s="1348"/>
      <c r="Q62" s="1348"/>
      <c r="R62" s="1348"/>
      <c r="S62" s="1348"/>
      <c r="T62" s="1248"/>
      <c r="U62" s="1166"/>
      <c r="V62" s="1377"/>
      <c r="W62" s="1166"/>
      <c r="X62" s="136"/>
      <c r="Y62" s="1166"/>
      <c r="Z62" s="1166"/>
      <c r="AA62" s="1166"/>
      <c r="AB62" s="1166"/>
      <c r="AC62" s="1166"/>
      <c r="AD62" s="1166"/>
      <c r="AE62" s="1166"/>
      <c r="AF62" s="1166"/>
      <c r="AG62" s="1166"/>
    </row>
    <row r="63" spans="1:136" s="135" customFormat="1" ht="25" customHeight="1" thickTop="1">
      <c r="A63" s="950" t="s">
        <v>1868</v>
      </c>
      <c r="B63" s="1310" t="s">
        <v>1809</v>
      </c>
      <c r="C63" s="1304"/>
      <c r="D63" s="1304"/>
      <c r="E63" s="1304"/>
      <c r="F63" s="1304"/>
      <c r="G63" s="1305"/>
      <c r="H63" s="1304"/>
      <c r="I63" s="1304"/>
      <c r="J63" s="1304"/>
      <c r="K63" s="1304"/>
      <c r="L63" s="1304"/>
      <c r="M63" s="1304"/>
      <c r="N63" s="1304"/>
      <c r="O63" s="1304"/>
      <c r="P63" s="1304"/>
      <c r="Q63" s="1304"/>
      <c r="R63" s="1304"/>
      <c r="S63" s="1304"/>
      <c r="T63" s="304"/>
      <c r="V63" s="1374"/>
      <c r="X63" s="2"/>
    </row>
    <row r="64" spans="1:136" ht="25" customHeight="1">
      <c r="A64" s="951" t="s">
        <v>1872</v>
      </c>
      <c r="B64" s="1289" t="s">
        <v>1810</v>
      </c>
      <c r="C64" s="367"/>
      <c r="D64" s="367"/>
      <c r="E64" s="367"/>
      <c r="F64" s="367"/>
      <c r="G64" s="883"/>
      <c r="H64" s="367"/>
      <c r="I64" s="367"/>
      <c r="J64" s="367"/>
      <c r="K64" s="367"/>
      <c r="L64" s="367"/>
      <c r="M64" s="367"/>
      <c r="N64" s="367"/>
      <c r="O64" s="367"/>
      <c r="P64" s="367"/>
      <c r="Q64" s="367"/>
      <c r="R64" s="367"/>
      <c r="S64" s="367"/>
      <c r="T64" s="304"/>
      <c r="U64" s="135"/>
      <c r="V64" s="1374"/>
      <c r="W64" s="135"/>
      <c r="X64" s="2"/>
      <c r="Y64" s="135"/>
      <c r="Z64" s="135"/>
      <c r="AA64" s="135"/>
      <c r="AB64" s="135"/>
      <c r="AC64" s="135"/>
      <c r="AD64" s="135"/>
      <c r="AE64" s="135"/>
      <c r="AF64" s="135"/>
      <c r="AG64" s="135"/>
    </row>
    <row r="65" spans="1:33" ht="25" customHeight="1">
      <c r="A65" s="952" t="s">
        <v>1844</v>
      </c>
      <c r="B65" s="1284" t="s">
        <v>1808</v>
      </c>
      <c r="C65" s="486">
        <v>5</v>
      </c>
      <c r="D65" s="486">
        <v>5</v>
      </c>
      <c r="E65" s="486">
        <v>7</v>
      </c>
      <c r="F65" s="486">
        <v>7</v>
      </c>
      <c r="G65" s="885">
        <v>5</v>
      </c>
      <c r="H65" s="486">
        <v>5</v>
      </c>
      <c r="I65" s="486">
        <v>5</v>
      </c>
      <c r="J65" s="486">
        <v>5</v>
      </c>
      <c r="K65" s="486">
        <v>5</v>
      </c>
      <c r="L65" s="486">
        <v>5</v>
      </c>
      <c r="M65" s="486">
        <v>7</v>
      </c>
      <c r="N65" s="486">
        <v>7</v>
      </c>
      <c r="O65" s="486">
        <v>2.1</v>
      </c>
      <c r="P65" s="486">
        <v>2.1</v>
      </c>
      <c r="Q65" s="486">
        <v>2.1</v>
      </c>
      <c r="R65" s="486">
        <v>5</v>
      </c>
      <c r="S65" s="486">
        <v>5</v>
      </c>
      <c r="T65" s="135"/>
      <c r="U65" s="135"/>
      <c r="V65" s="1373"/>
      <c r="W65" s="135"/>
      <c r="X65" s="2"/>
      <c r="Y65" s="135"/>
      <c r="Z65" s="135"/>
      <c r="AA65" s="135"/>
      <c r="AB65" s="135"/>
      <c r="AC65" s="135"/>
      <c r="AD65" s="135"/>
      <c r="AE65" s="135"/>
      <c r="AF65" s="135"/>
      <c r="AG65" s="135"/>
    </row>
    <row r="66" spans="1:33" ht="25" customHeight="1">
      <c r="A66" s="952" t="s">
        <v>1845</v>
      </c>
      <c r="B66" s="1284" t="s">
        <v>1808</v>
      </c>
      <c r="C66" s="486">
        <v>2</v>
      </c>
      <c r="D66" s="486">
        <v>2</v>
      </c>
      <c r="E66" s="486">
        <v>2</v>
      </c>
      <c r="F66" s="486">
        <v>2</v>
      </c>
      <c r="G66" s="885">
        <v>2</v>
      </c>
      <c r="H66" s="486">
        <v>2</v>
      </c>
      <c r="I66" s="486">
        <v>2</v>
      </c>
      <c r="J66" s="486">
        <v>2</v>
      </c>
      <c r="K66" s="486">
        <v>2</v>
      </c>
      <c r="L66" s="486">
        <v>2</v>
      </c>
      <c r="M66" s="486">
        <v>2</v>
      </c>
      <c r="N66" s="486">
        <v>2</v>
      </c>
      <c r="O66" s="486">
        <v>1.1000000000000001</v>
      </c>
      <c r="P66" s="486">
        <v>1.1000000000000001</v>
      </c>
      <c r="Q66" s="486">
        <v>1.1000000000000001</v>
      </c>
      <c r="R66" s="486">
        <v>2</v>
      </c>
      <c r="S66" s="486">
        <v>2</v>
      </c>
      <c r="T66" s="135"/>
      <c r="U66" s="135"/>
      <c r="V66" s="1373"/>
      <c r="W66" s="135"/>
      <c r="X66" s="2"/>
      <c r="Y66" s="135"/>
      <c r="Z66" s="135"/>
      <c r="AA66" s="135"/>
      <c r="AB66" s="135"/>
      <c r="AC66" s="135"/>
      <c r="AD66" s="135"/>
      <c r="AE66" s="135"/>
      <c r="AF66" s="135"/>
      <c r="AG66" s="135"/>
    </row>
    <row r="67" spans="1:33" ht="25" customHeight="1">
      <c r="A67" s="1032" t="s">
        <v>1846</v>
      </c>
      <c r="B67" s="1284" t="s">
        <v>1808</v>
      </c>
      <c r="C67" s="367">
        <v>5</v>
      </c>
      <c r="D67" s="367">
        <v>5</v>
      </c>
      <c r="E67" s="367">
        <v>5</v>
      </c>
      <c r="F67" s="367">
        <v>5</v>
      </c>
      <c r="G67" s="367">
        <v>5</v>
      </c>
      <c r="H67" s="367">
        <v>5</v>
      </c>
      <c r="I67" s="367">
        <v>5</v>
      </c>
      <c r="J67" s="367">
        <v>5</v>
      </c>
      <c r="K67" s="367">
        <v>5</v>
      </c>
      <c r="L67" s="367">
        <v>5</v>
      </c>
      <c r="M67" s="367">
        <v>5</v>
      </c>
      <c r="N67" s="367">
        <v>5</v>
      </c>
      <c r="O67" s="367">
        <v>5</v>
      </c>
      <c r="P67" s="367">
        <v>5</v>
      </c>
      <c r="Q67" s="367">
        <v>5</v>
      </c>
      <c r="R67" s="367">
        <v>5</v>
      </c>
      <c r="S67" s="367">
        <v>5</v>
      </c>
      <c r="T67" s="304"/>
      <c r="U67" s="135"/>
      <c r="V67" s="1374"/>
      <c r="W67" s="135"/>
      <c r="X67" s="2"/>
      <c r="Y67" s="135"/>
      <c r="Z67" s="135"/>
      <c r="AA67" s="135"/>
      <c r="AB67" s="135"/>
      <c r="AC67" s="135"/>
      <c r="AD67" s="135"/>
      <c r="AE67" s="135"/>
      <c r="AF67" s="135"/>
      <c r="AG67" s="135"/>
    </row>
    <row r="68" spans="1:33" ht="25" customHeight="1">
      <c r="A68" s="1032" t="s">
        <v>2031</v>
      </c>
      <c r="B68" s="1284" t="s">
        <v>1808</v>
      </c>
      <c r="C68" s="367"/>
      <c r="D68" s="367"/>
      <c r="E68" s="367"/>
      <c r="F68" s="367"/>
      <c r="G68" s="883"/>
      <c r="H68" s="367"/>
      <c r="I68" s="367"/>
      <c r="J68" s="367"/>
      <c r="K68" s="367"/>
      <c r="L68" s="367"/>
      <c r="M68" s="367"/>
      <c r="N68" s="367"/>
      <c r="O68" s="367"/>
      <c r="P68" s="367"/>
      <c r="Q68" s="367"/>
      <c r="R68" s="367"/>
      <c r="S68" s="367"/>
      <c r="T68" s="304"/>
      <c r="U68" s="135"/>
      <c r="V68" s="1374"/>
      <c r="W68" s="135"/>
      <c r="X68" s="2"/>
      <c r="Y68" s="135"/>
      <c r="Z68" s="135"/>
      <c r="AA68" s="135"/>
      <c r="AB68" s="135"/>
      <c r="AC68" s="135"/>
      <c r="AD68" s="135"/>
      <c r="AE68" s="135"/>
      <c r="AF68" s="135"/>
      <c r="AG68" s="135"/>
    </row>
    <row r="69" spans="1:33" ht="25" customHeight="1">
      <c r="A69" s="1869" t="s">
        <v>1986</v>
      </c>
      <c r="B69" s="1284"/>
      <c r="C69" s="367"/>
      <c r="D69" s="367"/>
      <c r="E69" s="367"/>
      <c r="F69" s="367"/>
      <c r="G69" s="367"/>
      <c r="H69" s="367"/>
      <c r="I69" s="367"/>
      <c r="J69" s="367"/>
      <c r="K69" s="367"/>
      <c r="L69" s="367"/>
      <c r="M69" s="367"/>
      <c r="N69" s="367"/>
      <c r="O69" s="367"/>
      <c r="P69" s="367"/>
      <c r="Q69" s="367"/>
      <c r="R69" s="367"/>
      <c r="S69" s="367"/>
      <c r="T69" s="304"/>
      <c r="U69" s="135"/>
      <c r="V69" s="1374"/>
      <c r="W69" s="135"/>
      <c r="X69" s="2"/>
      <c r="Y69" s="135"/>
      <c r="Z69" s="135"/>
      <c r="AA69" s="135"/>
      <c r="AB69" s="135"/>
      <c r="AC69" s="135"/>
      <c r="AD69" s="135"/>
      <c r="AE69" s="135"/>
      <c r="AF69" s="135"/>
      <c r="AG69" s="135"/>
    </row>
    <row r="70" spans="1:33" ht="25" customHeight="1" thickBot="1">
      <c r="A70" s="1813" t="s">
        <v>2004</v>
      </c>
      <c r="B70" s="302"/>
      <c r="C70" s="1273"/>
      <c r="D70" s="1273"/>
      <c r="E70" s="1273"/>
      <c r="F70" s="1273"/>
      <c r="G70" s="1274"/>
      <c r="H70" s="1273"/>
      <c r="I70" s="1273"/>
      <c r="J70" s="1273"/>
      <c r="K70" s="1273"/>
      <c r="L70" s="1273"/>
      <c r="M70" s="1273"/>
      <c r="N70" s="1273"/>
      <c r="O70" s="1273"/>
      <c r="P70" s="1273"/>
      <c r="Q70" s="1273"/>
      <c r="R70" s="1273"/>
      <c r="S70" s="1273"/>
      <c r="T70" s="304"/>
      <c r="U70" s="135"/>
      <c r="V70" s="1374"/>
      <c r="W70" s="135"/>
      <c r="X70" s="2"/>
      <c r="Y70" s="135"/>
      <c r="Z70" s="135"/>
      <c r="AA70" s="135"/>
      <c r="AB70" s="135"/>
      <c r="AC70" s="135"/>
      <c r="AD70" s="135"/>
      <c r="AE70" s="135"/>
      <c r="AF70" s="135"/>
      <c r="AG70" s="135"/>
    </row>
    <row r="71" spans="1:33" ht="25" customHeight="1" thickTop="1">
      <c r="A71" s="1810" t="s">
        <v>2005</v>
      </c>
      <c r="B71" s="302"/>
      <c r="C71" s="1273"/>
      <c r="D71" s="1273"/>
      <c r="E71" s="1273"/>
      <c r="F71" s="1273"/>
      <c r="G71" s="1274"/>
      <c r="H71" s="1273"/>
      <c r="I71" s="1273"/>
      <c r="J71" s="1273"/>
      <c r="K71" s="1273"/>
      <c r="L71" s="1273"/>
      <c r="M71" s="1273"/>
      <c r="N71" s="1273"/>
      <c r="O71" s="1273"/>
      <c r="P71" s="1273"/>
      <c r="Q71" s="1273"/>
      <c r="R71" s="1273"/>
      <c r="S71" s="1273"/>
      <c r="T71" s="304"/>
      <c r="U71" s="135"/>
      <c r="V71" s="1875"/>
      <c r="W71" s="135"/>
      <c r="X71" s="2"/>
      <c r="Y71" s="135"/>
      <c r="Z71" s="135"/>
      <c r="AA71" s="135"/>
      <c r="AB71" s="135"/>
      <c r="AC71" s="135"/>
      <c r="AD71" s="135"/>
      <c r="AE71" s="135"/>
      <c r="AF71" s="135"/>
      <c r="AG71" s="135"/>
    </row>
    <row r="72" spans="1:33" s="1249" customFormat="1" ht="40" customHeight="1" thickBot="1">
      <c r="A72" s="1086" t="s">
        <v>2071</v>
      </c>
      <c r="B72" s="1347"/>
      <c r="C72" s="1348"/>
      <c r="D72" s="1348"/>
      <c r="E72" s="1348"/>
      <c r="F72" s="1348"/>
      <c r="G72" s="1349"/>
      <c r="H72" s="1348"/>
      <c r="I72" s="1348"/>
      <c r="J72" s="1348"/>
      <c r="K72" s="1348"/>
      <c r="L72" s="1348"/>
      <c r="M72" s="1348"/>
      <c r="N72" s="1348"/>
      <c r="O72" s="1348"/>
      <c r="P72" s="1348"/>
      <c r="Q72" s="1348"/>
      <c r="R72" s="1348"/>
      <c r="S72" s="1348"/>
      <c r="T72" s="1248"/>
      <c r="U72" s="1166"/>
      <c r="V72" s="1377"/>
      <c r="W72" s="1166"/>
      <c r="X72" s="136"/>
      <c r="Y72" s="1166"/>
      <c r="Z72" s="1166"/>
      <c r="AA72" s="1166"/>
      <c r="AB72" s="1166"/>
      <c r="AC72" s="1166"/>
      <c r="AD72" s="1166"/>
      <c r="AE72" s="1166"/>
      <c r="AF72" s="1166"/>
      <c r="AG72" s="1166"/>
    </row>
    <row r="73" spans="1:33" s="135" customFormat="1" ht="25" customHeight="1" thickTop="1">
      <c r="A73" s="930" t="s">
        <v>1753</v>
      </c>
      <c r="B73" s="1284" t="s">
        <v>311</v>
      </c>
      <c r="C73" s="1304"/>
      <c r="D73" s="1304"/>
      <c r="E73" s="1304"/>
      <c r="F73" s="1304"/>
      <c r="G73" s="1305"/>
      <c r="H73" s="1304"/>
      <c r="I73" s="1304"/>
      <c r="J73" s="1304"/>
      <c r="K73" s="1304"/>
      <c r="L73" s="1304"/>
      <c r="M73" s="1304"/>
      <c r="N73" s="1304"/>
      <c r="O73" s="1304"/>
      <c r="P73" s="1304"/>
      <c r="Q73" s="1304"/>
      <c r="R73" s="1304"/>
      <c r="S73" s="1304"/>
      <c r="T73" s="304"/>
      <c r="V73" s="1374"/>
      <c r="X73" s="2"/>
    </row>
    <row r="74" spans="1:33" ht="25" customHeight="1">
      <c r="A74" s="956" t="s">
        <v>1754</v>
      </c>
      <c r="B74" s="1284" t="s">
        <v>311</v>
      </c>
      <c r="C74" s="367"/>
      <c r="D74" s="367"/>
      <c r="E74" s="367"/>
      <c r="F74" s="367"/>
      <c r="G74" s="883"/>
      <c r="H74" s="367"/>
      <c r="I74" s="367"/>
      <c r="J74" s="367"/>
      <c r="K74" s="367"/>
      <c r="L74" s="367"/>
      <c r="M74" s="367"/>
      <c r="N74" s="367"/>
      <c r="O74" s="367"/>
      <c r="P74" s="367"/>
      <c r="Q74" s="367"/>
      <c r="R74" s="367"/>
      <c r="S74" s="367"/>
      <c r="T74" s="304"/>
      <c r="U74" s="135"/>
      <c r="V74" s="1374"/>
      <c r="W74" s="135"/>
      <c r="X74" s="2"/>
      <c r="Y74" s="135"/>
      <c r="Z74" s="135"/>
      <c r="AA74" s="135"/>
      <c r="AB74" s="135"/>
      <c r="AC74" s="135"/>
      <c r="AD74" s="135"/>
      <c r="AE74" s="135"/>
      <c r="AF74" s="135"/>
      <c r="AG74" s="135"/>
    </row>
    <row r="75" spans="1:33" ht="25" customHeight="1">
      <c r="A75" s="956" t="s">
        <v>1755</v>
      </c>
      <c r="B75" s="1284" t="s">
        <v>311</v>
      </c>
      <c r="C75" s="367"/>
      <c r="D75" s="367"/>
      <c r="E75" s="367"/>
      <c r="F75" s="367"/>
      <c r="G75" s="883"/>
      <c r="H75" s="367"/>
      <c r="I75" s="367"/>
      <c r="J75" s="367"/>
      <c r="K75" s="367"/>
      <c r="L75" s="367"/>
      <c r="M75" s="367"/>
      <c r="N75" s="367"/>
      <c r="O75" s="367"/>
      <c r="P75" s="367"/>
      <c r="Q75" s="367"/>
      <c r="R75" s="367"/>
      <c r="S75" s="367"/>
      <c r="T75" s="304"/>
      <c r="U75" s="135"/>
      <c r="V75" s="1374"/>
      <c r="W75" s="135"/>
      <c r="X75" s="2"/>
      <c r="Y75" s="135"/>
      <c r="Z75" s="135"/>
      <c r="AA75" s="135"/>
      <c r="AB75" s="135"/>
      <c r="AC75" s="135"/>
      <c r="AD75" s="135"/>
      <c r="AE75" s="135"/>
      <c r="AF75" s="135"/>
      <c r="AG75" s="135"/>
    </row>
    <row r="76" spans="1:33" ht="25" customHeight="1">
      <c r="A76" s="956" t="s">
        <v>1756</v>
      </c>
      <c r="B76" s="1284" t="s">
        <v>311</v>
      </c>
      <c r="C76" s="367"/>
      <c r="D76" s="367"/>
      <c r="E76" s="367"/>
      <c r="F76" s="367"/>
      <c r="G76" s="883"/>
      <c r="H76" s="367"/>
      <c r="I76" s="367"/>
      <c r="J76" s="367"/>
      <c r="K76" s="367"/>
      <c r="L76" s="367"/>
      <c r="M76" s="367"/>
      <c r="N76" s="367"/>
      <c r="O76" s="367"/>
      <c r="P76" s="367"/>
      <c r="Q76" s="367"/>
      <c r="R76" s="367"/>
      <c r="S76" s="367"/>
      <c r="T76" s="304"/>
      <c r="U76" s="135"/>
      <c r="V76" s="1374"/>
      <c r="W76" s="135"/>
      <c r="X76" s="2"/>
      <c r="Y76" s="135"/>
      <c r="Z76" s="135"/>
      <c r="AA76" s="135"/>
      <c r="AB76" s="135"/>
      <c r="AC76" s="135"/>
      <c r="AD76" s="135"/>
      <c r="AE76" s="135"/>
      <c r="AF76" s="135"/>
      <c r="AG76" s="135"/>
    </row>
    <row r="77" spans="1:33" ht="25" customHeight="1">
      <c r="A77" s="1526" t="s">
        <v>1757</v>
      </c>
      <c r="B77" s="1284" t="s">
        <v>311</v>
      </c>
      <c r="C77" s="367"/>
      <c r="D77" s="367"/>
      <c r="E77" s="367"/>
      <c r="F77" s="367"/>
      <c r="G77" s="883"/>
      <c r="H77" s="367"/>
      <c r="I77" s="367"/>
      <c r="J77" s="367"/>
      <c r="K77" s="367"/>
      <c r="L77" s="367"/>
      <c r="M77" s="367"/>
      <c r="N77" s="367"/>
      <c r="O77" s="367"/>
      <c r="P77" s="367"/>
      <c r="Q77" s="367"/>
      <c r="R77" s="367"/>
      <c r="S77" s="367"/>
      <c r="T77" s="304"/>
      <c r="U77" s="135"/>
      <c r="V77" s="1374"/>
      <c r="W77" s="135"/>
      <c r="X77" s="2"/>
      <c r="Y77" s="135"/>
      <c r="Z77" s="135"/>
      <c r="AA77" s="135"/>
      <c r="AB77" s="135"/>
      <c r="AC77" s="135"/>
      <c r="AD77" s="135"/>
      <c r="AE77" s="135"/>
      <c r="AF77" s="135"/>
      <c r="AG77" s="135"/>
    </row>
    <row r="78" spans="1:33" ht="25" customHeight="1">
      <c r="A78" s="1535" t="s">
        <v>1902</v>
      </c>
      <c r="B78" s="1284" t="s">
        <v>311</v>
      </c>
      <c r="C78" s="367"/>
      <c r="D78" s="367"/>
      <c r="E78" s="367"/>
      <c r="F78" s="367"/>
      <c r="G78" s="883"/>
      <c r="H78" s="367"/>
      <c r="I78" s="367"/>
      <c r="J78" s="367"/>
      <c r="K78" s="367"/>
      <c r="L78" s="367"/>
      <c r="M78" s="367"/>
      <c r="N78" s="367"/>
      <c r="O78" s="367"/>
      <c r="P78" s="367"/>
      <c r="Q78" s="367"/>
      <c r="R78" s="367"/>
      <c r="S78" s="367"/>
      <c r="T78" s="304"/>
      <c r="U78" s="135"/>
      <c r="V78" s="1374"/>
      <c r="W78" s="135"/>
      <c r="X78" s="2"/>
      <c r="Y78" s="135"/>
      <c r="Z78" s="135"/>
      <c r="AA78" s="135"/>
      <c r="AB78" s="135"/>
      <c r="AC78" s="135"/>
      <c r="AD78" s="135"/>
      <c r="AE78" s="135"/>
      <c r="AF78" s="135"/>
      <c r="AG78" s="135"/>
    </row>
    <row r="79" spans="1:33" ht="25" customHeight="1">
      <c r="A79" s="1041" t="s">
        <v>1848</v>
      </c>
      <c r="B79" s="1289"/>
      <c r="C79" s="367"/>
      <c r="D79" s="367"/>
      <c r="E79" s="367"/>
      <c r="F79" s="367"/>
      <c r="G79" s="883"/>
      <c r="H79" s="367"/>
      <c r="I79" s="367"/>
      <c r="J79" s="367"/>
      <c r="K79" s="367"/>
      <c r="L79" s="367"/>
      <c r="M79" s="367"/>
      <c r="N79" s="367"/>
      <c r="O79" s="367"/>
      <c r="P79" s="367"/>
      <c r="Q79" s="367"/>
      <c r="R79" s="367"/>
      <c r="S79" s="367"/>
      <c r="T79" s="304"/>
      <c r="U79" s="135"/>
      <c r="V79" s="1374"/>
      <c r="W79" s="135"/>
      <c r="X79" s="2"/>
      <c r="Y79" s="135"/>
      <c r="Z79" s="135"/>
      <c r="AA79" s="135"/>
      <c r="AB79" s="135"/>
      <c r="AC79" s="135"/>
      <c r="AD79" s="135"/>
      <c r="AE79" s="135"/>
      <c r="AF79" s="135"/>
      <c r="AG79" s="135"/>
    </row>
    <row r="80" spans="1:33" ht="25" customHeight="1">
      <c r="A80" s="957" t="s">
        <v>1849</v>
      </c>
      <c r="B80" s="1289" t="s">
        <v>8</v>
      </c>
      <c r="C80" s="1145">
        <v>0.4</v>
      </c>
      <c r="D80" s="1145">
        <v>0.4</v>
      </c>
      <c r="E80" s="1145">
        <v>0.4</v>
      </c>
      <c r="F80" s="1145">
        <v>0.5</v>
      </c>
      <c r="G80" s="1146">
        <v>0.4</v>
      </c>
      <c r="H80" s="1145">
        <v>0.4</v>
      </c>
      <c r="I80" s="1145">
        <v>0.4</v>
      </c>
      <c r="J80" s="1145">
        <v>0.4</v>
      </c>
      <c r="K80" s="1145">
        <v>0.4</v>
      </c>
      <c r="L80" s="1145">
        <v>0.4</v>
      </c>
      <c r="M80" s="1145">
        <v>0.4</v>
      </c>
      <c r="N80" s="1145">
        <v>0.4</v>
      </c>
      <c r="O80" s="1147">
        <f>REPORT!G81</f>
        <v>0.94428257567885898</v>
      </c>
      <c r="P80" s="1148">
        <f>REPORT!G81</f>
        <v>0.94428257567885898</v>
      </c>
      <c r="Q80" s="1148">
        <f>REPORT!G81</f>
        <v>0.94428257567885898</v>
      </c>
      <c r="R80" s="1148">
        <f>REPORT!G81</f>
        <v>0.94428257567885898</v>
      </c>
      <c r="S80" s="1148">
        <f>REPORT!G81</f>
        <v>0.94428257567885898</v>
      </c>
      <c r="T80" s="135"/>
      <c r="U80" s="135"/>
      <c r="V80" s="1383">
        <f>INDEX($C80:$S80, 1, MATCH(S2RepStandard, $C$2:$S$2, 0))</f>
        <v>0.4</v>
      </c>
      <c r="W80" s="135"/>
      <c r="X80" s="2"/>
      <c r="Y80" s="135"/>
      <c r="Z80" s="135"/>
      <c r="AA80" s="135"/>
      <c r="AB80" s="135"/>
      <c r="AC80" s="135"/>
      <c r="AD80" s="135"/>
      <c r="AE80" s="135"/>
      <c r="AF80" s="135"/>
      <c r="AG80" s="135"/>
    </row>
    <row r="81" spans="1:33" ht="25" customHeight="1">
      <c r="A81" s="957" t="s">
        <v>1851</v>
      </c>
      <c r="B81" s="1289" t="s">
        <v>0</v>
      </c>
      <c r="C81" s="367"/>
      <c r="D81" s="367"/>
      <c r="E81" s="367"/>
      <c r="F81" s="367"/>
      <c r="G81" s="883"/>
      <c r="H81" s="367"/>
      <c r="I81" s="367"/>
      <c r="J81" s="367"/>
      <c r="K81" s="367"/>
      <c r="L81" s="367"/>
      <c r="M81" s="367"/>
      <c r="N81" s="367"/>
      <c r="O81" s="367"/>
      <c r="P81" s="367"/>
      <c r="Q81" s="367"/>
      <c r="R81" s="367"/>
      <c r="S81" s="367"/>
      <c r="T81" s="304"/>
      <c r="U81" s="135"/>
      <c r="V81" s="1374"/>
      <c r="W81" s="135"/>
      <c r="X81" s="2"/>
      <c r="Y81" s="135"/>
      <c r="Z81" s="135"/>
      <c r="AA81" s="135"/>
      <c r="AB81" s="135"/>
      <c r="AC81" s="135"/>
      <c r="AD81" s="135"/>
      <c r="AE81" s="135"/>
      <c r="AF81" s="135"/>
      <c r="AG81" s="135"/>
    </row>
    <row r="82" spans="1:33" ht="25" customHeight="1">
      <c r="A82" s="1005" t="s">
        <v>1852</v>
      </c>
      <c r="B82" s="302" t="s">
        <v>0</v>
      </c>
      <c r="C82" s="1273"/>
      <c r="D82" s="1273"/>
      <c r="E82" s="1273"/>
      <c r="F82" s="1273"/>
      <c r="G82" s="1274"/>
      <c r="H82" s="1273"/>
      <c r="I82" s="1273"/>
      <c r="J82" s="1273"/>
      <c r="K82" s="1273"/>
      <c r="L82" s="1273"/>
      <c r="M82" s="1273"/>
      <c r="N82" s="1273"/>
      <c r="O82" s="1273"/>
      <c r="P82" s="1273"/>
      <c r="Q82" s="1273"/>
      <c r="R82" s="1273"/>
      <c r="S82" s="1273"/>
      <c r="T82" s="304"/>
      <c r="U82" s="135"/>
      <c r="V82" s="1374"/>
      <c r="W82" s="135"/>
      <c r="X82" s="2"/>
      <c r="Y82" s="135"/>
      <c r="Z82" s="135"/>
      <c r="AA82" s="135"/>
      <c r="AB82" s="135"/>
      <c r="AC82" s="135"/>
      <c r="AD82" s="135"/>
      <c r="AE82" s="135"/>
      <c r="AF82" s="135"/>
      <c r="AG82" s="135"/>
    </row>
    <row r="83" spans="1:33" ht="25" customHeight="1">
      <c r="A83" s="301"/>
      <c r="B83" s="302"/>
      <c r="C83" s="1273"/>
      <c r="D83" s="1273"/>
      <c r="E83" s="1273"/>
      <c r="F83" s="1273"/>
      <c r="G83" s="1274"/>
      <c r="H83" s="1273"/>
      <c r="I83" s="1273"/>
      <c r="J83" s="1273"/>
      <c r="K83" s="1273"/>
      <c r="L83" s="1273"/>
      <c r="M83" s="1273"/>
      <c r="N83" s="1273"/>
      <c r="O83" s="1273"/>
      <c r="P83" s="1273"/>
      <c r="Q83" s="1273"/>
      <c r="R83" s="1273"/>
      <c r="S83" s="1273"/>
      <c r="T83" s="304"/>
      <c r="U83" s="135"/>
      <c r="V83" s="1374"/>
      <c r="W83" s="135"/>
      <c r="X83" s="2"/>
      <c r="Y83" s="135"/>
      <c r="Z83" s="135"/>
      <c r="AA83" s="135"/>
      <c r="AB83" s="135"/>
      <c r="AC83" s="135"/>
      <c r="AD83" s="135"/>
      <c r="AE83" s="135"/>
      <c r="AF83" s="135"/>
      <c r="AG83" s="135"/>
    </row>
    <row r="84" spans="1:33" s="1249" customFormat="1" ht="40" customHeight="1" thickBot="1">
      <c r="A84" s="1086" t="s">
        <v>2070</v>
      </c>
      <c r="B84" s="1322"/>
      <c r="C84" s="1322"/>
      <c r="D84" s="1322"/>
      <c r="E84" s="1322"/>
      <c r="F84" s="1322"/>
      <c r="G84" s="1350"/>
      <c r="H84" s="1322"/>
      <c r="I84" s="1322"/>
      <c r="J84" s="1322"/>
      <c r="K84" s="1322"/>
      <c r="L84" s="1322"/>
      <c r="M84" s="1322"/>
      <c r="N84" s="1322"/>
      <c r="O84" s="1322"/>
      <c r="P84" s="1322"/>
      <c r="Q84" s="1322"/>
      <c r="R84" s="1322"/>
      <c r="S84" s="1322"/>
      <c r="T84" s="1250"/>
      <c r="U84" s="1166"/>
      <c r="V84" s="1377"/>
      <c r="W84" s="1166"/>
      <c r="X84" s="136"/>
      <c r="Y84" s="1166"/>
      <c r="Z84" s="1166"/>
      <c r="AA84" s="1166"/>
      <c r="AB84" s="1166"/>
      <c r="AC84" s="1166"/>
      <c r="AD84" s="1166"/>
      <c r="AE84" s="1166"/>
      <c r="AF84" s="1166"/>
      <c r="AG84" s="1166"/>
    </row>
    <row r="85" spans="1:33" s="135" customFormat="1" ht="25" customHeight="1" thickTop="1">
      <c r="A85" s="930" t="s">
        <v>803</v>
      </c>
      <c r="B85" s="1284" t="s">
        <v>311</v>
      </c>
      <c r="C85" s="1304">
        <v>4.87</v>
      </c>
      <c r="D85" s="1304">
        <v>4.87</v>
      </c>
      <c r="E85" s="1304">
        <v>5.3</v>
      </c>
      <c r="F85" s="1304">
        <v>5.3</v>
      </c>
      <c r="G85" s="1305">
        <v>5.3</v>
      </c>
      <c r="H85" s="1304">
        <v>6.41</v>
      </c>
      <c r="I85" s="1304">
        <v>6.41</v>
      </c>
      <c r="J85" s="1304">
        <v>6.41</v>
      </c>
      <c r="K85" s="1304">
        <v>6.41</v>
      </c>
      <c r="L85" s="1304">
        <v>6.41</v>
      </c>
      <c r="M85" s="1304">
        <v>6.41</v>
      </c>
      <c r="N85" s="1304">
        <v>7.2460000000000004</v>
      </c>
      <c r="O85" s="1304">
        <v>4.87</v>
      </c>
      <c r="P85" s="1304">
        <v>4.87</v>
      </c>
      <c r="Q85" s="1304">
        <v>4.87</v>
      </c>
      <c r="R85" s="1304">
        <v>6.67</v>
      </c>
      <c r="S85" s="1304">
        <v>4.87</v>
      </c>
      <c r="T85" s="304"/>
      <c r="V85" s="1375"/>
      <c r="X85" s="2"/>
    </row>
    <row r="86" spans="1:33" ht="25" customHeight="1">
      <c r="A86" s="316" t="s">
        <v>804</v>
      </c>
      <c r="B86" s="1284" t="s">
        <v>311</v>
      </c>
      <c r="C86" s="367">
        <v>4.21</v>
      </c>
      <c r="D86" s="367">
        <v>4.46</v>
      </c>
      <c r="E86" s="367">
        <v>4.0999999999999996</v>
      </c>
      <c r="F86" s="367">
        <v>4.0999999999999996</v>
      </c>
      <c r="G86" s="883">
        <v>4.0999999999999996</v>
      </c>
      <c r="H86" s="367">
        <v>2.97</v>
      </c>
      <c r="I86" s="367">
        <v>4.29</v>
      </c>
      <c r="J86" s="367">
        <v>2.97</v>
      </c>
      <c r="K86" s="367">
        <v>2.97</v>
      </c>
      <c r="L86" s="367">
        <v>2.97</v>
      </c>
      <c r="M86" s="367">
        <v>2.97</v>
      </c>
      <c r="N86" s="367">
        <v>4.1660000000000004</v>
      </c>
      <c r="O86" s="367">
        <v>4.21</v>
      </c>
      <c r="P86" s="367">
        <v>4.21</v>
      </c>
      <c r="Q86" s="367">
        <v>4.21</v>
      </c>
      <c r="R86" s="367">
        <v>6.67</v>
      </c>
      <c r="S86" s="367">
        <v>4.21</v>
      </c>
      <c r="T86" s="304"/>
      <c r="U86" s="135"/>
      <c r="V86" s="1373"/>
      <c r="W86" s="135"/>
      <c r="X86" s="2"/>
      <c r="Y86" s="135"/>
      <c r="Z86" s="135"/>
      <c r="AA86" s="135"/>
      <c r="AB86" s="135"/>
      <c r="AC86" s="135"/>
      <c r="AD86" s="135"/>
      <c r="AE86" s="135"/>
      <c r="AF86" s="135"/>
      <c r="AG86" s="135"/>
    </row>
    <row r="87" spans="1:33" ht="25" customHeight="1">
      <c r="A87" s="312" t="s">
        <v>805</v>
      </c>
      <c r="B87" s="1284" t="s">
        <v>311</v>
      </c>
      <c r="C87" s="367">
        <v>5.64</v>
      </c>
      <c r="D87" s="367">
        <v>5.25</v>
      </c>
      <c r="E87" s="367">
        <v>6.6</v>
      </c>
      <c r="F87" s="367">
        <v>6.6</v>
      </c>
      <c r="G87" s="883">
        <v>6.6</v>
      </c>
      <c r="H87" s="367">
        <v>5.64</v>
      </c>
      <c r="I87" s="367">
        <v>5.64</v>
      </c>
      <c r="J87" s="367">
        <v>5.64</v>
      </c>
      <c r="K87" s="367">
        <v>5.64</v>
      </c>
      <c r="L87" s="367">
        <v>5.64</v>
      </c>
      <c r="M87" s="367">
        <v>5.64</v>
      </c>
      <c r="N87" s="367">
        <v>6.41</v>
      </c>
      <c r="O87" s="367">
        <v>5.64</v>
      </c>
      <c r="P87" s="367">
        <v>5.64</v>
      </c>
      <c r="Q87" s="367">
        <v>5.64</v>
      </c>
      <c r="R87" s="367">
        <v>6.67</v>
      </c>
      <c r="S87" s="367">
        <v>5.64</v>
      </c>
      <c r="T87" s="304"/>
      <c r="U87" s="135"/>
      <c r="V87" s="1373"/>
      <c r="W87" s="135"/>
      <c r="X87" s="2"/>
      <c r="Y87" s="135"/>
      <c r="Z87" s="135"/>
      <c r="AA87" s="135"/>
      <c r="AB87" s="135"/>
      <c r="AC87" s="135"/>
      <c r="AD87" s="135"/>
      <c r="AE87" s="135"/>
      <c r="AF87" s="135"/>
      <c r="AG87" s="135"/>
    </row>
    <row r="88" spans="1:33" ht="25" customHeight="1">
      <c r="A88" s="312" t="s">
        <v>1731</v>
      </c>
      <c r="B88" s="1284" t="s">
        <v>311</v>
      </c>
      <c r="C88" s="367">
        <v>1.6</v>
      </c>
      <c r="D88" s="367">
        <v>1.4</v>
      </c>
      <c r="E88" s="367">
        <v>1.99</v>
      </c>
      <c r="F88" s="367">
        <v>1.99</v>
      </c>
      <c r="G88" s="883">
        <v>1.99</v>
      </c>
      <c r="H88" s="367">
        <v>1.8</v>
      </c>
      <c r="I88" s="367">
        <v>1.2</v>
      </c>
      <c r="J88" s="367">
        <v>1.8</v>
      </c>
      <c r="K88" s="367">
        <v>1.8</v>
      </c>
      <c r="L88" s="367">
        <v>1.8</v>
      </c>
      <c r="M88" s="367">
        <v>1.8</v>
      </c>
      <c r="N88" s="367">
        <v>1.9</v>
      </c>
      <c r="O88" s="367">
        <v>1.6</v>
      </c>
      <c r="P88" s="367">
        <v>1.6</v>
      </c>
      <c r="Q88" s="367">
        <v>1.6</v>
      </c>
      <c r="R88" s="367">
        <v>0.85</v>
      </c>
      <c r="S88" s="367">
        <v>1.6</v>
      </c>
      <c r="T88" s="304"/>
      <c r="U88" s="135"/>
      <c r="V88" s="1373"/>
      <c r="W88" s="135"/>
      <c r="X88" s="2"/>
      <c r="Y88" s="135"/>
      <c r="Z88" s="135"/>
      <c r="AA88" s="135"/>
      <c r="AB88" s="135"/>
      <c r="AC88" s="135"/>
      <c r="AD88" s="135"/>
      <c r="AE88" s="135"/>
      <c r="AF88" s="135"/>
      <c r="AG88" s="135"/>
    </row>
    <row r="89" spans="1:33" ht="25" customHeight="1">
      <c r="A89" s="312" t="s">
        <v>806</v>
      </c>
      <c r="B89" s="1284" t="s">
        <v>311</v>
      </c>
      <c r="C89" s="367">
        <v>1.6</v>
      </c>
      <c r="D89" s="367">
        <v>1.4</v>
      </c>
      <c r="E89" s="367">
        <v>1.42</v>
      </c>
      <c r="F89" s="367">
        <v>2.56</v>
      </c>
      <c r="G89" s="883">
        <v>1.42</v>
      </c>
      <c r="H89" s="367">
        <v>1.8</v>
      </c>
      <c r="I89" s="367">
        <v>1.2</v>
      </c>
      <c r="J89" s="367">
        <v>1.8</v>
      </c>
      <c r="K89" s="367">
        <v>1.8</v>
      </c>
      <c r="L89" s="367">
        <v>1.8</v>
      </c>
      <c r="M89" s="367">
        <v>1.8</v>
      </c>
      <c r="N89" s="367">
        <v>1.73</v>
      </c>
      <c r="O89" s="367">
        <v>1.6</v>
      </c>
      <c r="P89" s="367">
        <v>1.6</v>
      </c>
      <c r="Q89" s="367">
        <v>1.6</v>
      </c>
      <c r="R89" s="367">
        <v>0.85</v>
      </c>
      <c r="S89" s="367">
        <v>1.6</v>
      </c>
      <c r="T89" s="304"/>
      <c r="U89" s="135"/>
      <c r="V89" s="1373"/>
      <c r="W89" s="135"/>
      <c r="X89" s="2"/>
      <c r="Y89" s="135"/>
      <c r="Z89" s="135"/>
      <c r="AA89" s="135"/>
      <c r="AB89" s="135"/>
      <c r="AC89" s="135"/>
      <c r="AD89" s="135"/>
      <c r="AE89" s="135"/>
      <c r="AF89" s="135"/>
      <c r="AG89" s="135"/>
    </row>
    <row r="90" spans="1:33" ht="25" customHeight="1">
      <c r="A90" s="312" t="s">
        <v>807</v>
      </c>
      <c r="B90" s="1284" t="s">
        <v>311</v>
      </c>
      <c r="C90" s="367">
        <v>1.6</v>
      </c>
      <c r="D90" s="367">
        <v>1.4</v>
      </c>
      <c r="E90" s="367">
        <v>1.42</v>
      </c>
      <c r="F90" s="367">
        <v>2.56</v>
      </c>
      <c r="G90" s="883">
        <v>1.42</v>
      </c>
      <c r="H90" s="367">
        <v>1.8</v>
      </c>
      <c r="I90" s="367">
        <v>1.2</v>
      </c>
      <c r="J90" s="367">
        <v>1.8</v>
      </c>
      <c r="K90" s="367">
        <v>1.8</v>
      </c>
      <c r="L90" s="367">
        <v>1.8</v>
      </c>
      <c r="M90" s="367">
        <v>1.8</v>
      </c>
      <c r="N90" s="367">
        <v>1.73</v>
      </c>
      <c r="O90" s="367">
        <v>1.6</v>
      </c>
      <c r="P90" s="367">
        <v>1.6</v>
      </c>
      <c r="Q90" s="367">
        <v>1.6</v>
      </c>
      <c r="R90" s="367">
        <v>0.85</v>
      </c>
      <c r="S90" s="367">
        <v>1.6</v>
      </c>
      <c r="T90" s="304"/>
      <c r="U90" s="135"/>
      <c r="V90" s="1373"/>
      <c r="W90" s="135"/>
      <c r="X90" s="2"/>
      <c r="Y90" s="135"/>
      <c r="Z90" s="135"/>
      <c r="AA90" s="135"/>
      <c r="AB90" s="135"/>
      <c r="AC90" s="135"/>
      <c r="AD90" s="135"/>
      <c r="AE90" s="135"/>
      <c r="AF90" s="135"/>
      <c r="AG90" s="135"/>
    </row>
    <row r="91" spans="1:33" ht="25" customHeight="1">
      <c r="A91" s="312" t="s">
        <v>808</v>
      </c>
      <c r="B91" s="1284" t="s">
        <v>311</v>
      </c>
      <c r="C91" s="367">
        <v>1.6</v>
      </c>
      <c r="D91" s="367">
        <v>1.4</v>
      </c>
      <c r="E91" s="367">
        <v>1.42</v>
      </c>
      <c r="F91" s="367">
        <v>2.56</v>
      </c>
      <c r="G91" s="883">
        <v>1.42</v>
      </c>
      <c r="H91" s="367">
        <v>1.8</v>
      </c>
      <c r="I91" s="367">
        <v>1.2</v>
      </c>
      <c r="J91" s="367">
        <v>1.8</v>
      </c>
      <c r="K91" s="367">
        <v>1.8</v>
      </c>
      <c r="L91" s="367">
        <v>1.8</v>
      </c>
      <c r="M91" s="367">
        <v>1.8</v>
      </c>
      <c r="N91" s="367">
        <v>1.73</v>
      </c>
      <c r="O91" s="367">
        <v>1.6</v>
      </c>
      <c r="P91" s="367">
        <v>1.6</v>
      </c>
      <c r="Q91" s="367">
        <v>1.6</v>
      </c>
      <c r="R91" s="367">
        <v>0.85</v>
      </c>
      <c r="S91" s="367">
        <v>1.6</v>
      </c>
      <c r="T91" s="304"/>
      <c r="U91" s="135"/>
      <c r="V91" s="1373"/>
      <c r="W91" s="135"/>
      <c r="X91" s="2"/>
      <c r="Y91" s="135"/>
      <c r="Z91" s="135"/>
      <c r="AA91" s="135"/>
      <c r="AB91" s="135"/>
      <c r="AC91" s="135"/>
      <c r="AD91" s="135"/>
      <c r="AE91" s="135"/>
      <c r="AF91" s="135"/>
      <c r="AG91" s="135"/>
    </row>
    <row r="92" spans="1:33" ht="25" customHeight="1">
      <c r="A92" s="312" t="s">
        <v>809</v>
      </c>
      <c r="B92" s="1284" t="s">
        <v>311</v>
      </c>
      <c r="C92" s="367">
        <v>1.6</v>
      </c>
      <c r="D92" s="367">
        <v>1.4</v>
      </c>
      <c r="E92" s="367">
        <v>1.42</v>
      </c>
      <c r="F92" s="367">
        <v>2.56</v>
      </c>
      <c r="G92" s="883">
        <v>1.42</v>
      </c>
      <c r="H92" s="367">
        <v>1.8</v>
      </c>
      <c r="I92" s="367">
        <v>1.2</v>
      </c>
      <c r="J92" s="367">
        <v>1.8</v>
      </c>
      <c r="K92" s="367">
        <v>1.8</v>
      </c>
      <c r="L92" s="367">
        <v>1.8</v>
      </c>
      <c r="M92" s="367">
        <v>1.8</v>
      </c>
      <c r="N92" s="367">
        <v>1.73</v>
      </c>
      <c r="O92" s="367">
        <v>1.6</v>
      </c>
      <c r="P92" s="367">
        <v>1.6</v>
      </c>
      <c r="Q92" s="367">
        <v>1.6</v>
      </c>
      <c r="R92" s="367">
        <v>0.85</v>
      </c>
      <c r="S92" s="367">
        <v>1.6</v>
      </c>
      <c r="T92" s="304"/>
      <c r="U92" s="135"/>
      <c r="V92" s="1373"/>
      <c r="W92" s="135"/>
      <c r="X92" s="2"/>
      <c r="Y92" s="135"/>
      <c r="Z92" s="135"/>
      <c r="AA92" s="135"/>
      <c r="AB92" s="135"/>
      <c r="AC92" s="135"/>
      <c r="AD92" s="135"/>
      <c r="AE92" s="135"/>
      <c r="AF92" s="135"/>
      <c r="AG92" s="135"/>
    </row>
    <row r="93" spans="1:33" ht="25" customHeight="1">
      <c r="A93" s="312" t="s">
        <v>1903</v>
      </c>
      <c r="B93" s="1284" t="s">
        <v>311</v>
      </c>
      <c r="C93" s="367">
        <v>1.6</v>
      </c>
      <c r="D93" s="367">
        <v>1.4</v>
      </c>
      <c r="E93" s="367">
        <v>1.42</v>
      </c>
      <c r="F93" s="367">
        <v>2.56</v>
      </c>
      <c r="G93" s="883">
        <v>1.42</v>
      </c>
      <c r="H93" s="367">
        <v>1.8</v>
      </c>
      <c r="I93" s="367">
        <v>1.2</v>
      </c>
      <c r="J93" s="367">
        <v>1.8</v>
      </c>
      <c r="K93" s="367">
        <v>1.8</v>
      </c>
      <c r="L93" s="367">
        <v>1.8</v>
      </c>
      <c r="M93" s="367">
        <v>1.8</v>
      </c>
      <c r="N93" s="367">
        <v>1.73</v>
      </c>
      <c r="O93" s="367">
        <v>1.6</v>
      </c>
      <c r="P93" s="367">
        <v>1.6</v>
      </c>
      <c r="Q93" s="367">
        <v>1.6</v>
      </c>
      <c r="R93" s="367">
        <v>0.85</v>
      </c>
      <c r="S93" s="367">
        <v>1.6</v>
      </c>
      <c r="T93" s="304"/>
      <c r="U93" s="135"/>
      <c r="V93" s="1373"/>
      <c r="W93" s="135"/>
      <c r="X93" s="2"/>
      <c r="Y93" s="135"/>
      <c r="Z93" s="135"/>
      <c r="AA93" s="135"/>
      <c r="AB93" s="135"/>
      <c r="AC93" s="135"/>
      <c r="AD93" s="135"/>
      <c r="AE93" s="135"/>
      <c r="AF93" s="135"/>
      <c r="AG93" s="135"/>
    </row>
    <row r="94" spans="1:33" ht="25" customHeight="1">
      <c r="A94" s="312" t="s">
        <v>906</v>
      </c>
      <c r="B94" s="1284" t="s">
        <v>311</v>
      </c>
      <c r="C94" s="367">
        <v>3.72</v>
      </c>
      <c r="D94" s="367">
        <v>3.72</v>
      </c>
      <c r="E94" s="367">
        <v>1.8</v>
      </c>
      <c r="F94" s="367">
        <v>1.8</v>
      </c>
      <c r="G94" s="883">
        <v>1.8</v>
      </c>
      <c r="H94" s="367">
        <v>2.98</v>
      </c>
      <c r="I94" s="367">
        <v>2.98</v>
      </c>
      <c r="J94" s="367">
        <v>2.98</v>
      </c>
      <c r="K94" s="367">
        <v>2.98</v>
      </c>
      <c r="L94" s="367">
        <v>2.98</v>
      </c>
      <c r="M94" s="367">
        <v>2.98</v>
      </c>
      <c r="N94" s="367">
        <v>3.52</v>
      </c>
      <c r="O94" s="367">
        <v>3.72</v>
      </c>
      <c r="P94" s="367">
        <v>3.72</v>
      </c>
      <c r="Q94" s="367">
        <v>3.72</v>
      </c>
      <c r="R94" s="367">
        <v>3.72</v>
      </c>
      <c r="S94" s="367">
        <v>3.72</v>
      </c>
      <c r="T94" s="304"/>
      <c r="U94" s="135"/>
      <c r="V94" s="1373"/>
      <c r="W94" s="135"/>
      <c r="X94" s="2"/>
      <c r="Y94" s="135"/>
      <c r="Z94" s="135"/>
      <c r="AA94" s="135"/>
      <c r="AB94" s="135"/>
      <c r="AC94" s="135"/>
      <c r="AD94" s="135"/>
      <c r="AE94" s="135"/>
      <c r="AF94" s="135"/>
      <c r="AG94" s="135"/>
    </row>
    <row r="95" spans="1:33" ht="25" customHeight="1">
      <c r="A95" s="1057" t="s">
        <v>905</v>
      </c>
      <c r="B95" s="1284" t="s">
        <v>311</v>
      </c>
      <c r="C95" s="367">
        <v>1.96</v>
      </c>
      <c r="D95" s="367">
        <v>1.96</v>
      </c>
      <c r="E95" s="367">
        <v>3.5</v>
      </c>
      <c r="F95" s="367">
        <v>3.5</v>
      </c>
      <c r="G95" s="883">
        <v>3.5</v>
      </c>
      <c r="H95" s="367">
        <v>1.96</v>
      </c>
      <c r="I95" s="367">
        <v>1.96</v>
      </c>
      <c r="J95" s="367">
        <v>1.96</v>
      </c>
      <c r="K95" s="367">
        <v>1.96</v>
      </c>
      <c r="L95" s="367">
        <v>1.96</v>
      </c>
      <c r="M95" s="367">
        <v>1.96</v>
      </c>
      <c r="N95" s="367">
        <v>1.32</v>
      </c>
      <c r="O95" s="367">
        <v>1.96</v>
      </c>
      <c r="P95" s="367">
        <v>1.96</v>
      </c>
      <c r="Q95" s="367">
        <v>1.96</v>
      </c>
      <c r="R95" s="367">
        <v>1.96</v>
      </c>
      <c r="S95" s="367">
        <v>1.96</v>
      </c>
      <c r="T95" s="304"/>
      <c r="U95" s="135"/>
      <c r="V95" s="1373"/>
      <c r="W95" s="135"/>
      <c r="X95" s="2"/>
      <c r="Y95" s="135"/>
      <c r="Z95" s="135"/>
      <c r="AA95" s="135"/>
      <c r="AB95" s="135"/>
      <c r="AC95" s="135"/>
      <c r="AD95" s="135"/>
      <c r="AE95" s="135"/>
      <c r="AF95" s="135"/>
      <c r="AG95" s="135"/>
    </row>
    <row r="96" spans="1:33" ht="25" customHeight="1">
      <c r="A96" s="1065" t="s">
        <v>810</v>
      </c>
      <c r="B96" s="1284" t="s">
        <v>311</v>
      </c>
      <c r="C96" s="331"/>
      <c r="D96" s="331"/>
      <c r="E96" s="331"/>
      <c r="F96" s="331"/>
      <c r="G96" s="884"/>
      <c r="H96" s="331"/>
      <c r="I96" s="331"/>
      <c r="J96" s="331"/>
      <c r="K96" s="331"/>
      <c r="L96" s="331"/>
      <c r="M96" s="331"/>
      <c r="N96" s="331"/>
      <c r="O96" s="331"/>
      <c r="P96" s="331"/>
      <c r="Q96" s="331"/>
      <c r="R96" s="331"/>
      <c r="S96" s="331"/>
      <c r="T96" s="304"/>
      <c r="U96" s="135"/>
      <c r="V96" s="1374"/>
      <c r="W96" s="135"/>
      <c r="X96" s="2"/>
      <c r="Y96" s="135"/>
      <c r="Z96" s="135"/>
      <c r="AA96" s="135"/>
      <c r="AB96" s="135"/>
      <c r="AC96" s="135"/>
      <c r="AD96" s="135"/>
      <c r="AE96" s="135"/>
      <c r="AF96" s="135"/>
      <c r="AG96" s="135"/>
    </row>
    <row r="97" spans="1:33" ht="25" customHeight="1" thickBot="1">
      <c r="A97" s="1073" t="s">
        <v>1854</v>
      </c>
      <c r="B97" s="1371" t="s">
        <v>8</v>
      </c>
      <c r="C97" s="367"/>
      <c r="D97" s="367"/>
      <c r="E97" s="367"/>
      <c r="F97" s="367"/>
      <c r="G97" s="883"/>
      <c r="H97" s="367"/>
      <c r="I97" s="367"/>
      <c r="J97" s="367"/>
      <c r="K97" s="367"/>
      <c r="L97" s="367"/>
      <c r="M97" s="367"/>
      <c r="N97" s="367"/>
      <c r="O97" s="367"/>
      <c r="P97" s="367"/>
      <c r="Q97" s="367"/>
      <c r="R97" s="367"/>
      <c r="S97" s="367"/>
      <c r="T97" s="304"/>
      <c r="U97" s="135"/>
      <c r="V97" s="1373"/>
      <c r="W97" s="135"/>
      <c r="X97" s="2"/>
      <c r="Y97" s="135"/>
      <c r="Z97" s="135"/>
      <c r="AA97" s="135"/>
      <c r="AB97" s="135"/>
      <c r="AC97" s="135"/>
      <c r="AD97" s="135"/>
      <c r="AE97" s="135"/>
      <c r="AF97" s="135"/>
      <c r="AG97" s="135"/>
    </row>
    <row r="98" spans="1:33" s="357" customFormat="1" ht="25" customHeight="1" thickTop="1">
      <c r="A98" s="1824" t="s">
        <v>811</v>
      </c>
      <c r="B98" s="1352"/>
      <c r="C98" s="1306"/>
      <c r="D98" s="1353"/>
      <c r="E98" s="1353"/>
      <c r="F98" s="1353"/>
      <c r="G98" s="1354"/>
      <c r="H98" s="1353"/>
      <c r="I98" s="1353"/>
      <c r="J98" s="1353"/>
      <c r="K98" s="1353"/>
      <c r="L98" s="1353"/>
      <c r="M98" s="1353"/>
      <c r="N98" s="1353"/>
      <c r="O98" s="1353"/>
      <c r="P98" s="1353"/>
      <c r="Q98" s="1353"/>
      <c r="R98" s="1353"/>
      <c r="S98" s="1353"/>
      <c r="T98" s="1118"/>
      <c r="U98" s="1112"/>
      <c r="V98" s="1378"/>
      <c r="W98" s="1112"/>
      <c r="X98" s="1117"/>
      <c r="Y98" s="1112"/>
      <c r="Z98" s="1112"/>
      <c r="AA98" s="1112"/>
      <c r="AB98" s="1112"/>
      <c r="AC98" s="1112"/>
      <c r="AD98" s="1112"/>
      <c r="AE98" s="1112"/>
      <c r="AF98" s="1112"/>
      <c r="AG98" s="1112"/>
    </row>
    <row r="99" spans="1:33" s="357" customFormat="1" ht="25" customHeight="1">
      <c r="A99" s="1351"/>
      <c r="B99" s="1355"/>
      <c r="C99" s="1345"/>
      <c r="D99" s="1356">
        <v>0.25</v>
      </c>
      <c r="E99" s="1356">
        <v>0.3</v>
      </c>
      <c r="F99" s="1356">
        <v>0.3</v>
      </c>
      <c r="G99" s="1357">
        <v>0.3</v>
      </c>
      <c r="H99" s="1356">
        <v>0.25</v>
      </c>
      <c r="I99" s="1356">
        <v>0.25</v>
      </c>
      <c r="J99" s="1356">
        <v>0.25</v>
      </c>
      <c r="K99" s="1356">
        <v>0.25</v>
      </c>
      <c r="L99" s="1356">
        <v>0.25</v>
      </c>
      <c r="M99" s="1356">
        <v>0.3</v>
      </c>
      <c r="N99" s="1356">
        <v>0.3</v>
      </c>
      <c r="O99" s="1356">
        <v>0.15</v>
      </c>
      <c r="P99" s="1356">
        <v>0.15</v>
      </c>
      <c r="Q99" s="1356">
        <v>0.15</v>
      </c>
      <c r="R99" s="1356">
        <v>0.15</v>
      </c>
      <c r="S99" s="1356">
        <v>0.15</v>
      </c>
      <c r="T99" s="1118"/>
      <c r="U99" s="1112"/>
      <c r="V99" s="1378"/>
      <c r="W99" s="1112"/>
      <c r="X99" s="1117"/>
      <c r="Y99" s="1112"/>
      <c r="Z99" s="1112"/>
      <c r="AA99" s="1112"/>
      <c r="AB99" s="1112"/>
      <c r="AC99" s="1112"/>
      <c r="AD99" s="1112"/>
      <c r="AE99" s="1112"/>
      <c r="AF99" s="1112"/>
      <c r="AG99" s="1112"/>
    </row>
    <row r="100" spans="1:33" s="1249" customFormat="1" ht="40" customHeight="1" thickBot="1">
      <c r="A100" s="1108" t="s">
        <v>2072</v>
      </c>
      <c r="B100" s="1358"/>
      <c r="C100" s="1359"/>
      <c r="D100" s="1359"/>
      <c r="E100" s="1359"/>
      <c r="F100" s="1359"/>
      <c r="G100" s="1359"/>
      <c r="H100" s="1359"/>
      <c r="I100" s="1359"/>
      <c r="J100" s="1359"/>
      <c r="K100" s="1359"/>
      <c r="L100" s="1359"/>
      <c r="M100" s="1359"/>
      <c r="N100" s="1359"/>
      <c r="O100" s="1359"/>
      <c r="P100" s="1359"/>
      <c r="Q100" s="1359"/>
      <c r="R100" s="1359"/>
      <c r="S100" s="1359"/>
      <c r="T100" s="1166"/>
      <c r="U100" s="1166"/>
      <c r="V100" s="1384"/>
      <c r="W100" s="1166"/>
      <c r="X100" s="1166"/>
      <c r="Y100" s="1166"/>
      <c r="Z100" s="1166"/>
      <c r="AA100" s="1166"/>
      <c r="AB100" s="1166"/>
      <c r="AC100" s="1166"/>
      <c r="AD100" s="1166"/>
      <c r="AE100" s="1166"/>
      <c r="AF100" s="1166"/>
      <c r="AG100" s="1166"/>
    </row>
    <row r="101" spans="1:33" ht="25" customHeight="1" thickTop="1">
      <c r="A101" s="569" t="s">
        <v>813</v>
      </c>
      <c r="B101" s="1291" t="s">
        <v>31</v>
      </c>
      <c r="C101" s="331"/>
      <c r="D101" s="331"/>
      <c r="E101" s="331"/>
      <c r="F101" s="331"/>
      <c r="G101" s="884"/>
      <c r="H101" s="331"/>
      <c r="I101" s="331"/>
      <c r="J101" s="331"/>
      <c r="K101" s="331"/>
      <c r="L101" s="331"/>
      <c r="M101" s="331"/>
      <c r="N101" s="331"/>
      <c r="O101" s="331"/>
      <c r="P101" s="331"/>
      <c r="Q101" s="331"/>
      <c r="R101" s="331"/>
      <c r="S101" s="331"/>
      <c r="T101" s="135"/>
      <c r="U101" s="135"/>
      <c r="V101" s="1385"/>
      <c r="W101" s="135"/>
      <c r="X101" s="3"/>
      <c r="Y101" s="135"/>
      <c r="Z101" s="135"/>
      <c r="AA101" s="135"/>
      <c r="AB101" s="135"/>
      <c r="AC101" s="135"/>
      <c r="AD101" s="135"/>
      <c r="AE101" s="135"/>
      <c r="AF101" s="135"/>
      <c r="AG101" s="135"/>
    </row>
    <row r="102" spans="1:33" ht="25" customHeight="1">
      <c r="A102" s="1023" t="s">
        <v>1857</v>
      </c>
      <c r="B102" s="1290"/>
      <c r="C102" s="331"/>
      <c r="D102" s="331"/>
      <c r="E102" s="331"/>
      <c r="F102" s="331"/>
      <c r="G102" s="884"/>
      <c r="H102" s="331"/>
      <c r="I102" s="331"/>
      <c r="J102" s="331"/>
      <c r="K102" s="331"/>
      <c r="L102" s="331"/>
      <c r="M102" s="331"/>
      <c r="N102" s="331"/>
      <c r="O102" s="331"/>
      <c r="P102" s="331"/>
      <c r="Q102" s="331"/>
      <c r="R102" s="331"/>
      <c r="S102" s="331"/>
      <c r="T102" s="135"/>
      <c r="U102" s="135"/>
      <c r="V102" s="1385"/>
      <c r="W102" s="135"/>
      <c r="X102" s="135"/>
      <c r="Y102" s="135"/>
      <c r="Z102" s="135"/>
      <c r="AA102" s="135"/>
      <c r="AB102" s="135"/>
      <c r="AC102" s="135"/>
      <c r="AD102" s="135"/>
      <c r="AE102" s="135"/>
      <c r="AF102" s="135"/>
      <c r="AG102" s="135"/>
    </row>
    <row r="103" spans="1:33" ht="25" customHeight="1" thickBot="1">
      <c r="A103" s="1830" t="s">
        <v>1858</v>
      </c>
      <c r="B103" s="1285" t="s">
        <v>1811</v>
      </c>
      <c r="C103" s="331"/>
      <c r="D103" s="331"/>
      <c r="E103" s="331"/>
      <c r="F103" s="331"/>
      <c r="G103" s="884"/>
      <c r="H103" s="331"/>
      <c r="I103" s="331"/>
      <c r="J103" s="331"/>
      <c r="K103" s="331"/>
      <c r="L103" s="331"/>
      <c r="M103" s="331"/>
      <c r="N103" s="331"/>
      <c r="O103" s="331"/>
      <c r="P103" s="331"/>
      <c r="Q103" s="331"/>
      <c r="R103" s="331"/>
      <c r="S103" s="331"/>
      <c r="T103" s="135"/>
      <c r="U103" s="135"/>
      <c r="V103" s="1385"/>
      <c r="W103" s="135"/>
      <c r="X103" s="3"/>
      <c r="Y103" s="135"/>
      <c r="Z103" s="135"/>
      <c r="AA103" s="135"/>
      <c r="AB103" s="135"/>
      <c r="AC103" s="135"/>
      <c r="AD103" s="135"/>
      <c r="AE103" s="135"/>
      <c r="AF103" s="135"/>
      <c r="AG103" s="135"/>
    </row>
    <row r="104" spans="1:33" ht="25" customHeight="1" thickTop="1">
      <c r="A104" s="1847" t="s">
        <v>2025</v>
      </c>
      <c r="B104" s="1291" t="s">
        <v>9</v>
      </c>
      <c r="C104" s="367" t="s">
        <v>34</v>
      </c>
      <c r="D104" s="367" t="s">
        <v>34</v>
      </c>
      <c r="E104" s="367" t="s">
        <v>34</v>
      </c>
      <c r="F104" s="367" t="s">
        <v>34</v>
      </c>
      <c r="G104" s="367" t="s">
        <v>34</v>
      </c>
      <c r="H104" s="367">
        <v>0.5</v>
      </c>
      <c r="I104" s="367">
        <v>0.5</v>
      </c>
      <c r="J104" s="367">
        <v>0.5</v>
      </c>
      <c r="K104" s="367">
        <v>0.5</v>
      </c>
      <c r="L104" s="367">
        <v>0.5</v>
      </c>
      <c r="M104" s="367">
        <v>0.3</v>
      </c>
      <c r="N104" s="367">
        <v>0.5</v>
      </c>
      <c r="O104" s="367">
        <v>0.15</v>
      </c>
      <c r="P104" s="367">
        <v>0.15</v>
      </c>
      <c r="Q104" s="367">
        <v>0.15</v>
      </c>
      <c r="R104" s="367">
        <v>0.15</v>
      </c>
      <c r="S104" s="367">
        <v>0.15</v>
      </c>
      <c r="T104" s="135"/>
      <c r="U104" s="135"/>
      <c r="V104" s="1373"/>
      <c r="W104" s="135"/>
      <c r="X104" s="135"/>
      <c r="Y104" s="135"/>
      <c r="Z104" s="135"/>
      <c r="AA104" s="135"/>
      <c r="AB104" s="135"/>
      <c r="AC104" s="135"/>
      <c r="AD104" s="135"/>
      <c r="AE104" s="135"/>
      <c r="AF104" s="135"/>
      <c r="AG104" s="135"/>
    </row>
    <row r="105" spans="1:33" s="135" customFormat="1" ht="25" customHeight="1">
      <c r="A105" s="1045" t="s">
        <v>1855</v>
      </c>
      <c r="B105" s="1307" t="s">
        <v>31</v>
      </c>
      <c r="C105" s="1301"/>
      <c r="D105" s="1301"/>
      <c r="E105" s="1301"/>
      <c r="F105" s="1301"/>
      <c r="G105" s="1302"/>
      <c r="H105" s="1301"/>
      <c r="I105" s="1301"/>
      <c r="J105" s="1301"/>
      <c r="K105" s="1301"/>
      <c r="L105" s="1301"/>
      <c r="M105" s="1301"/>
      <c r="N105" s="1301"/>
      <c r="O105" s="1301"/>
      <c r="P105" s="1301"/>
      <c r="Q105" s="1301"/>
      <c r="R105" s="1301"/>
      <c r="S105" s="1301"/>
      <c r="V105" s="1374"/>
      <c r="X105" s="2"/>
    </row>
    <row r="106" spans="1:33" ht="25" customHeight="1">
      <c r="A106" s="1817" t="s">
        <v>2010</v>
      </c>
      <c r="B106" s="1291" t="s">
        <v>303</v>
      </c>
      <c r="C106" s="331"/>
      <c r="D106" s="331"/>
      <c r="E106" s="331"/>
      <c r="F106" s="331"/>
      <c r="G106" s="884"/>
      <c r="H106" s="331"/>
      <c r="I106" s="331"/>
      <c r="J106" s="331"/>
      <c r="K106" s="331"/>
      <c r="L106" s="331"/>
      <c r="M106" s="331"/>
      <c r="N106" s="331"/>
      <c r="O106" s="331"/>
      <c r="P106" s="331"/>
      <c r="Q106" s="331"/>
      <c r="R106" s="331"/>
      <c r="S106" s="331"/>
      <c r="T106" s="135"/>
      <c r="U106" s="135"/>
      <c r="V106" s="1376"/>
      <c r="W106" s="135"/>
      <c r="X106" s="135"/>
      <c r="Y106" s="135"/>
      <c r="Z106" s="135"/>
      <c r="AA106" s="135"/>
      <c r="AB106" s="135"/>
      <c r="AC106" s="135"/>
      <c r="AD106" s="135"/>
      <c r="AE106" s="135"/>
      <c r="AF106" s="135"/>
      <c r="AG106" s="135"/>
    </row>
    <row r="107" spans="1:33" ht="25" customHeight="1">
      <c r="A107" s="1079" t="s">
        <v>1856</v>
      </c>
      <c r="B107" s="1292" t="s">
        <v>8</v>
      </c>
      <c r="C107" s="1115">
        <v>0.22</v>
      </c>
      <c r="D107" s="1115">
        <v>0.22</v>
      </c>
      <c r="E107" s="1115">
        <v>0.4</v>
      </c>
      <c r="F107" s="1115">
        <v>0.4</v>
      </c>
      <c r="G107" s="1116">
        <v>0.4</v>
      </c>
      <c r="H107" s="1115">
        <v>0.22</v>
      </c>
      <c r="I107" s="1115">
        <v>0.22</v>
      </c>
      <c r="J107" s="1115">
        <v>0.22</v>
      </c>
      <c r="K107" s="1115">
        <v>0.22</v>
      </c>
      <c r="L107" s="1115">
        <v>0.22</v>
      </c>
      <c r="M107" s="1115">
        <v>0.4</v>
      </c>
      <c r="N107" s="1115">
        <v>0.4</v>
      </c>
      <c r="O107" s="1115">
        <v>0.22</v>
      </c>
      <c r="P107" s="1115">
        <v>0.22</v>
      </c>
      <c r="Q107" s="1115">
        <v>0.22</v>
      </c>
      <c r="R107" s="1115">
        <v>0.22</v>
      </c>
      <c r="S107" s="1115">
        <v>0.22</v>
      </c>
      <c r="T107" s="135"/>
      <c r="U107" s="135"/>
      <c r="V107" s="1373"/>
      <c r="W107" s="135"/>
      <c r="X107" s="2"/>
      <c r="Y107" s="135"/>
      <c r="Z107" s="135"/>
      <c r="AA107" s="135"/>
      <c r="AB107" s="135"/>
      <c r="AC107" s="135"/>
      <c r="AD107" s="135"/>
      <c r="AE107" s="135"/>
      <c r="AF107" s="135"/>
      <c r="AG107" s="135"/>
    </row>
    <row r="108" spans="1:33" ht="25" customHeight="1">
      <c r="A108" s="568" t="s">
        <v>2022</v>
      </c>
      <c r="B108" s="1285" t="s">
        <v>278</v>
      </c>
      <c r="C108" s="367">
        <v>0.53800000000000003</v>
      </c>
      <c r="D108" s="367">
        <v>0.53800000000000003</v>
      </c>
      <c r="E108" s="367">
        <v>0.53800000000000003</v>
      </c>
      <c r="F108" s="367">
        <v>0.53800000000000003</v>
      </c>
      <c r="G108" s="883">
        <v>0.53800000000000003</v>
      </c>
      <c r="H108" s="367">
        <v>0.53800000000000003</v>
      </c>
      <c r="I108" s="367">
        <v>0.53800000000000003</v>
      </c>
      <c r="J108" s="367">
        <v>0.53800000000000003</v>
      </c>
      <c r="K108" s="367">
        <v>0.53800000000000003</v>
      </c>
      <c r="L108" s="367">
        <v>0.53800000000000003</v>
      </c>
      <c r="M108" s="367">
        <v>0.53800000000000003</v>
      </c>
      <c r="N108" s="367">
        <v>0.53800000000000003</v>
      </c>
      <c r="O108" s="367">
        <v>0.17</v>
      </c>
      <c r="P108" s="367">
        <v>0.17</v>
      </c>
      <c r="Q108" s="367">
        <v>0.17</v>
      </c>
      <c r="R108" s="367">
        <v>0.28000000000000003</v>
      </c>
      <c r="S108" s="367">
        <v>0.28000000000000003</v>
      </c>
      <c r="T108" s="135"/>
      <c r="U108" s="135"/>
      <c r="V108" s="1373"/>
      <c r="W108" s="135"/>
      <c r="X108" s="3"/>
      <c r="Y108" s="135"/>
      <c r="Z108" s="135"/>
      <c r="AA108" s="135"/>
      <c r="AB108" s="135"/>
      <c r="AC108" s="135"/>
      <c r="AD108" s="135"/>
      <c r="AE108" s="135"/>
      <c r="AF108" s="135"/>
      <c r="AG108" s="135"/>
    </row>
    <row r="109" spans="1:33" ht="25" customHeight="1">
      <c r="A109" s="568" t="s">
        <v>2018</v>
      </c>
      <c r="B109" s="1285" t="s">
        <v>292</v>
      </c>
      <c r="C109" s="367">
        <v>1.5</v>
      </c>
      <c r="D109" s="367">
        <v>1.5</v>
      </c>
      <c r="E109" s="367">
        <v>2</v>
      </c>
      <c r="F109" s="367">
        <v>2</v>
      </c>
      <c r="G109" s="883">
        <v>2</v>
      </c>
      <c r="H109" s="367">
        <v>3.4</v>
      </c>
      <c r="I109" s="367">
        <v>1.5</v>
      </c>
      <c r="J109" s="367">
        <v>3.4</v>
      </c>
      <c r="K109" s="367">
        <v>3.4</v>
      </c>
      <c r="L109" s="367">
        <v>3.4</v>
      </c>
      <c r="M109" s="367">
        <v>2.5</v>
      </c>
      <c r="N109" s="367">
        <v>2.5</v>
      </c>
      <c r="O109" s="367">
        <v>0.6</v>
      </c>
      <c r="P109" s="367">
        <v>0.6</v>
      </c>
      <c r="Q109" s="367">
        <v>0.6</v>
      </c>
      <c r="R109" s="367">
        <v>1</v>
      </c>
      <c r="S109" s="367">
        <v>1</v>
      </c>
      <c r="T109" s="135"/>
      <c r="U109" s="135"/>
      <c r="V109" s="1373"/>
      <c r="W109" s="135"/>
      <c r="X109" s="3"/>
      <c r="Y109" s="135"/>
      <c r="Z109" s="135"/>
      <c r="AA109" s="135"/>
      <c r="AB109" s="135"/>
      <c r="AC109" s="135"/>
      <c r="AD109" s="135"/>
      <c r="AE109" s="135"/>
      <c r="AF109" s="135"/>
      <c r="AG109" s="135"/>
    </row>
    <row r="110" spans="1:33" ht="25" customHeight="1">
      <c r="A110" s="1027" t="s">
        <v>2012</v>
      </c>
      <c r="B110" s="1360" t="s">
        <v>303</v>
      </c>
      <c r="C110" s="1306">
        <v>5</v>
      </c>
      <c r="D110" s="1306">
        <v>5</v>
      </c>
      <c r="E110" s="1306">
        <v>5</v>
      </c>
      <c r="F110" s="1306">
        <v>5</v>
      </c>
      <c r="G110" s="1308">
        <v>5</v>
      </c>
      <c r="H110" s="1306">
        <v>5</v>
      </c>
      <c r="I110" s="1306">
        <v>5</v>
      </c>
      <c r="J110" s="1306">
        <v>5</v>
      </c>
      <c r="K110" s="1306">
        <v>5</v>
      </c>
      <c r="L110" s="1306">
        <v>5</v>
      </c>
      <c r="M110" s="1306">
        <v>7</v>
      </c>
      <c r="N110" s="1306">
        <v>7</v>
      </c>
      <c r="O110" s="1306">
        <v>5</v>
      </c>
      <c r="P110" s="1306">
        <v>5</v>
      </c>
      <c r="Q110" s="1306">
        <v>5</v>
      </c>
      <c r="R110" s="1306">
        <v>5</v>
      </c>
      <c r="S110" s="1306">
        <v>5</v>
      </c>
      <c r="T110" s="135"/>
      <c r="U110" s="135"/>
      <c r="V110" s="1385"/>
      <c r="W110" s="135"/>
      <c r="X110" s="3"/>
      <c r="Y110" s="135"/>
      <c r="Z110" s="135"/>
      <c r="AA110" s="135"/>
      <c r="AB110" s="135"/>
      <c r="AC110" s="135"/>
      <c r="AD110" s="135"/>
      <c r="AE110" s="135"/>
      <c r="AF110" s="135"/>
      <c r="AG110" s="135"/>
    </row>
    <row r="111" spans="1:33" ht="25" customHeight="1">
      <c r="A111" s="1361"/>
      <c r="B111" s="1362"/>
      <c r="C111" s="1363"/>
      <c r="D111" s="1363"/>
      <c r="E111" s="1363"/>
      <c r="F111" s="1363"/>
      <c r="G111" s="1364"/>
      <c r="H111" s="1363"/>
      <c r="I111" s="1363"/>
      <c r="J111" s="1363"/>
      <c r="K111" s="1363"/>
      <c r="L111" s="1363"/>
      <c r="M111" s="1363"/>
      <c r="N111" s="1363"/>
      <c r="O111" s="1363"/>
      <c r="P111" s="1363"/>
      <c r="Q111" s="1363"/>
      <c r="R111" s="1363"/>
      <c r="S111" s="1363"/>
      <c r="T111" s="135"/>
      <c r="U111" s="135"/>
      <c r="V111" s="1385"/>
      <c r="W111" s="135"/>
      <c r="X111" s="3"/>
      <c r="Y111" s="135"/>
      <c r="Z111" s="135"/>
      <c r="AA111" s="135"/>
      <c r="AB111" s="135"/>
      <c r="AC111" s="135"/>
      <c r="AD111" s="135"/>
      <c r="AE111" s="135"/>
      <c r="AF111" s="135"/>
      <c r="AG111" s="135"/>
    </row>
    <row r="112" spans="1:33" s="1249" customFormat="1" ht="40" customHeight="1" thickBot="1">
      <c r="A112" s="1114" t="s">
        <v>2073</v>
      </c>
      <c r="B112" s="1365"/>
      <c r="C112" s="1359"/>
      <c r="D112" s="1359"/>
      <c r="E112" s="1359"/>
      <c r="F112" s="1359"/>
      <c r="G112" s="1338"/>
      <c r="H112" s="1359"/>
      <c r="I112" s="1348"/>
      <c r="J112" s="1359"/>
      <c r="K112" s="1359"/>
      <c r="L112" s="1359"/>
      <c r="M112" s="1359"/>
      <c r="N112" s="1359"/>
      <c r="O112" s="1359"/>
      <c r="P112" s="1359"/>
      <c r="Q112" s="1359"/>
      <c r="R112" s="1359"/>
      <c r="S112" s="1359"/>
      <c r="T112" s="1166"/>
      <c r="U112" s="1166"/>
      <c r="V112" s="1377"/>
      <c r="W112" s="1166"/>
      <c r="X112" s="1166"/>
      <c r="Y112" s="1166"/>
      <c r="Z112" s="1166"/>
      <c r="AA112" s="1166"/>
      <c r="AB112" s="1166"/>
      <c r="AC112" s="1166"/>
      <c r="AD112" s="1166"/>
      <c r="AE112" s="1166"/>
      <c r="AF112" s="1166"/>
      <c r="AG112" s="1166"/>
    </row>
    <row r="113" spans="1:33" s="135" customFormat="1" ht="25" customHeight="1" thickTop="1">
      <c r="A113" s="2102" t="s">
        <v>2130</v>
      </c>
      <c r="B113" s="1303" t="s">
        <v>10</v>
      </c>
      <c r="C113" s="1304">
        <v>7.1</v>
      </c>
      <c r="D113" s="1304">
        <v>7.1</v>
      </c>
      <c r="E113" s="1304">
        <v>7.1</v>
      </c>
      <c r="F113" s="1304">
        <v>7.1</v>
      </c>
      <c r="G113" s="1305">
        <v>7.1</v>
      </c>
      <c r="H113" s="1304">
        <v>7.1</v>
      </c>
      <c r="I113" s="1304">
        <v>7.1</v>
      </c>
      <c r="J113" s="1304">
        <v>7.1</v>
      </c>
      <c r="K113" s="1304">
        <v>7.1</v>
      </c>
      <c r="L113" s="1304">
        <v>7.1</v>
      </c>
      <c r="M113" s="1304">
        <v>6.4</v>
      </c>
      <c r="N113" s="1304">
        <v>6.4</v>
      </c>
      <c r="O113" s="1304">
        <v>7.1</v>
      </c>
      <c r="P113" s="1304">
        <v>7.1</v>
      </c>
      <c r="Q113" s="1304">
        <v>7.1</v>
      </c>
      <c r="R113" s="1304">
        <v>7.1</v>
      </c>
      <c r="S113" s="1304">
        <v>7.1</v>
      </c>
      <c r="V113" s="1375"/>
    </row>
    <row r="114" spans="1:33" ht="25" customHeight="1">
      <c r="A114" s="2114" t="s">
        <v>1860</v>
      </c>
      <c r="B114" s="1291" t="s">
        <v>0</v>
      </c>
      <c r="C114" s="331"/>
      <c r="D114" s="331"/>
      <c r="E114" s="331"/>
      <c r="F114" s="331"/>
      <c r="G114" s="884"/>
      <c r="H114" s="331"/>
      <c r="I114" s="331"/>
      <c r="J114" s="331"/>
      <c r="K114" s="331"/>
      <c r="L114" s="331"/>
      <c r="M114" s="331"/>
      <c r="N114" s="331"/>
      <c r="O114" s="331"/>
      <c r="P114" s="331"/>
      <c r="Q114" s="331"/>
      <c r="R114" s="331"/>
      <c r="S114" s="331"/>
      <c r="T114" s="135"/>
      <c r="U114" s="135"/>
      <c r="V114" s="1374"/>
      <c r="W114" s="135"/>
      <c r="X114" s="135"/>
      <c r="Y114" s="135"/>
      <c r="Z114" s="135"/>
      <c r="AA114" s="135"/>
      <c r="AB114" s="135"/>
      <c r="AC114" s="135"/>
      <c r="AD114" s="135"/>
      <c r="AE114" s="135"/>
      <c r="AF114" s="135"/>
      <c r="AG114" s="135"/>
    </row>
    <row r="115" spans="1:33" ht="25" customHeight="1">
      <c r="A115" s="2114" t="s">
        <v>2134</v>
      </c>
      <c r="B115" s="1283" t="s">
        <v>2</v>
      </c>
      <c r="C115" s="331"/>
      <c r="D115" s="331"/>
      <c r="E115" s="331"/>
      <c r="F115" s="331"/>
      <c r="G115" s="884"/>
      <c r="H115" s="331"/>
      <c r="I115" s="331"/>
      <c r="J115" s="331"/>
      <c r="K115" s="331"/>
      <c r="L115" s="331"/>
      <c r="M115" s="331"/>
      <c r="N115" s="331"/>
      <c r="O115" s="331"/>
      <c r="P115" s="331"/>
      <c r="Q115" s="331"/>
      <c r="R115" s="331"/>
      <c r="S115" s="331"/>
      <c r="T115" s="135"/>
      <c r="U115" s="135"/>
      <c r="V115" s="1374"/>
      <c r="W115" s="135"/>
      <c r="X115" s="135"/>
      <c r="Y115" s="135"/>
      <c r="Z115" s="135"/>
      <c r="AA115" s="135"/>
      <c r="AB115" s="135"/>
      <c r="AC115" s="135"/>
      <c r="AD115" s="135"/>
      <c r="AE115" s="135"/>
      <c r="AF115" s="135"/>
      <c r="AG115" s="135"/>
    </row>
    <row r="116" spans="1:33" ht="25" customHeight="1">
      <c r="A116" s="2122" t="s">
        <v>2145</v>
      </c>
      <c r="B116" s="1293" t="s">
        <v>865</v>
      </c>
      <c r="C116" s="1149">
        <v>3.3</v>
      </c>
      <c r="D116" s="1149">
        <v>3.3</v>
      </c>
      <c r="E116" s="1149">
        <v>3.3</v>
      </c>
      <c r="F116" s="1149">
        <v>3.3</v>
      </c>
      <c r="G116" s="1150">
        <v>3.3</v>
      </c>
      <c r="H116" s="1149">
        <v>3.3</v>
      </c>
      <c r="I116" s="1149">
        <v>3.3</v>
      </c>
      <c r="J116" s="1149">
        <v>3.3</v>
      </c>
      <c r="K116" s="1149">
        <v>3.3</v>
      </c>
      <c r="L116" s="1149">
        <v>3.3</v>
      </c>
      <c r="M116" s="1149">
        <v>3.3</v>
      </c>
      <c r="N116" s="1149">
        <v>3.3</v>
      </c>
      <c r="O116" s="1149">
        <v>3.3</v>
      </c>
      <c r="P116" s="1149">
        <v>3.3</v>
      </c>
      <c r="Q116" s="1149">
        <v>3.3</v>
      </c>
      <c r="R116" s="1149">
        <v>3.3</v>
      </c>
      <c r="S116" s="1149">
        <v>3.3</v>
      </c>
      <c r="T116" s="135"/>
      <c r="U116" s="135"/>
      <c r="V116" s="1373"/>
      <c r="W116" s="135"/>
      <c r="X116" s="135"/>
      <c r="Y116" s="135"/>
      <c r="Z116" s="135"/>
      <c r="AA116" s="135"/>
      <c r="AB116" s="135"/>
      <c r="AC116" s="135"/>
      <c r="AD116" s="135"/>
      <c r="AE116" s="135"/>
      <c r="AF116" s="135"/>
      <c r="AG116" s="135"/>
    </row>
    <row r="117" spans="1:33" ht="25" customHeight="1">
      <c r="A117" s="2114" t="s">
        <v>2147</v>
      </c>
      <c r="B117" s="1285" t="s">
        <v>273</v>
      </c>
      <c r="C117" s="1149">
        <v>50</v>
      </c>
      <c r="D117" s="1149">
        <v>50</v>
      </c>
      <c r="E117" s="1149">
        <v>50</v>
      </c>
      <c r="F117" s="1149">
        <v>50</v>
      </c>
      <c r="G117" s="1150">
        <v>50</v>
      </c>
      <c r="H117" s="1149">
        <v>50</v>
      </c>
      <c r="I117" s="1149">
        <v>50</v>
      </c>
      <c r="J117" s="1149">
        <v>50</v>
      </c>
      <c r="K117" s="1149">
        <v>50</v>
      </c>
      <c r="L117" s="1149">
        <v>50</v>
      </c>
      <c r="M117" s="1149">
        <v>50</v>
      </c>
      <c r="N117" s="1149">
        <v>50</v>
      </c>
      <c r="O117" s="1149">
        <v>10</v>
      </c>
      <c r="P117" s="1149">
        <v>10</v>
      </c>
      <c r="Q117" s="1149">
        <v>10</v>
      </c>
      <c r="R117" s="1149">
        <v>10</v>
      </c>
      <c r="S117" s="1149">
        <v>10</v>
      </c>
      <c r="T117" s="135"/>
      <c r="U117" s="135"/>
      <c r="V117" s="1373"/>
      <c r="W117" s="135"/>
      <c r="X117" s="3"/>
      <c r="Y117" s="135"/>
      <c r="Z117" s="135"/>
      <c r="AA117" s="135"/>
      <c r="AB117" s="135"/>
      <c r="AC117" s="135"/>
      <c r="AD117" s="135"/>
      <c r="AE117" s="135"/>
      <c r="AF117" s="135"/>
      <c r="AG117" s="135"/>
    </row>
    <row r="118" spans="1:33" s="357" customFormat="1" ht="25" customHeight="1">
      <c r="A118" s="2156" t="s">
        <v>1861</v>
      </c>
      <c r="B118" s="1292" t="s">
        <v>8</v>
      </c>
      <c r="C118" s="367">
        <v>0.55000000000000004</v>
      </c>
      <c r="D118" s="367">
        <v>0.81</v>
      </c>
      <c r="E118" s="367">
        <v>0.81</v>
      </c>
      <c r="F118" s="367">
        <v>0</v>
      </c>
      <c r="G118" s="883">
        <v>0.81</v>
      </c>
      <c r="H118" s="1149">
        <v>0.6</v>
      </c>
      <c r="I118" s="1149">
        <v>0.6</v>
      </c>
      <c r="J118" s="1149">
        <v>0.6</v>
      </c>
      <c r="K118" s="1149">
        <v>0.6</v>
      </c>
      <c r="L118" s="1149">
        <v>0.6</v>
      </c>
      <c r="M118" s="1149">
        <v>0.65</v>
      </c>
      <c r="N118" s="1149">
        <v>0.65</v>
      </c>
      <c r="O118" s="1149">
        <v>0.75</v>
      </c>
      <c r="P118" s="1149">
        <v>0.75</v>
      </c>
      <c r="Q118" s="1149">
        <v>0.75</v>
      </c>
      <c r="R118" s="1149">
        <v>0.75</v>
      </c>
      <c r="S118" s="1149">
        <v>0.75</v>
      </c>
      <c r="T118" s="1165" t="s">
        <v>315</v>
      </c>
      <c r="U118" s="1112"/>
      <c r="V118" s="1381"/>
      <c r="W118" s="1112"/>
      <c r="X118" s="1112"/>
      <c r="Y118" s="1112"/>
      <c r="Z118" s="1112"/>
      <c r="AA118" s="1112"/>
      <c r="AB118" s="1112"/>
      <c r="AC118" s="1112"/>
      <c r="AD118" s="1112"/>
      <c r="AE118" s="1112"/>
      <c r="AF118" s="1112"/>
      <c r="AG118" s="1112"/>
    </row>
    <row r="119" spans="1:33" ht="25" customHeight="1">
      <c r="A119" s="2157" t="s">
        <v>1887</v>
      </c>
      <c r="B119" s="1291"/>
      <c r="C119" s="367">
        <v>12.5</v>
      </c>
      <c r="D119" s="367">
        <v>12.5</v>
      </c>
      <c r="E119" s="367">
        <v>12.5</v>
      </c>
      <c r="F119" s="367">
        <v>12.5</v>
      </c>
      <c r="G119" s="883">
        <v>12.5</v>
      </c>
      <c r="H119" s="367">
        <v>12.5</v>
      </c>
      <c r="I119" s="367">
        <v>12.5</v>
      </c>
      <c r="J119" s="367">
        <v>12.5</v>
      </c>
      <c r="K119" s="367">
        <v>12.5</v>
      </c>
      <c r="L119" s="367">
        <v>12.5</v>
      </c>
      <c r="M119" s="367">
        <v>12.5</v>
      </c>
      <c r="N119" s="367">
        <v>12.5</v>
      </c>
      <c r="O119" s="367">
        <v>12.5</v>
      </c>
      <c r="P119" s="367">
        <v>12.5</v>
      </c>
      <c r="Q119" s="367">
        <v>12.5</v>
      </c>
      <c r="R119" s="367">
        <v>12.5</v>
      </c>
      <c r="S119" s="367">
        <v>12.5</v>
      </c>
      <c r="T119" s="135"/>
      <c r="U119" s="135"/>
      <c r="V119" s="1373"/>
      <c r="W119" s="135"/>
      <c r="X119" s="135"/>
      <c r="Y119" s="135"/>
      <c r="Z119" s="135"/>
      <c r="AA119" s="135"/>
      <c r="AB119" s="135"/>
      <c r="AC119" s="135"/>
      <c r="AD119" s="135"/>
      <c r="AE119" s="135"/>
      <c r="AF119" s="135"/>
      <c r="AG119" s="135"/>
    </row>
    <row r="120" spans="1:33" ht="25" customHeight="1">
      <c r="A120" s="2158" t="s">
        <v>1888</v>
      </c>
      <c r="B120" s="1291"/>
      <c r="C120" s="883">
        <v>3.5</v>
      </c>
      <c r="D120" s="883">
        <v>3.5</v>
      </c>
      <c r="E120" s="883">
        <v>3.5</v>
      </c>
      <c r="F120" s="883">
        <v>3.5</v>
      </c>
      <c r="G120" s="883">
        <v>3.5</v>
      </c>
      <c r="H120" s="883">
        <v>3.5</v>
      </c>
      <c r="I120" s="883">
        <v>3.5</v>
      </c>
      <c r="J120" s="883">
        <v>3.5</v>
      </c>
      <c r="K120" s="883">
        <v>3.5</v>
      </c>
      <c r="L120" s="883">
        <v>3.5</v>
      </c>
      <c r="M120" s="883">
        <v>3.5</v>
      </c>
      <c r="N120" s="883">
        <v>3.5</v>
      </c>
      <c r="O120" s="883">
        <v>3.5</v>
      </c>
      <c r="P120" s="883">
        <v>3.5</v>
      </c>
      <c r="Q120" s="883">
        <v>3.5</v>
      </c>
      <c r="R120" s="883">
        <v>3.5</v>
      </c>
      <c r="S120" s="883">
        <v>3.5</v>
      </c>
      <c r="T120" s="2328" t="s">
        <v>2203</v>
      </c>
      <c r="U120" s="135"/>
      <c r="V120" s="1374"/>
      <c r="W120" s="135"/>
      <c r="X120" s="135"/>
      <c r="Y120" s="135"/>
      <c r="Z120" s="135"/>
      <c r="AA120" s="135"/>
      <c r="AB120" s="135"/>
      <c r="AC120" s="135"/>
      <c r="AD120" s="135"/>
      <c r="AE120" s="135"/>
      <c r="AF120" s="135"/>
      <c r="AG120" s="135"/>
    </row>
    <row r="121" spans="1:33" ht="25" customHeight="1">
      <c r="A121" s="2159" t="s">
        <v>1562</v>
      </c>
      <c r="B121" s="1285" t="s">
        <v>0</v>
      </c>
      <c r="C121" s="331"/>
      <c r="D121" s="331"/>
      <c r="E121" s="331"/>
      <c r="F121" s="331"/>
      <c r="G121" s="884"/>
      <c r="H121" s="331"/>
      <c r="I121" s="331"/>
      <c r="J121" s="331"/>
      <c r="K121" s="331"/>
      <c r="L121" s="331"/>
      <c r="M121" s="331"/>
      <c r="N121" s="331"/>
      <c r="O121" s="331"/>
      <c r="P121" s="331"/>
      <c r="Q121" s="331"/>
      <c r="R121" s="331"/>
      <c r="S121" s="331"/>
      <c r="T121" s="135"/>
      <c r="U121" s="135"/>
      <c r="V121" s="1374"/>
      <c r="W121" s="135"/>
      <c r="X121" s="135"/>
      <c r="Y121" s="135"/>
      <c r="Z121" s="135"/>
      <c r="AA121" s="135"/>
      <c r="AB121" s="135"/>
      <c r="AC121" s="135"/>
      <c r="AD121" s="135"/>
      <c r="AE121" s="135"/>
      <c r="AF121" s="135"/>
      <c r="AG121" s="135"/>
    </row>
    <row r="122" spans="1:33" ht="25" customHeight="1">
      <c r="A122" s="2159" t="s">
        <v>1564</v>
      </c>
      <c r="B122" s="1285" t="s">
        <v>0</v>
      </c>
      <c r="C122" s="331"/>
      <c r="D122" s="331"/>
      <c r="E122" s="331"/>
      <c r="F122" s="331"/>
      <c r="G122" s="884"/>
      <c r="H122" s="331"/>
      <c r="I122" s="331"/>
      <c r="J122" s="331"/>
      <c r="K122" s="331"/>
      <c r="L122" s="331"/>
      <c r="M122" s="331"/>
      <c r="N122" s="331"/>
      <c r="O122" s="331"/>
      <c r="P122" s="331"/>
      <c r="Q122" s="331"/>
      <c r="R122" s="331"/>
      <c r="S122" s="331"/>
      <c r="T122" s="135"/>
      <c r="U122" s="135"/>
      <c r="V122" s="1374"/>
      <c r="W122" s="135"/>
      <c r="X122" s="135"/>
      <c r="Y122" s="135"/>
      <c r="Z122" s="135"/>
      <c r="AA122" s="135"/>
      <c r="AB122" s="135"/>
      <c r="AC122" s="135"/>
      <c r="AD122" s="135"/>
      <c r="AE122" s="135"/>
      <c r="AF122" s="135"/>
      <c r="AG122" s="135"/>
    </row>
    <row r="123" spans="1:33" ht="25" customHeight="1">
      <c r="A123" s="2160" t="s">
        <v>1566</v>
      </c>
      <c r="B123" s="1285" t="s">
        <v>0</v>
      </c>
      <c r="C123" s="331"/>
      <c r="D123" s="331"/>
      <c r="E123" s="331"/>
      <c r="F123" s="331"/>
      <c r="G123" s="884"/>
      <c r="H123" s="331"/>
      <c r="I123" s="331"/>
      <c r="J123" s="331"/>
      <c r="K123" s="331"/>
      <c r="L123" s="331"/>
      <c r="M123" s="331"/>
      <c r="N123" s="331"/>
      <c r="O123" s="331"/>
      <c r="P123" s="331"/>
      <c r="Q123" s="331"/>
      <c r="R123" s="331"/>
      <c r="S123" s="331"/>
      <c r="T123" s="135"/>
      <c r="U123" s="135"/>
      <c r="V123" s="1374"/>
      <c r="W123" s="135"/>
      <c r="X123" s="135"/>
      <c r="Y123" s="135"/>
      <c r="Z123" s="135"/>
      <c r="AA123" s="135"/>
      <c r="AB123" s="135"/>
      <c r="AC123" s="135"/>
      <c r="AD123" s="135"/>
      <c r="AE123" s="135"/>
      <c r="AF123" s="135"/>
      <c r="AG123" s="135"/>
    </row>
    <row r="124" spans="1:33" ht="25" customHeight="1">
      <c r="A124" s="2161" t="s">
        <v>1865</v>
      </c>
      <c r="B124" s="1311" t="s">
        <v>0</v>
      </c>
      <c r="C124" s="1298"/>
      <c r="D124" s="1298"/>
      <c r="E124" s="1298"/>
      <c r="F124" s="1298"/>
      <c r="G124" s="1299"/>
      <c r="H124" s="1298"/>
      <c r="I124" s="1298"/>
      <c r="J124" s="1298"/>
      <c r="K124" s="1298"/>
      <c r="L124" s="1298"/>
      <c r="M124" s="1298"/>
      <c r="N124" s="1298"/>
      <c r="O124" s="1298"/>
      <c r="P124" s="1298"/>
      <c r="Q124" s="1298"/>
      <c r="R124" s="1298"/>
      <c r="S124" s="1298"/>
      <c r="T124" s="135"/>
      <c r="U124" s="135"/>
      <c r="V124" s="1374"/>
      <c r="W124" s="135"/>
      <c r="X124" s="135"/>
      <c r="Y124" s="135"/>
      <c r="Z124" s="135"/>
      <c r="AA124" s="135"/>
      <c r="AB124" s="135"/>
      <c r="AC124" s="135"/>
      <c r="AD124" s="135"/>
      <c r="AE124" s="135"/>
      <c r="AF124" s="135"/>
      <c r="AG124" s="135"/>
    </row>
    <row r="125" spans="1:33" ht="25" customHeight="1">
      <c r="A125" s="1366"/>
      <c r="B125" s="1368"/>
      <c r="C125" s="1369"/>
      <c r="D125" s="1369"/>
      <c r="E125" s="1369"/>
      <c r="F125" s="1369"/>
      <c r="G125" s="1370"/>
      <c r="H125" s="1369"/>
      <c r="I125" s="1369"/>
      <c r="J125" s="1369"/>
      <c r="K125" s="1369"/>
      <c r="L125" s="1369"/>
      <c r="M125" s="1369"/>
      <c r="N125" s="1369"/>
      <c r="O125" s="1369"/>
      <c r="P125" s="1369"/>
      <c r="Q125" s="1369"/>
      <c r="R125" s="1369"/>
      <c r="S125" s="1369"/>
      <c r="T125" s="135"/>
      <c r="U125" s="135"/>
      <c r="V125" s="1374"/>
      <c r="W125" s="135"/>
      <c r="X125" s="135"/>
      <c r="Y125" s="135"/>
      <c r="Z125" s="135"/>
      <c r="AA125" s="135"/>
      <c r="AB125" s="135"/>
      <c r="AC125" s="135"/>
      <c r="AD125" s="135"/>
      <c r="AE125" s="135"/>
      <c r="AF125" s="135"/>
      <c r="AG125" s="135"/>
    </row>
    <row r="126" spans="1:33" s="1249" customFormat="1" ht="30" customHeight="1" thickBot="1">
      <c r="A126" s="1018" t="s">
        <v>2074</v>
      </c>
      <c r="B126" s="1367"/>
      <c r="C126" s="1367"/>
      <c r="D126" s="1367"/>
      <c r="E126" s="1367"/>
      <c r="F126" s="1367"/>
      <c r="G126" s="1367"/>
      <c r="H126" s="1367"/>
      <c r="I126" s="1367"/>
      <c r="J126" s="1367"/>
      <c r="K126" s="1367"/>
      <c r="L126" s="1367"/>
      <c r="M126" s="1367"/>
      <c r="N126" s="1367"/>
      <c r="O126" s="1367"/>
      <c r="P126" s="1367"/>
      <c r="Q126" s="1367"/>
      <c r="R126" s="1367"/>
      <c r="S126" s="2183"/>
      <c r="T126" s="1166"/>
      <c r="U126" s="1166"/>
      <c r="V126" s="1377"/>
      <c r="W126" s="1166"/>
      <c r="X126" s="1166"/>
      <c r="Y126" s="1166"/>
      <c r="Z126" s="1166"/>
      <c r="AA126" s="1166"/>
      <c r="AB126" s="1166"/>
      <c r="AC126" s="1166"/>
      <c r="AD126" s="1166"/>
      <c r="AE126" s="1166"/>
      <c r="AF126" s="1166"/>
      <c r="AG126" s="1166"/>
    </row>
    <row r="127" spans="1:33" s="1166" customFormat="1" ht="30" customHeight="1" thickTop="1">
      <c r="A127" s="2018" t="s">
        <v>2088</v>
      </c>
      <c r="B127" s="1285" t="s">
        <v>0</v>
      </c>
      <c r="C127" s="367">
        <v>50</v>
      </c>
      <c r="D127" s="367">
        <v>0</v>
      </c>
      <c r="E127" s="367">
        <v>0</v>
      </c>
      <c r="F127" s="367">
        <v>0</v>
      </c>
      <c r="G127" s="367">
        <v>0</v>
      </c>
      <c r="H127" s="367">
        <v>0</v>
      </c>
      <c r="I127" s="367">
        <v>0</v>
      </c>
      <c r="J127" s="367">
        <v>0</v>
      </c>
      <c r="K127" s="367">
        <v>0</v>
      </c>
      <c r="L127" s="367">
        <v>0</v>
      </c>
      <c r="M127" s="367">
        <v>32</v>
      </c>
      <c r="N127" s="367">
        <v>0</v>
      </c>
      <c r="O127" s="367">
        <v>15</v>
      </c>
      <c r="P127" s="367">
        <v>15</v>
      </c>
      <c r="Q127" s="367">
        <v>15</v>
      </c>
      <c r="R127" s="367">
        <v>15</v>
      </c>
      <c r="S127" s="367">
        <v>15</v>
      </c>
      <c r="T127" s="136" t="s">
        <v>383</v>
      </c>
      <c r="V127" s="2184">
        <f>INDEX($C127:$S127, 1, MATCH(S2RepStandard, $C$2:$S$2, 0))</f>
        <v>0</v>
      </c>
    </row>
    <row r="128" spans="1:33" s="135" customFormat="1" ht="25" customHeight="1">
      <c r="A128" s="869" t="s">
        <v>2090</v>
      </c>
      <c r="B128" s="1285" t="s">
        <v>0</v>
      </c>
      <c r="C128" s="2196"/>
      <c r="D128" s="2196"/>
      <c r="E128" s="2196"/>
      <c r="F128" s="2196"/>
      <c r="G128" s="2196"/>
      <c r="H128" s="2196"/>
      <c r="I128" s="2196"/>
      <c r="J128" s="2196"/>
      <c r="K128" s="2196"/>
      <c r="L128" s="2196"/>
      <c r="M128" s="2196"/>
      <c r="N128" s="2196"/>
      <c r="O128" s="2196"/>
      <c r="P128" s="2196"/>
      <c r="Q128" s="2196"/>
      <c r="R128" s="2196"/>
      <c r="S128" s="2196"/>
      <c r="V128" s="2184"/>
    </row>
    <row r="129" spans="1:33" ht="25" customHeight="1">
      <c r="A129" s="2079" t="s">
        <v>2122</v>
      </c>
      <c r="B129" s="1285" t="s">
        <v>0</v>
      </c>
      <c r="C129" s="331"/>
      <c r="D129" s="331"/>
      <c r="E129" s="331"/>
      <c r="F129" s="331"/>
      <c r="G129" s="884"/>
      <c r="H129" s="331"/>
      <c r="I129" s="331"/>
      <c r="J129" s="331"/>
      <c r="K129" s="331"/>
      <c r="L129" s="331"/>
      <c r="M129" s="331"/>
      <c r="N129" s="331"/>
      <c r="O129" s="331"/>
      <c r="P129" s="331"/>
      <c r="Q129" s="331"/>
      <c r="R129" s="331"/>
      <c r="S129" s="331"/>
      <c r="T129" s="135"/>
      <c r="U129" s="135"/>
      <c r="V129" s="1374"/>
      <c r="W129" s="135"/>
      <c r="X129" s="135"/>
      <c r="Y129" s="135"/>
      <c r="Z129" s="135"/>
      <c r="AA129" s="135"/>
      <c r="AB129" s="135"/>
      <c r="AC129" s="135"/>
      <c r="AD129" s="135"/>
      <c r="AE129" s="135"/>
      <c r="AF129" s="135"/>
      <c r="AG129" s="135"/>
    </row>
    <row r="130" spans="1:33" ht="25" customHeight="1">
      <c r="A130" s="317" t="s">
        <v>2094</v>
      </c>
      <c r="B130" s="1285" t="s">
        <v>0</v>
      </c>
      <c r="C130" s="331"/>
      <c r="D130" s="331"/>
      <c r="E130" s="331"/>
      <c r="F130" s="331"/>
      <c r="G130" s="884"/>
      <c r="H130" s="331"/>
      <c r="I130" s="331"/>
      <c r="J130" s="331"/>
      <c r="K130" s="331"/>
      <c r="L130" s="331"/>
      <c r="M130" s="331"/>
      <c r="N130" s="331"/>
      <c r="O130" s="331"/>
      <c r="P130" s="331"/>
      <c r="Q130" s="331"/>
      <c r="R130" s="331"/>
      <c r="S130" s="331"/>
      <c r="T130" s="135"/>
      <c r="U130" s="135"/>
      <c r="V130" s="1374"/>
      <c r="W130" s="135"/>
      <c r="X130" s="135"/>
      <c r="Y130" s="135"/>
      <c r="Z130" s="135"/>
      <c r="AA130" s="135"/>
      <c r="AB130" s="135"/>
      <c r="AC130" s="135"/>
      <c r="AD130" s="135"/>
      <c r="AE130" s="135"/>
      <c r="AF130" s="135"/>
      <c r="AG130" s="135"/>
    </row>
    <row r="131" spans="1:33" ht="25" customHeight="1">
      <c r="A131" s="317" t="s">
        <v>2096</v>
      </c>
      <c r="B131" s="1285" t="s">
        <v>0</v>
      </c>
      <c r="C131" s="331"/>
      <c r="D131" s="331"/>
      <c r="E131" s="331"/>
      <c r="F131" s="331"/>
      <c r="G131" s="884"/>
      <c r="H131" s="331"/>
      <c r="I131" s="331"/>
      <c r="J131" s="331"/>
      <c r="K131" s="331"/>
      <c r="L131" s="331"/>
      <c r="M131" s="331"/>
      <c r="N131" s="331"/>
      <c r="O131" s="331"/>
      <c r="P131" s="331"/>
      <c r="Q131" s="331"/>
      <c r="R131" s="331"/>
      <c r="S131" s="331"/>
      <c r="T131" s="135"/>
      <c r="U131" s="135"/>
      <c r="V131" s="1374"/>
      <c r="W131" s="135"/>
      <c r="X131" s="135"/>
      <c r="Y131" s="135"/>
      <c r="Z131" s="135"/>
      <c r="AA131" s="135"/>
      <c r="AB131" s="135"/>
      <c r="AC131" s="135"/>
      <c r="AD131" s="135"/>
      <c r="AE131" s="135"/>
      <c r="AF131" s="135"/>
      <c r="AG131" s="135"/>
    </row>
    <row r="132" spans="1:33" s="135" customFormat="1" ht="25" customHeight="1">
      <c r="A132" s="2192" t="s">
        <v>2098</v>
      </c>
      <c r="B132" s="2193" t="s">
        <v>0</v>
      </c>
      <c r="C132" s="2194"/>
      <c r="D132" s="2194"/>
      <c r="E132" s="2194"/>
      <c r="F132" s="2194"/>
      <c r="G132" s="2195"/>
      <c r="H132" s="2194"/>
      <c r="I132" s="2194"/>
      <c r="J132" s="2194"/>
      <c r="K132" s="2194"/>
      <c r="L132" s="2194"/>
      <c r="M132" s="2194"/>
      <c r="N132" s="2194"/>
      <c r="O132" s="2194"/>
      <c r="P132" s="2194"/>
      <c r="Q132" s="2194"/>
      <c r="R132" s="2194"/>
      <c r="S132" s="2194"/>
      <c r="V132" s="2187"/>
    </row>
    <row r="133" spans="1:33" s="1166" customFormat="1" ht="25" customHeight="1">
      <c r="A133" s="2189"/>
      <c r="B133" s="2190"/>
      <c r="G133" s="2005"/>
      <c r="V133" s="2191"/>
    </row>
    <row r="134" spans="1:33" s="1249" customFormat="1" ht="30" customHeight="1" thickBot="1">
      <c r="A134" s="2002" t="s">
        <v>2075</v>
      </c>
      <c r="B134" s="2199" t="s">
        <v>2</v>
      </c>
      <c r="C134" s="2200"/>
      <c r="D134" s="2200"/>
      <c r="E134" s="2200"/>
      <c r="F134" s="2200"/>
      <c r="G134" s="2201"/>
      <c r="H134" s="2200"/>
      <c r="I134" s="2200"/>
      <c r="J134" s="2200"/>
      <c r="K134" s="2200"/>
      <c r="L134" s="2200"/>
      <c r="M134" s="2200"/>
      <c r="N134" s="2200"/>
      <c r="O134" s="2200"/>
      <c r="P134" s="2200"/>
      <c r="Q134" s="2200"/>
      <c r="R134" s="2200"/>
      <c r="S134" s="2200"/>
      <c r="T134" s="1166"/>
      <c r="U134" s="1166"/>
      <c r="V134" s="2188">
        <f>INDEX($C134:$S134, 1, MATCH(S2RepStandard, $C$2:$S$2, 0))</f>
        <v>0</v>
      </c>
      <c r="W134" s="1166"/>
      <c r="X134" s="1166"/>
      <c r="Y134" s="1166"/>
      <c r="Z134" s="1166"/>
      <c r="AA134" s="1166"/>
      <c r="AB134" s="1166"/>
      <c r="AC134" s="1166"/>
      <c r="AD134" s="1166"/>
      <c r="AE134" s="1166"/>
      <c r="AF134" s="1166"/>
      <c r="AG134" s="1166"/>
    </row>
    <row r="135" spans="1:33" s="1166" customFormat="1" ht="30" customHeight="1" thickTop="1">
      <c r="A135" s="869" t="s">
        <v>2086</v>
      </c>
      <c r="B135" s="2202"/>
      <c r="C135" s="2203"/>
      <c r="D135" s="2203"/>
      <c r="E135" s="2203"/>
      <c r="F135" s="2203"/>
      <c r="G135" s="2204"/>
      <c r="H135" s="2203"/>
      <c r="I135" s="2203"/>
      <c r="J135" s="2203"/>
      <c r="K135" s="2203"/>
      <c r="L135" s="2203"/>
      <c r="M135" s="2203"/>
      <c r="N135" s="2203"/>
      <c r="O135" s="2203"/>
      <c r="P135" s="2203"/>
      <c r="Q135" s="2203"/>
      <c r="R135" s="2203"/>
      <c r="S135" s="2203"/>
      <c r="V135" s="2003"/>
    </row>
    <row r="136" spans="1:33" s="135" customFormat="1" ht="25" customHeight="1">
      <c r="A136" s="869" t="s">
        <v>2099</v>
      </c>
      <c r="B136" s="1300" t="s">
        <v>0</v>
      </c>
      <c r="C136" s="1301"/>
      <c r="D136" s="1301"/>
      <c r="E136" s="1301"/>
      <c r="F136" s="1301"/>
      <c r="G136" s="1302"/>
      <c r="H136" s="1301"/>
      <c r="I136" s="1301"/>
      <c r="J136" s="1301"/>
      <c r="K136" s="1301"/>
      <c r="L136" s="1301"/>
      <c r="M136" s="1301"/>
      <c r="N136" s="1301"/>
      <c r="O136" s="1301"/>
      <c r="P136" s="1301"/>
      <c r="Q136" s="1301"/>
      <c r="R136" s="1301"/>
      <c r="S136" s="1301"/>
      <c r="V136" s="1374">
        <f>INDEX($C136:$S136, 1, MATCH(S2RepStandard, $C$2:$S$2, 0))</f>
        <v>0</v>
      </c>
    </row>
    <row r="137" spans="1:33" ht="25" customHeight="1">
      <c r="A137" s="315" t="s">
        <v>2101</v>
      </c>
      <c r="B137" s="1294" t="s">
        <v>1812</v>
      </c>
      <c r="C137" s="331"/>
      <c r="D137" s="331"/>
      <c r="E137" s="331"/>
      <c r="F137" s="331"/>
      <c r="G137" s="884"/>
      <c r="H137" s="331"/>
      <c r="I137" s="331"/>
      <c r="J137" s="331"/>
      <c r="K137" s="331"/>
      <c r="L137" s="331"/>
      <c r="M137" s="331"/>
      <c r="N137" s="331"/>
      <c r="O137" s="331"/>
      <c r="P137" s="331"/>
      <c r="Q137" s="331"/>
      <c r="R137" s="331"/>
      <c r="S137" s="331"/>
      <c r="T137" s="135"/>
      <c r="U137" s="135"/>
      <c r="V137" s="1374"/>
      <c r="W137" s="135"/>
      <c r="X137" s="135"/>
      <c r="Y137" s="135"/>
      <c r="Z137" s="135"/>
      <c r="AA137" s="135"/>
      <c r="AB137" s="135"/>
      <c r="AC137" s="135"/>
      <c r="AD137" s="135"/>
      <c r="AE137" s="135"/>
      <c r="AF137" s="135"/>
      <c r="AG137" s="135"/>
    </row>
    <row r="138" spans="1:33" ht="25" customHeight="1">
      <c r="A138" s="316" t="s">
        <v>2103</v>
      </c>
      <c r="B138" s="1294" t="s">
        <v>1812</v>
      </c>
      <c r="C138" s="331"/>
      <c r="D138" s="331"/>
      <c r="E138" s="331"/>
      <c r="F138" s="331"/>
      <c r="G138" s="884"/>
      <c r="H138" s="331"/>
      <c r="I138" s="331"/>
      <c r="J138" s="331"/>
      <c r="K138" s="331"/>
      <c r="L138" s="331"/>
      <c r="M138" s="331"/>
      <c r="N138" s="331"/>
      <c r="O138" s="367"/>
      <c r="P138" s="367"/>
      <c r="Q138" s="367"/>
      <c r="R138" s="367"/>
      <c r="S138" s="367"/>
      <c r="T138" s="135"/>
      <c r="U138" s="135"/>
      <c r="V138" s="1374"/>
      <c r="W138" s="135"/>
      <c r="X138" s="135"/>
      <c r="Y138" s="135"/>
      <c r="Z138" s="135"/>
      <c r="AA138" s="135"/>
      <c r="AB138" s="135"/>
      <c r="AC138" s="135"/>
      <c r="AD138" s="135"/>
      <c r="AE138" s="135"/>
      <c r="AF138" s="135"/>
      <c r="AG138" s="135"/>
    </row>
    <row r="139" spans="1:33" s="357" customFormat="1" ht="25" customHeight="1">
      <c r="A139" s="316" t="s">
        <v>2105</v>
      </c>
      <c r="B139" s="1294" t="s">
        <v>1812</v>
      </c>
      <c r="C139" s="1123"/>
      <c r="D139" s="1123"/>
      <c r="E139" s="1123"/>
      <c r="F139" s="1123"/>
      <c r="G139" s="1151"/>
      <c r="H139" s="1123"/>
      <c r="I139" s="1123"/>
      <c r="J139" s="1123"/>
      <c r="K139" s="1123"/>
      <c r="L139" s="1123"/>
      <c r="M139" s="1123"/>
      <c r="N139" s="1123"/>
      <c r="O139" s="367"/>
      <c r="P139" s="367"/>
      <c r="Q139" s="367"/>
      <c r="R139" s="367"/>
      <c r="S139" s="367"/>
      <c r="T139" s="1112"/>
      <c r="U139" s="1112"/>
      <c r="V139" s="1374"/>
      <c r="W139" s="1112"/>
      <c r="X139" s="1112"/>
      <c r="Y139" s="1112"/>
      <c r="Z139" s="1112"/>
      <c r="AA139" s="1112"/>
      <c r="AB139" s="1112"/>
      <c r="AC139" s="1112"/>
      <c r="AD139" s="1112"/>
      <c r="AE139" s="1112"/>
      <c r="AF139" s="1112"/>
      <c r="AG139" s="1112"/>
    </row>
    <row r="140" spans="1:33" ht="25" customHeight="1">
      <c r="A140" s="314" t="s">
        <v>2107</v>
      </c>
      <c r="B140" s="1284" t="s">
        <v>1808</v>
      </c>
      <c r="C140" s="367">
        <v>50</v>
      </c>
      <c r="D140" s="367">
        <v>50</v>
      </c>
      <c r="E140" s="367">
        <v>50</v>
      </c>
      <c r="F140" s="367">
        <v>50</v>
      </c>
      <c r="G140" s="883">
        <v>50</v>
      </c>
      <c r="H140" s="367">
        <v>50</v>
      </c>
      <c r="I140" s="367">
        <v>50</v>
      </c>
      <c r="J140" s="367">
        <v>50</v>
      </c>
      <c r="K140" s="367">
        <v>50</v>
      </c>
      <c r="L140" s="367">
        <v>50</v>
      </c>
      <c r="M140" s="367">
        <v>50</v>
      </c>
      <c r="N140" s="367">
        <v>50</v>
      </c>
      <c r="O140" s="367">
        <v>10</v>
      </c>
      <c r="P140" s="367">
        <v>10</v>
      </c>
      <c r="Q140" s="367">
        <v>10</v>
      </c>
      <c r="R140" s="367">
        <v>25</v>
      </c>
      <c r="S140" s="367">
        <v>30</v>
      </c>
      <c r="T140" s="136" t="s">
        <v>383</v>
      </c>
      <c r="U140" s="135"/>
      <c r="V140" s="1373"/>
      <c r="W140" s="135"/>
      <c r="X140" s="135"/>
      <c r="Y140" s="135"/>
      <c r="Z140" s="135"/>
      <c r="AA140" s="135"/>
      <c r="AB140" s="135"/>
      <c r="AC140" s="135"/>
      <c r="AD140" s="135"/>
      <c r="AE140" s="135"/>
      <c r="AF140" s="135"/>
      <c r="AG140" s="135"/>
    </row>
    <row r="141" spans="1:33" ht="25" customHeight="1">
      <c r="A141" s="314" t="s">
        <v>2109</v>
      </c>
      <c r="B141" s="1295" t="s">
        <v>2</v>
      </c>
      <c r="C141" s="331"/>
      <c r="D141" s="331"/>
      <c r="E141" s="331"/>
      <c r="F141" s="331"/>
      <c r="G141" s="884"/>
      <c r="H141" s="331"/>
      <c r="I141" s="331"/>
      <c r="J141" s="331"/>
      <c r="K141" s="331"/>
      <c r="L141" s="331"/>
      <c r="M141" s="331"/>
      <c r="N141" s="331"/>
      <c r="O141" s="331"/>
      <c r="P141" s="331"/>
      <c r="Q141" s="331"/>
      <c r="R141" s="331"/>
      <c r="S141" s="331"/>
      <c r="T141" s="135"/>
      <c r="U141" s="135"/>
      <c r="V141" s="1382"/>
      <c r="W141" s="135"/>
      <c r="X141" s="135"/>
      <c r="Y141" s="135"/>
      <c r="Z141" s="135"/>
      <c r="AA141" s="135"/>
      <c r="AB141" s="135"/>
      <c r="AC141" s="135"/>
      <c r="AD141" s="135"/>
      <c r="AE141" s="135"/>
      <c r="AF141" s="135"/>
      <c r="AG141" s="135"/>
    </row>
    <row r="142" spans="1:33" ht="25" customHeight="1">
      <c r="A142" s="314" t="s">
        <v>2112</v>
      </c>
      <c r="B142" s="1295" t="s">
        <v>1813</v>
      </c>
      <c r="C142" s="331"/>
      <c r="D142" s="331"/>
      <c r="E142" s="331"/>
      <c r="F142" s="331"/>
      <c r="G142" s="884"/>
      <c r="H142" s="331"/>
      <c r="I142" s="331"/>
      <c r="J142" s="331"/>
      <c r="K142" s="331"/>
      <c r="L142" s="331"/>
      <c r="M142" s="331"/>
      <c r="N142" s="331"/>
      <c r="O142" s="331"/>
      <c r="P142" s="331"/>
      <c r="Q142" s="331"/>
      <c r="R142" s="331"/>
      <c r="S142" s="331"/>
      <c r="T142" s="135"/>
      <c r="U142" s="135"/>
      <c r="V142" s="1374"/>
      <c r="W142" s="135"/>
      <c r="X142" s="135"/>
      <c r="Y142" s="135"/>
      <c r="Z142" s="135"/>
      <c r="AA142" s="135"/>
      <c r="AB142" s="135"/>
      <c r="AC142" s="135"/>
      <c r="AD142" s="135"/>
      <c r="AE142" s="135"/>
      <c r="AF142" s="135"/>
      <c r="AG142" s="135"/>
    </row>
    <row r="143" spans="1:33" ht="25" customHeight="1">
      <c r="A143" s="860" t="s">
        <v>2117</v>
      </c>
      <c r="B143" s="1285" t="s">
        <v>0</v>
      </c>
      <c r="C143" s="331"/>
      <c r="D143" s="331"/>
      <c r="E143" s="331"/>
      <c r="F143" s="331"/>
      <c r="G143" s="884"/>
      <c r="H143" s="331"/>
      <c r="I143" s="331"/>
      <c r="J143" s="331"/>
      <c r="K143" s="331"/>
      <c r="L143" s="331"/>
      <c r="M143" s="331"/>
      <c r="N143" s="331"/>
      <c r="O143" s="331"/>
      <c r="P143" s="331"/>
      <c r="Q143" s="331"/>
      <c r="R143" s="331"/>
      <c r="S143" s="331"/>
      <c r="T143" s="135"/>
      <c r="U143" s="135"/>
      <c r="V143" s="1374"/>
      <c r="W143" s="135"/>
      <c r="X143" s="135"/>
      <c r="Y143" s="135"/>
      <c r="Z143" s="135"/>
      <c r="AA143" s="135"/>
      <c r="AB143" s="135"/>
      <c r="AC143" s="135"/>
      <c r="AD143" s="135"/>
      <c r="AE143" s="135"/>
      <c r="AF143" s="135"/>
      <c r="AG143" s="135"/>
    </row>
    <row r="144" spans="1:33" ht="25" customHeight="1">
      <c r="A144" s="860" t="s">
        <v>2119</v>
      </c>
      <c r="B144" s="2196"/>
      <c r="C144" s="2196"/>
      <c r="D144" s="2196"/>
      <c r="E144" s="2196"/>
      <c r="F144" s="2196"/>
      <c r="G144" s="2197"/>
      <c r="H144" s="2196"/>
      <c r="I144" s="2196"/>
      <c r="J144" s="2196"/>
      <c r="K144" s="2196"/>
      <c r="L144" s="2196"/>
      <c r="M144" s="2196"/>
      <c r="N144" s="2196"/>
      <c r="O144" s="2196"/>
      <c r="P144" s="2196"/>
      <c r="Q144" s="2196"/>
      <c r="R144" s="2196"/>
      <c r="S144" s="2196"/>
      <c r="V144" s="1169"/>
    </row>
    <row r="145" spans="1:22" ht="25" customHeight="1">
      <c r="A145" s="860" t="s">
        <v>2120</v>
      </c>
      <c r="B145" s="2198"/>
      <c r="C145" s="2196"/>
      <c r="D145" s="2196"/>
      <c r="E145" s="2196"/>
      <c r="F145" s="2196"/>
      <c r="G145" s="2197"/>
      <c r="H145" s="2196"/>
      <c r="I145" s="2196"/>
      <c r="J145" s="2196"/>
      <c r="K145" s="2196"/>
      <c r="L145" s="2196"/>
      <c r="M145" s="2196"/>
      <c r="N145" s="2196"/>
      <c r="O145" s="2196"/>
      <c r="P145" s="2196"/>
      <c r="Q145" s="2196"/>
      <c r="R145" s="2196"/>
      <c r="S145" s="2196"/>
      <c r="V145" s="1169"/>
    </row>
    <row r="146" spans="1:22" ht="11.75" customHeight="1">
      <c r="B146" s="1"/>
      <c r="V146" s="1169"/>
    </row>
    <row r="147" spans="1:22" ht="11.75" customHeight="1">
      <c r="V147" s="1169"/>
    </row>
    <row r="148" spans="1:22" ht="11.75" customHeight="1">
      <c r="V148" s="1169"/>
    </row>
    <row r="149" spans="1:22" ht="11.75" customHeight="1">
      <c r="A149"/>
    </row>
  </sheetData>
  <mergeCells count="2">
    <mergeCell ref="A1:T1"/>
    <mergeCell ref="A2:B2"/>
  </mergeCells>
  <dataValidations disablePrompts="1" count="1">
    <dataValidation type="list" allowBlank="1" showInputMessage="1" showErrorMessage="1" promptTitle="Building Typology" prompt="Select a Building that matches the named typology. Or enter your own value. " sqref="B39" xr:uid="{D04D011B-478E-904B-ADEF-E5FC05985971}">
      <formula1>"Pt.9 Res. Stick Frame, Pt.9 Small Mass Timber, Pt.3 Mass Timber, Pt.3 Concrete, Pt.3 Steel, Pt.3 Office, Use Your Own Value"</formula1>
    </dataValidation>
  </dataValidations>
  <pageMargins left="1" right="1" top="1" bottom="1" header="0.25" footer="0.25"/>
  <pageSetup orientation="portrait" r:id="rId1"/>
  <headerFooter>
    <oddFooter>&amp;C&amp;"Helvetica,Regular"&amp;12&amp;K000000&amp;P</oddFooter>
  </headerFooter>
  <ignoredErrors>
    <ignoredError sqref="V136 V134" emptyCellReference="1"/>
  </ignoredErrors>
  <legacyDrawing r:id="rId2"/>
  <extLst>
    <ext xmlns:x14="http://schemas.microsoft.com/office/spreadsheetml/2009/9/main" uri="{78C0D931-6437-407d-A8EE-F0AAD7539E65}">
      <x14:conditionalFormattings>
        <x14:conditionalFormatting xmlns:xm="http://schemas.microsoft.com/office/excel/2006/main">
          <x14:cfRule type="iconSet" priority="2" id="{7EA50D33-2890-CB4D-B208-47270B679E6C}">
            <x14:iconSet custom="1">
              <x14:cfvo type="percent">
                <xm:f>0</xm:f>
              </x14:cfvo>
              <x14:cfvo type="num" gte="0">
                <xm:f>0</xm:f>
              </x14:cfvo>
              <x14:cfvo type="num">
                <xm:f>1.0009999999999999</xm:f>
              </x14:cfvo>
              <x14:cfIcon iconSet="3Symbols2" iconId="1"/>
              <x14:cfIcon iconSet="3Symbols2" iconId="2"/>
              <x14:cfIcon iconSet="3Symbols2" iconId="0"/>
            </x14:iconSet>
          </x14:cfRule>
          <xm:sqref>U9</xm:sqref>
        </x14:conditionalFormatting>
        <x14:conditionalFormatting xmlns:xm="http://schemas.microsoft.com/office/excel/2006/main">
          <x14:cfRule type="iconSet" priority="1" id="{E0494879-9335-2248-A6E7-65B39657F519}">
            <x14:iconSet custom="1">
              <x14:cfvo type="percent">
                <xm:f>0</xm:f>
              </x14:cfvo>
              <x14:cfvo type="num" gte="0">
                <xm:f>0</xm:f>
              </x14:cfvo>
              <x14:cfvo type="num">
                <xm:f>1.0009999999999999</xm:f>
              </x14:cfvo>
              <x14:cfIcon iconSet="3Symbols2" iconId="1"/>
              <x14:cfIcon iconSet="3Symbols2" iconId="2"/>
              <x14:cfIcon iconSet="3Symbols2" iconId="0"/>
            </x14:iconSet>
          </x14:cfRule>
          <xm:sqref>U10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6222-BE15-9745-B33A-5B490845AC48}">
  <sheetPr codeName="Sheet4">
    <tabColor rgb="FFFF0000"/>
  </sheetPr>
  <dimension ref="A1:AO129"/>
  <sheetViews>
    <sheetView zoomScale="120" zoomScaleNormal="120" workbookViewId="0">
      <selection activeCell="G81" sqref="G81"/>
    </sheetView>
  </sheetViews>
  <sheetFormatPr baseColWidth="10" defaultColWidth="13.25" defaultRowHeight="11"/>
  <cols>
    <col min="1" max="1" width="2.5" style="271" customWidth="1"/>
    <col min="2" max="2" width="39.5" style="5" customWidth="1"/>
    <col min="3" max="3" width="14.75" style="6" bestFit="1" customWidth="1"/>
    <col min="4" max="4" width="20" style="5" customWidth="1"/>
    <col min="5" max="5" width="26.5" style="5" customWidth="1"/>
    <col min="6" max="6" width="22.75" style="5" customWidth="1"/>
    <col min="7" max="7" width="27" style="5" customWidth="1"/>
    <col min="8" max="8" width="17.25" style="5" customWidth="1"/>
    <col min="9" max="9" width="48.75" style="5" customWidth="1"/>
    <col min="10" max="10" width="27.75" style="5" customWidth="1"/>
    <col min="11" max="11" width="17.5" style="5" customWidth="1"/>
    <col min="12" max="14" width="18.5" style="5" customWidth="1"/>
    <col min="15" max="15" width="45.75" style="5" customWidth="1"/>
    <col min="16" max="16" width="18.5" style="5" customWidth="1"/>
    <col min="17" max="17" width="27" style="5" customWidth="1"/>
    <col min="18" max="18" width="10.25" style="5" customWidth="1"/>
    <col min="19" max="19" width="13.25" style="5"/>
    <col min="20" max="20" width="34.75" style="5" customWidth="1"/>
    <col min="21" max="21" width="48.5" style="5" customWidth="1"/>
    <col min="22" max="22" width="13" style="5" customWidth="1"/>
    <col min="23" max="23" width="13.25" style="5"/>
    <col min="24" max="24" width="8.5" style="5" customWidth="1"/>
    <col min="25" max="25" width="7.25" style="5" customWidth="1"/>
    <col min="26" max="26" width="7.75" style="5" customWidth="1"/>
    <col min="27" max="27" width="7.25" style="5" customWidth="1"/>
    <col min="28" max="28" width="12.75" style="819" customWidth="1"/>
    <col min="29" max="29" width="12" style="820" customWidth="1"/>
    <col min="30" max="30" width="12.25" style="5" customWidth="1"/>
    <col min="31" max="16384" width="13.25" style="5"/>
  </cols>
  <sheetData>
    <row r="1" spans="2:41" s="271" customFormat="1">
      <c r="C1" s="272"/>
      <c r="AB1" s="1640"/>
      <c r="AC1" s="1641"/>
    </row>
    <row r="2" spans="2:41" ht="64" customHeight="1">
      <c r="B2" s="1675" t="s">
        <v>789</v>
      </c>
      <c r="C2" s="332"/>
      <c r="D2" s="519" t="s">
        <v>1443</v>
      </c>
      <c r="E2" s="2370" t="s">
        <v>1442</v>
      </c>
      <c r="F2" s="2374" t="s">
        <v>1441</v>
      </c>
      <c r="G2" s="495" t="s">
        <v>428</v>
      </c>
      <c r="H2" s="2368" t="s">
        <v>284</v>
      </c>
      <c r="I2" s="333" t="s">
        <v>348</v>
      </c>
      <c r="J2" s="333"/>
      <c r="K2" s="333"/>
      <c r="L2" s="333"/>
      <c r="M2" s="1393"/>
      <c r="N2" s="2366" t="s">
        <v>816</v>
      </c>
      <c r="O2" s="2367"/>
      <c r="P2" s="1393"/>
      <c r="Q2" s="498"/>
      <c r="R2" s="498"/>
      <c r="S2" s="271"/>
      <c r="T2" s="806" t="s">
        <v>1608</v>
      </c>
      <c r="U2" s="806" t="s">
        <v>1609</v>
      </c>
      <c r="V2" s="806" t="s">
        <v>1677</v>
      </c>
      <c r="W2" s="806" t="s">
        <v>1679</v>
      </c>
      <c r="X2" s="806" t="s">
        <v>1610</v>
      </c>
      <c r="Y2" s="806" t="s">
        <v>1611</v>
      </c>
      <c r="Z2" s="806" t="s">
        <v>1612</v>
      </c>
      <c r="AA2" s="806" t="s">
        <v>1613</v>
      </c>
      <c r="AB2" s="840" t="s">
        <v>1675</v>
      </c>
      <c r="AC2" s="841" t="s">
        <v>1676</v>
      </c>
      <c r="AD2" s="806" t="s">
        <v>1614</v>
      </c>
      <c r="AE2" s="271"/>
      <c r="AF2" s="271"/>
      <c r="AG2" s="271"/>
      <c r="AH2" s="271"/>
      <c r="AI2" s="271"/>
      <c r="AJ2" s="271"/>
      <c r="AK2" s="271"/>
      <c r="AL2" s="271"/>
      <c r="AM2" s="271"/>
      <c r="AN2" s="271"/>
      <c r="AO2" s="271"/>
    </row>
    <row r="3" spans="2:41" ht="14">
      <c r="B3" s="333"/>
      <c r="C3" s="332" t="s">
        <v>279</v>
      </c>
      <c r="D3" s="334" t="s">
        <v>280</v>
      </c>
      <c r="E3" s="2371"/>
      <c r="F3" s="2375"/>
      <c r="G3" s="496"/>
      <c r="H3" s="2369"/>
      <c r="I3" s="349">
        <v>365</v>
      </c>
      <c r="J3" s="333"/>
      <c r="K3" s="333"/>
      <c r="L3" s="333"/>
      <c r="M3" s="1393"/>
      <c r="N3" s="1394">
        <f>(REPORT!H23-10)*H6</f>
        <v>1960</v>
      </c>
      <c r="O3" s="1392" t="s">
        <v>907</v>
      </c>
      <c r="P3" s="1393"/>
      <c r="Q3" s="498"/>
      <c r="R3" s="498"/>
      <c r="S3" s="271"/>
      <c r="T3" s="832" t="s">
        <v>263</v>
      </c>
      <c r="U3" s="833"/>
      <c r="V3" s="834"/>
      <c r="W3" s="835">
        <f>AVERAGE(V4:V8)</f>
        <v>313.8</v>
      </c>
      <c r="X3" s="835">
        <f>W3/1.1</f>
        <v>285.27272727272725</v>
      </c>
      <c r="Y3" s="835">
        <f>W3/1.2</f>
        <v>261.5</v>
      </c>
      <c r="Z3" s="835">
        <f>W3/1.4</f>
        <v>224.14285714285717</v>
      </c>
      <c r="AA3" s="835">
        <f>W3/1.7</f>
        <v>184.58823529411765</v>
      </c>
      <c r="AB3" s="836"/>
      <c r="AC3" s="837">
        <f>AVERAGE(AC4:AC18)</f>
        <v>277.222444</v>
      </c>
      <c r="AD3" s="833"/>
      <c r="AE3" s="271"/>
      <c r="AF3" s="271"/>
      <c r="AG3" s="271"/>
      <c r="AH3" s="271"/>
      <c r="AI3" s="271"/>
      <c r="AJ3" s="271"/>
      <c r="AK3" s="271"/>
      <c r="AL3" s="271"/>
      <c r="AM3" s="271"/>
      <c r="AN3" s="271"/>
      <c r="AO3" s="271"/>
    </row>
    <row r="4" spans="2:41" ht="14">
      <c r="B4" s="335" t="s">
        <v>281</v>
      </c>
      <c r="C4" s="775">
        <f>IF(REPORT!D$63=0, 0.00001, REPORT!D$63)</f>
        <v>126</v>
      </c>
      <c r="D4" s="517">
        <f>REPORT!G63</f>
        <v>12</v>
      </c>
      <c r="E4" s="518">
        <f>IF(REPORT!D64="Relaxed",SCHEDULES!G32,IF(REPORT!D64="Normal",G34,IF(REPORT!D64="Active",G39,IF(REPORT!D64="Hyperactive",G43))))</f>
        <v>117.22842799999999</v>
      </c>
      <c r="F4" s="508">
        <f>C4*E4/1000</f>
        <v>14.770781927999998</v>
      </c>
      <c r="G4" s="351">
        <f>C4*D4*E4/1000</f>
        <v>177.24938313599998</v>
      </c>
      <c r="H4" s="347">
        <f>REPORT!M19</f>
        <v>120</v>
      </c>
      <c r="I4" s="350">
        <f>H4/I3</f>
        <v>0.32876712328767121</v>
      </c>
      <c r="J4" s="337" t="s">
        <v>787</v>
      </c>
      <c r="K4" s="338">
        <f>G4*H4</f>
        <v>21269.925976319999</v>
      </c>
      <c r="L4" s="336" t="s">
        <v>0</v>
      </c>
      <c r="M4" s="1393"/>
      <c r="N4" s="1394">
        <f>MAX(0, (10-REPORT!H24)*SCHEDULES!H4)</f>
        <v>0</v>
      </c>
      <c r="O4" s="1392" t="s">
        <v>908</v>
      </c>
      <c r="P4" s="1393"/>
      <c r="Q4" s="498"/>
      <c r="R4" s="498"/>
      <c r="S4" s="271"/>
      <c r="T4" s="810"/>
      <c r="U4" s="811" t="s">
        <v>1615</v>
      </c>
      <c r="V4" s="811">
        <v>261</v>
      </c>
      <c r="W4" s="808"/>
      <c r="X4" s="812">
        <f>V4/1.1</f>
        <v>237.27272727272725</v>
      </c>
      <c r="Y4" s="812">
        <f>V4/1.2</f>
        <v>217.5</v>
      </c>
      <c r="Z4" s="812">
        <f>V4/1.4</f>
        <v>186.42857142857144</v>
      </c>
      <c r="AA4" s="812">
        <f>V4/1.7</f>
        <v>153.52941176470588</v>
      </c>
      <c r="AB4" s="838">
        <v>0.94</v>
      </c>
      <c r="AC4" s="839">
        <f>AB4*277.778</f>
        <v>261.11131999999998</v>
      </c>
      <c r="AD4" s="811">
        <v>1</v>
      </c>
      <c r="AE4" s="271"/>
      <c r="AF4" s="271"/>
      <c r="AG4" s="271"/>
      <c r="AH4" s="271"/>
      <c r="AI4" s="271"/>
      <c r="AJ4" s="271"/>
      <c r="AK4" s="271"/>
      <c r="AL4" s="271"/>
      <c r="AM4" s="271"/>
      <c r="AN4" s="271"/>
      <c r="AO4" s="271"/>
    </row>
    <row r="5" spans="2:41" ht="14">
      <c r="B5" s="336"/>
      <c r="C5" s="339" t="s">
        <v>279</v>
      </c>
      <c r="D5" s="340" t="s">
        <v>280</v>
      </c>
      <c r="E5" s="336" t="s">
        <v>282</v>
      </c>
      <c r="F5" s="509"/>
      <c r="G5" s="336" t="s">
        <v>283</v>
      </c>
      <c r="H5" s="336" t="s">
        <v>328</v>
      </c>
      <c r="I5" s="339"/>
      <c r="J5" s="336"/>
      <c r="K5" s="341"/>
      <c r="L5" s="336"/>
      <c r="M5" s="1393"/>
      <c r="N5" s="1394">
        <f>(10-REPORT!H24)*SCHEDULES!H4</f>
        <v>-1680</v>
      </c>
      <c r="O5" s="1392" t="s">
        <v>909</v>
      </c>
      <c r="P5" s="1393"/>
      <c r="Q5" s="498"/>
      <c r="R5" s="498"/>
      <c r="S5" s="271"/>
      <c r="T5" s="826"/>
      <c r="U5" s="827" t="s">
        <v>1616</v>
      </c>
      <c r="V5" s="827">
        <v>400</v>
      </c>
      <c r="W5" s="828"/>
      <c r="X5" s="829">
        <f t="shared" ref="X5:X8" si="0">V5/1.1</f>
        <v>363.63636363636363</v>
      </c>
      <c r="Y5" s="829">
        <f t="shared" ref="Y5:Y8" si="1">V5/1.2</f>
        <v>333.33333333333337</v>
      </c>
      <c r="Z5" s="829">
        <f t="shared" ref="Z5:Z8" si="2">V5/1.4</f>
        <v>285.71428571428572</v>
      </c>
      <c r="AA5" s="829">
        <f t="shared" ref="AA5:AA8" si="3">V5/1.7</f>
        <v>235.29411764705884</v>
      </c>
      <c r="AB5" s="1642">
        <v>0.87</v>
      </c>
      <c r="AC5" s="1643">
        <f>AB5*277.778</f>
        <v>241.66686000000001</v>
      </c>
      <c r="AD5" s="827">
        <v>1</v>
      </c>
      <c r="AE5" s="271"/>
      <c r="AF5" s="271"/>
      <c r="AG5" s="271"/>
      <c r="AH5" s="271"/>
      <c r="AI5" s="271"/>
      <c r="AJ5" s="271"/>
      <c r="AK5" s="271"/>
      <c r="AL5" s="271"/>
      <c r="AM5" s="271"/>
      <c r="AN5" s="271"/>
      <c r="AO5" s="271"/>
    </row>
    <row r="6" spans="2:41" ht="14">
      <c r="B6" s="335" t="s">
        <v>325</v>
      </c>
      <c r="C6" s="775">
        <f>IF(REPORT!D$63=0, 0.00001, REPORT!D$63)</f>
        <v>126</v>
      </c>
      <c r="D6" s="517">
        <f>REPORT!G63</f>
        <v>12</v>
      </c>
      <c r="E6" s="518">
        <f>IF(REPORT!D64="Relaxed",SCHEDULES!G32,IF(REPORT!D64="Normal",G34,IF(REPORT!D64="Active",G39,IF(REPORT!D64="Hyperactive",G43))))</f>
        <v>117.22842799999999</v>
      </c>
      <c r="F6" s="508">
        <f>C6*E6/1000</f>
        <v>14.770781927999998</v>
      </c>
      <c r="G6" s="351">
        <f>C6*D6*E6/1000</f>
        <v>177.24938313599998</v>
      </c>
      <c r="H6" s="337">
        <f>365-H4</f>
        <v>245</v>
      </c>
      <c r="I6" s="350">
        <f>H6/I3</f>
        <v>0.67123287671232879</v>
      </c>
      <c r="J6" s="337" t="s">
        <v>788</v>
      </c>
      <c r="K6" s="338">
        <f>G6*H6</f>
        <v>43426.098868319998</v>
      </c>
      <c r="L6" s="336" t="s">
        <v>0</v>
      </c>
      <c r="M6" s="1393"/>
      <c r="N6" s="1395"/>
      <c r="O6" s="1391"/>
      <c r="P6" s="1393"/>
      <c r="Q6" s="498"/>
      <c r="R6" s="498"/>
      <c r="S6" s="271"/>
      <c r="T6" s="810"/>
      <c r="U6" s="811" t="s">
        <v>1617</v>
      </c>
      <c r="V6" s="811">
        <v>251</v>
      </c>
      <c r="W6" s="808"/>
      <c r="X6" s="812">
        <f t="shared" si="0"/>
        <v>228.18181818181816</v>
      </c>
      <c r="Y6" s="812">
        <f t="shared" si="1"/>
        <v>209.16666666666669</v>
      </c>
      <c r="Z6" s="812">
        <f t="shared" si="2"/>
        <v>179.28571428571431</v>
      </c>
      <c r="AA6" s="812">
        <f t="shared" si="3"/>
        <v>147.64705882352942</v>
      </c>
      <c r="AB6" s="1642">
        <v>0.87</v>
      </c>
      <c r="AC6" s="1643">
        <f>AB6*277.778</f>
        <v>241.66686000000001</v>
      </c>
      <c r="AD6" s="811">
        <v>1</v>
      </c>
      <c r="AE6" s="271"/>
      <c r="AF6" s="271"/>
      <c r="AG6" s="271"/>
      <c r="AH6" s="271"/>
      <c r="AI6" s="271"/>
      <c r="AJ6" s="271"/>
      <c r="AK6" s="271"/>
      <c r="AL6" s="271"/>
      <c r="AM6" s="271"/>
      <c r="AN6" s="271"/>
      <c r="AO6" s="271"/>
    </row>
    <row r="7" spans="2:41" ht="14">
      <c r="B7" s="336"/>
      <c r="C7" s="339"/>
      <c r="D7" s="336"/>
      <c r="E7" s="336"/>
      <c r="F7" s="510"/>
      <c r="G7" s="336"/>
      <c r="H7" s="336"/>
      <c r="I7" s="340"/>
      <c r="J7" s="336"/>
      <c r="K7" s="336"/>
      <c r="L7" s="336"/>
      <c r="M7" s="1393"/>
      <c r="N7" s="1393"/>
      <c r="O7" s="1393"/>
      <c r="P7" s="1393"/>
      <c r="Q7" s="498"/>
      <c r="R7" s="498"/>
      <c r="S7" s="271"/>
      <c r="T7" s="821"/>
      <c r="U7" s="822" t="s">
        <v>1618</v>
      </c>
      <c r="V7" s="822">
        <v>305</v>
      </c>
      <c r="W7" s="823"/>
      <c r="X7" s="824">
        <f t="shared" si="0"/>
        <v>277.27272727272725</v>
      </c>
      <c r="Y7" s="824">
        <f t="shared" si="1"/>
        <v>254.16666666666669</v>
      </c>
      <c r="Z7" s="824">
        <f t="shared" si="2"/>
        <v>217.85714285714286</v>
      </c>
      <c r="AA7" s="824">
        <f t="shared" si="3"/>
        <v>179.41176470588235</v>
      </c>
      <c r="AB7" s="1642">
        <v>0.87</v>
      </c>
      <c r="AC7" s="1643">
        <f>AB7*277.778</f>
        <v>241.66686000000001</v>
      </c>
      <c r="AD7" s="822">
        <v>1</v>
      </c>
      <c r="AE7" s="271"/>
      <c r="AF7" s="271"/>
      <c r="AG7" s="271"/>
      <c r="AH7" s="271"/>
      <c r="AI7" s="271"/>
      <c r="AJ7" s="271"/>
      <c r="AK7" s="271"/>
      <c r="AL7" s="271"/>
      <c r="AM7" s="271"/>
      <c r="AN7" s="271"/>
      <c r="AO7" s="271"/>
    </row>
    <row r="8" spans="2:41" ht="20" customHeight="1">
      <c r="B8" s="336" t="s">
        <v>352</v>
      </c>
      <c r="C8" s="339"/>
      <c r="D8" s="336">
        <f>D4*H4+D6*H6</f>
        <v>4380</v>
      </c>
      <c r="E8" s="336"/>
      <c r="F8" s="510"/>
      <c r="G8" s="336"/>
      <c r="H8" s="336">
        <f>H4+H6</f>
        <v>365</v>
      </c>
      <c r="I8" s="493" t="s">
        <v>349</v>
      </c>
      <c r="J8" s="494"/>
      <c r="K8" s="342">
        <f>SUM(K4:K6)</f>
        <v>64696.024844639993</v>
      </c>
      <c r="L8" s="336" t="s">
        <v>0</v>
      </c>
      <c r="M8" s="1393"/>
      <c r="N8" s="1393"/>
      <c r="O8" s="1393"/>
      <c r="P8" s="1393"/>
      <c r="Q8" s="498"/>
      <c r="R8" s="498"/>
      <c r="S8" s="271"/>
      <c r="T8" s="810"/>
      <c r="U8" s="811" t="s">
        <v>1619</v>
      </c>
      <c r="V8" s="811">
        <v>352</v>
      </c>
      <c r="W8" s="808"/>
      <c r="X8" s="812">
        <f t="shared" si="0"/>
        <v>320</v>
      </c>
      <c r="Y8" s="812">
        <f t="shared" si="1"/>
        <v>293.33333333333337</v>
      </c>
      <c r="Z8" s="812">
        <f t="shared" si="2"/>
        <v>251.42857142857144</v>
      </c>
      <c r="AA8" s="812">
        <f t="shared" si="3"/>
        <v>207.05882352941177</v>
      </c>
      <c r="AB8" s="1642">
        <v>0.87</v>
      </c>
      <c r="AC8" s="1643">
        <f t="shared" ref="AC8" si="4">AB8*277.778</f>
        <v>241.66686000000001</v>
      </c>
      <c r="AD8" s="811">
        <v>1</v>
      </c>
      <c r="AE8" s="271"/>
      <c r="AF8" s="271"/>
      <c r="AG8" s="271"/>
      <c r="AH8" s="271"/>
      <c r="AI8" s="271"/>
      <c r="AJ8" s="271"/>
      <c r="AK8" s="271"/>
      <c r="AL8" s="271"/>
      <c r="AM8" s="271"/>
      <c r="AN8" s="271"/>
      <c r="AO8" s="271"/>
    </row>
    <row r="9" spans="2:41" ht="30" customHeight="1">
      <c r="B9" s="507"/>
      <c r="C9" s="497"/>
      <c r="D9" s="497"/>
      <c r="E9" s="497"/>
      <c r="F9" s="497"/>
      <c r="G9" s="497"/>
      <c r="H9" s="497"/>
      <c r="I9" s="497"/>
      <c r="J9" s="497"/>
      <c r="K9" s="336"/>
      <c r="L9" s="271"/>
      <c r="M9" s="271"/>
      <c r="N9" s="499" t="s">
        <v>631</v>
      </c>
      <c r="O9" s="263" t="s">
        <v>671</v>
      </c>
      <c r="P9" s="265" t="s">
        <v>785</v>
      </c>
      <c r="Q9" s="265" t="s">
        <v>786</v>
      </c>
      <c r="R9" s="498"/>
      <c r="S9" s="271"/>
      <c r="T9" s="832" t="s">
        <v>264</v>
      </c>
      <c r="U9" s="833"/>
      <c r="V9" s="834"/>
      <c r="W9" s="835">
        <f>AVERAGE(V10:V16)</f>
        <v>918.42857142857144</v>
      </c>
      <c r="X9" s="835">
        <f>W9/1.1</f>
        <v>834.93506493506493</v>
      </c>
      <c r="Y9" s="835">
        <f>W9/1.2</f>
        <v>765.35714285714289</v>
      </c>
      <c r="Z9" s="835">
        <f>W9/1.4</f>
        <v>656.02040816326542</v>
      </c>
      <c r="AA9" s="835">
        <f>W9/1.7</f>
        <v>540.2521008403362</v>
      </c>
      <c r="AB9" s="836"/>
      <c r="AC9" s="837">
        <f>AVERAGE(AC10:AC16)</f>
        <v>308.33358000000004</v>
      </c>
      <c r="AD9" s="833"/>
      <c r="AE9" s="271"/>
      <c r="AF9" s="271"/>
      <c r="AG9" s="271"/>
      <c r="AH9" s="271"/>
      <c r="AI9" s="271"/>
      <c r="AJ9" s="271"/>
      <c r="AK9" s="271"/>
      <c r="AL9" s="271"/>
      <c r="AM9" s="271"/>
      <c r="AN9" s="271"/>
      <c r="AO9" s="271"/>
    </row>
    <row r="10" spans="2:41" ht="12">
      <c r="B10" s="271"/>
      <c r="C10" s="272"/>
      <c r="D10" s="271"/>
      <c r="E10" s="271"/>
      <c r="F10" s="271"/>
      <c r="G10" s="271"/>
      <c r="H10" s="271"/>
      <c r="I10" s="271"/>
      <c r="J10" s="271"/>
      <c r="K10" s="271"/>
      <c r="L10" s="271"/>
      <c r="M10" s="271"/>
      <c r="N10" s="500">
        <v>1</v>
      </c>
      <c r="O10" s="293" t="s">
        <v>632</v>
      </c>
      <c r="P10" s="294">
        <v>275</v>
      </c>
      <c r="Q10" s="269"/>
      <c r="R10" s="498"/>
      <c r="S10" s="271"/>
      <c r="T10" s="810"/>
      <c r="U10" s="811" t="s">
        <v>1623</v>
      </c>
      <c r="V10" s="811">
        <v>779</v>
      </c>
      <c r="W10" s="808"/>
      <c r="X10" s="812">
        <f t="shared" ref="X10:X19" si="5">V10/1.1</f>
        <v>708.18181818181813</v>
      </c>
      <c r="Y10" s="812">
        <f t="shared" ref="Y10:Y19" si="6">V10/1.2</f>
        <v>649.16666666666674</v>
      </c>
      <c r="Z10" s="812">
        <f t="shared" ref="Z10:Z19" si="7">V10/1.4</f>
        <v>556.42857142857144</v>
      </c>
      <c r="AA10" s="812">
        <f t="shared" ref="AA10:AA19" si="8">V10/1.7</f>
        <v>458.23529411764707</v>
      </c>
      <c r="AB10" s="838">
        <v>1.07</v>
      </c>
      <c r="AC10" s="839">
        <f t="shared" ref="AC10:AC19" si="9">AB10*277.778</f>
        <v>297.22246000000001</v>
      </c>
      <c r="AD10" s="811">
        <v>1</v>
      </c>
      <c r="AE10" s="271"/>
      <c r="AF10" s="271"/>
      <c r="AG10" s="271"/>
      <c r="AH10" s="271"/>
      <c r="AI10" s="271"/>
      <c r="AJ10" s="271"/>
      <c r="AK10" s="271"/>
      <c r="AL10" s="271"/>
      <c r="AM10" s="271"/>
      <c r="AN10" s="271"/>
      <c r="AO10" s="271"/>
    </row>
    <row r="11" spans="2:41" ht="12">
      <c r="B11" s="271"/>
      <c r="C11" s="272"/>
      <c r="D11" s="271"/>
      <c r="E11" s="271"/>
      <c r="F11" s="271"/>
      <c r="G11" s="271"/>
      <c r="H11" s="271"/>
      <c r="I11" s="271"/>
      <c r="J11" s="271"/>
      <c r="K11" s="271"/>
      <c r="L11" s="271"/>
      <c r="M11" s="271"/>
      <c r="N11" s="500">
        <v>2</v>
      </c>
      <c r="O11" s="267" t="s">
        <v>633</v>
      </c>
      <c r="P11" s="294"/>
      <c r="Q11" s="269"/>
      <c r="R11" s="498"/>
      <c r="S11" s="271"/>
      <c r="T11" s="826"/>
      <c r="U11" s="827" t="s">
        <v>1624</v>
      </c>
      <c r="V11" s="827">
        <v>727</v>
      </c>
      <c r="W11" s="828"/>
      <c r="X11" s="829">
        <f t="shared" si="5"/>
        <v>660.90909090909088</v>
      </c>
      <c r="Y11" s="829">
        <f t="shared" si="6"/>
        <v>605.83333333333337</v>
      </c>
      <c r="Z11" s="829">
        <f t="shared" si="7"/>
        <v>519.28571428571433</v>
      </c>
      <c r="AA11" s="829">
        <f t="shared" si="8"/>
        <v>427.64705882352945</v>
      </c>
      <c r="AB11" s="1642">
        <v>1.07</v>
      </c>
      <c r="AC11" s="1643">
        <f t="shared" si="9"/>
        <v>297.22246000000001</v>
      </c>
      <c r="AD11" s="827">
        <v>1</v>
      </c>
      <c r="AE11" s="271"/>
      <c r="AF11" s="271"/>
      <c r="AG11" s="271"/>
      <c r="AH11" s="271"/>
      <c r="AI11" s="271"/>
      <c r="AJ11" s="271"/>
      <c r="AK11" s="271"/>
      <c r="AL11" s="271"/>
      <c r="AM11" s="271"/>
      <c r="AN11" s="271"/>
      <c r="AO11" s="271"/>
    </row>
    <row r="12" spans="2:41" ht="36">
      <c r="B12" s="1677" t="s">
        <v>257</v>
      </c>
      <c r="C12" s="258" t="s">
        <v>629</v>
      </c>
      <c r="D12" s="258" t="s">
        <v>630</v>
      </c>
      <c r="E12" s="258" t="s">
        <v>270</v>
      </c>
      <c r="F12" s="258" t="s">
        <v>1681</v>
      </c>
      <c r="G12" s="271"/>
      <c r="H12" s="271"/>
      <c r="I12" s="1676" t="s">
        <v>584</v>
      </c>
      <c r="J12" s="262" t="s">
        <v>574</v>
      </c>
      <c r="K12" s="262" t="s">
        <v>573</v>
      </c>
      <c r="L12" s="271"/>
      <c r="M12" s="271"/>
      <c r="N12" s="501" t="s">
        <v>634</v>
      </c>
      <c r="O12" s="295" t="s">
        <v>635</v>
      </c>
      <c r="P12" s="294">
        <v>200</v>
      </c>
      <c r="Q12" s="269"/>
      <c r="R12" s="498"/>
      <c r="S12" s="271"/>
      <c r="T12" s="810"/>
      <c r="U12" s="811" t="s">
        <v>1625</v>
      </c>
      <c r="V12" s="811">
        <v>688</v>
      </c>
      <c r="W12" s="808"/>
      <c r="X12" s="812">
        <f t="shared" si="5"/>
        <v>625.45454545454538</v>
      </c>
      <c r="Y12" s="812">
        <f t="shared" si="6"/>
        <v>573.33333333333337</v>
      </c>
      <c r="Z12" s="812">
        <f t="shared" si="7"/>
        <v>491.42857142857144</v>
      </c>
      <c r="AA12" s="812">
        <f t="shared" si="8"/>
        <v>404.70588235294116</v>
      </c>
      <c r="AB12" s="1642">
        <v>1.07</v>
      </c>
      <c r="AC12" s="1643">
        <f t="shared" si="9"/>
        <v>297.22246000000001</v>
      </c>
      <c r="AD12" s="811">
        <v>1</v>
      </c>
      <c r="AE12" s="271"/>
      <c r="AF12" s="271"/>
      <c r="AG12" s="271"/>
      <c r="AH12" s="271"/>
      <c r="AI12" s="271"/>
      <c r="AJ12" s="271"/>
      <c r="AK12" s="271"/>
      <c r="AL12" s="271"/>
      <c r="AM12" s="271"/>
      <c r="AN12" s="271"/>
      <c r="AO12" s="271"/>
    </row>
    <row r="13" spans="2:41" ht="12">
      <c r="B13" s="7" t="s">
        <v>258</v>
      </c>
      <c r="C13" s="8">
        <v>18</v>
      </c>
      <c r="D13" s="8">
        <v>24</v>
      </c>
      <c r="E13" s="8" t="s">
        <v>267</v>
      </c>
      <c r="F13" s="845">
        <f>W26</f>
        <v>276.5</v>
      </c>
      <c r="G13" s="271"/>
      <c r="H13" s="271"/>
      <c r="I13" s="286" t="s">
        <v>585</v>
      </c>
      <c r="J13" s="287">
        <v>5</v>
      </c>
      <c r="K13" s="287">
        <v>7</v>
      </c>
      <c r="L13" s="271"/>
      <c r="M13" s="271"/>
      <c r="N13" s="501" t="s">
        <v>634</v>
      </c>
      <c r="O13" s="295" t="s">
        <v>636</v>
      </c>
      <c r="P13" s="294">
        <v>150</v>
      </c>
      <c r="Q13" s="269"/>
      <c r="R13" s="498"/>
      <c r="S13" s="271"/>
      <c r="T13" s="810"/>
      <c r="U13" s="811" t="s">
        <v>1626</v>
      </c>
      <c r="V13" s="811">
        <v>410</v>
      </c>
      <c r="W13" s="808"/>
      <c r="X13" s="812">
        <f t="shared" si="5"/>
        <v>372.72727272727269</v>
      </c>
      <c r="Y13" s="812">
        <f t="shared" si="6"/>
        <v>341.66666666666669</v>
      </c>
      <c r="Z13" s="812">
        <f t="shared" si="7"/>
        <v>292.85714285714289</v>
      </c>
      <c r="AA13" s="812">
        <f t="shared" si="8"/>
        <v>241.1764705882353</v>
      </c>
      <c r="AB13" s="1642">
        <v>0.72</v>
      </c>
      <c r="AC13" s="1643">
        <f t="shared" si="9"/>
        <v>200.00015999999999</v>
      </c>
      <c r="AD13" s="811">
        <v>1</v>
      </c>
      <c r="AE13" s="271"/>
      <c r="AF13" s="271"/>
      <c r="AG13" s="271"/>
      <c r="AH13" s="271"/>
      <c r="AI13" s="271"/>
      <c r="AJ13" s="271"/>
      <c r="AK13" s="271"/>
      <c r="AL13" s="271"/>
      <c r="AM13" s="271"/>
      <c r="AN13" s="271"/>
      <c r="AO13" s="271"/>
    </row>
    <row r="14" spans="2:41" ht="12">
      <c r="B14" s="7" t="s">
        <v>259</v>
      </c>
      <c r="C14" s="8">
        <v>18</v>
      </c>
      <c r="D14" s="8">
        <v>24</v>
      </c>
      <c r="E14" s="8" t="s">
        <v>267</v>
      </c>
      <c r="F14" s="845">
        <f>AC59</f>
        <v>238.88908000000001</v>
      </c>
      <c r="G14" s="271"/>
      <c r="H14" s="271"/>
      <c r="I14" s="286" t="s">
        <v>576</v>
      </c>
      <c r="J14" s="288">
        <v>7</v>
      </c>
      <c r="K14" s="288">
        <v>9</v>
      </c>
      <c r="L14" s="271"/>
      <c r="M14" s="271"/>
      <c r="N14" s="501" t="s">
        <v>637</v>
      </c>
      <c r="O14" s="295" t="s">
        <v>638</v>
      </c>
      <c r="P14" s="294">
        <v>40</v>
      </c>
      <c r="Q14" s="269"/>
      <c r="R14" s="498"/>
      <c r="S14" s="271"/>
      <c r="T14" s="810"/>
      <c r="U14" s="811" t="s">
        <v>1627</v>
      </c>
      <c r="V14" s="811">
        <v>1721</v>
      </c>
      <c r="W14" s="808"/>
      <c r="X14" s="812">
        <f t="shared" si="5"/>
        <v>1564.5454545454545</v>
      </c>
      <c r="Y14" s="812">
        <f t="shared" si="6"/>
        <v>1434.1666666666667</v>
      </c>
      <c r="Z14" s="812">
        <f t="shared" si="7"/>
        <v>1229.2857142857144</v>
      </c>
      <c r="AA14" s="812">
        <f t="shared" si="8"/>
        <v>1012.3529411764706</v>
      </c>
      <c r="AB14" s="1642">
        <v>1.28</v>
      </c>
      <c r="AC14" s="1643">
        <f t="shared" si="9"/>
        <v>355.55584000000005</v>
      </c>
      <c r="AD14" s="811">
        <v>1</v>
      </c>
      <c r="AE14" s="271"/>
      <c r="AF14" s="271"/>
      <c r="AG14" s="271"/>
      <c r="AH14" s="271"/>
      <c r="AI14" s="271"/>
      <c r="AJ14" s="271"/>
      <c r="AK14" s="271"/>
      <c r="AL14" s="271"/>
      <c r="AM14" s="271"/>
      <c r="AN14" s="271"/>
      <c r="AO14" s="271"/>
    </row>
    <row r="15" spans="2:41" ht="12">
      <c r="B15" s="7" t="s">
        <v>260</v>
      </c>
      <c r="C15" s="8">
        <v>22</v>
      </c>
      <c r="D15" s="8">
        <v>24</v>
      </c>
      <c r="E15" s="8" t="s">
        <v>266</v>
      </c>
      <c r="F15" s="845">
        <f>W20</f>
        <v>357</v>
      </c>
      <c r="G15" s="271"/>
      <c r="H15" s="271"/>
      <c r="I15" s="286" t="s">
        <v>586</v>
      </c>
      <c r="J15" s="288">
        <v>6</v>
      </c>
      <c r="K15" s="288">
        <v>8</v>
      </c>
      <c r="L15" s="271"/>
      <c r="M15" s="271"/>
      <c r="N15" s="501">
        <v>3</v>
      </c>
      <c r="O15" s="295" t="s">
        <v>639</v>
      </c>
      <c r="P15" s="294">
        <v>300</v>
      </c>
      <c r="Q15" s="269"/>
      <c r="R15" s="498"/>
      <c r="S15" s="271"/>
      <c r="T15" s="810"/>
      <c r="U15" s="811" t="s">
        <v>1628</v>
      </c>
      <c r="V15" s="811">
        <v>1131</v>
      </c>
      <c r="W15" s="808"/>
      <c r="X15" s="812">
        <f t="shared" si="5"/>
        <v>1028.181818181818</v>
      </c>
      <c r="Y15" s="812">
        <f t="shared" si="6"/>
        <v>942.5</v>
      </c>
      <c r="Z15" s="812">
        <f t="shared" si="7"/>
        <v>807.85714285714289</v>
      </c>
      <c r="AA15" s="812">
        <f t="shared" si="8"/>
        <v>665.2941176470589</v>
      </c>
      <c r="AB15" s="1642">
        <v>1.28</v>
      </c>
      <c r="AC15" s="1643">
        <f t="shared" si="9"/>
        <v>355.55584000000005</v>
      </c>
      <c r="AD15" s="811">
        <v>1</v>
      </c>
      <c r="AE15" s="271"/>
      <c r="AF15" s="271"/>
      <c r="AG15" s="271"/>
      <c r="AH15" s="271"/>
      <c r="AI15" s="271"/>
      <c r="AJ15" s="271"/>
      <c r="AK15" s="271"/>
      <c r="AL15" s="271"/>
      <c r="AM15" s="271"/>
      <c r="AN15" s="271"/>
      <c r="AO15" s="271"/>
    </row>
    <row r="16" spans="2:41" ht="12">
      <c r="B16" s="7" t="s">
        <v>261</v>
      </c>
      <c r="C16" s="8">
        <v>22</v>
      </c>
      <c r="D16" s="8">
        <v>24</v>
      </c>
      <c r="E16" s="8" t="s">
        <v>266</v>
      </c>
      <c r="F16" s="845">
        <f>W20</f>
        <v>357</v>
      </c>
      <c r="G16" s="271"/>
      <c r="H16" s="271"/>
      <c r="I16" s="286" t="s">
        <v>577</v>
      </c>
      <c r="J16" s="288">
        <v>8</v>
      </c>
      <c r="K16" s="288">
        <v>10</v>
      </c>
      <c r="L16" s="271"/>
      <c r="M16" s="271"/>
      <c r="N16" s="500">
        <v>4</v>
      </c>
      <c r="O16" s="267" t="s">
        <v>640</v>
      </c>
      <c r="P16" s="294"/>
      <c r="Q16" s="269"/>
      <c r="R16" s="498"/>
      <c r="S16" s="271"/>
      <c r="T16" s="810"/>
      <c r="U16" s="811" t="s">
        <v>1629</v>
      </c>
      <c r="V16" s="811">
        <v>973</v>
      </c>
      <c r="W16" s="808"/>
      <c r="X16" s="812">
        <f t="shared" si="5"/>
        <v>884.5454545454545</v>
      </c>
      <c r="Y16" s="812">
        <f t="shared" si="6"/>
        <v>810.83333333333337</v>
      </c>
      <c r="Z16" s="812">
        <f t="shared" si="7"/>
        <v>695</v>
      </c>
      <c r="AA16" s="812">
        <f t="shared" si="8"/>
        <v>572.35294117647061</v>
      </c>
      <c r="AB16" s="1642">
        <v>1.28</v>
      </c>
      <c r="AC16" s="1643">
        <f t="shared" si="9"/>
        <v>355.55584000000005</v>
      </c>
      <c r="AD16" s="811">
        <v>1</v>
      </c>
      <c r="AE16" s="271"/>
      <c r="AF16" s="271"/>
      <c r="AG16" s="271"/>
      <c r="AH16" s="271"/>
      <c r="AI16" s="271"/>
      <c r="AJ16" s="271"/>
      <c r="AK16" s="271"/>
      <c r="AL16" s="271"/>
      <c r="AM16" s="271"/>
      <c r="AN16" s="271"/>
      <c r="AO16" s="271"/>
    </row>
    <row r="17" spans="2:41" ht="12">
      <c r="B17" s="7" t="s">
        <v>262</v>
      </c>
      <c r="C17" s="8">
        <v>22</v>
      </c>
      <c r="D17" s="8">
        <v>24</v>
      </c>
      <c r="E17" s="8" t="s">
        <v>267</v>
      </c>
      <c r="F17" s="845">
        <f>W48</f>
        <v>262</v>
      </c>
      <c r="G17" s="271"/>
      <c r="H17" s="271"/>
      <c r="I17" s="286" t="s">
        <v>587</v>
      </c>
      <c r="J17" s="287">
        <v>15</v>
      </c>
      <c r="K17" s="287">
        <v>18</v>
      </c>
      <c r="L17" s="271"/>
      <c r="M17" s="271"/>
      <c r="N17" s="501" t="s">
        <v>641</v>
      </c>
      <c r="O17" s="295" t="s">
        <v>642</v>
      </c>
      <c r="P17" s="269"/>
      <c r="Q17" s="294">
        <v>750</v>
      </c>
      <c r="R17" s="498"/>
      <c r="S17" s="271"/>
      <c r="T17" s="810"/>
      <c r="U17" s="811" t="s">
        <v>1620</v>
      </c>
      <c r="V17" s="811">
        <v>342</v>
      </c>
      <c r="W17" s="843">
        <f>AVERAGE(V17:V19)</f>
        <v>285.33333333333331</v>
      </c>
      <c r="X17" s="812">
        <f t="shared" si="5"/>
        <v>310.90909090909088</v>
      </c>
      <c r="Y17" s="812">
        <f t="shared" si="6"/>
        <v>285</v>
      </c>
      <c r="Z17" s="812">
        <f t="shared" si="7"/>
        <v>244.28571428571431</v>
      </c>
      <c r="AA17" s="812">
        <f t="shared" si="8"/>
        <v>201.1764705882353</v>
      </c>
      <c r="AB17" s="1642">
        <v>0.82</v>
      </c>
      <c r="AC17" s="1643">
        <f t="shared" si="9"/>
        <v>227.77796000000001</v>
      </c>
      <c r="AD17" s="811">
        <v>1</v>
      </c>
      <c r="AE17" s="271"/>
      <c r="AF17" s="271"/>
      <c r="AG17" s="271"/>
      <c r="AH17" s="271"/>
      <c r="AI17" s="271"/>
      <c r="AJ17" s="271"/>
      <c r="AK17" s="271"/>
      <c r="AL17" s="271"/>
      <c r="AM17" s="271"/>
      <c r="AN17" s="271"/>
      <c r="AO17" s="271"/>
    </row>
    <row r="18" spans="2:41" ht="12">
      <c r="B18" s="7" t="s">
        <v>263</v>
      </c>
      <c r="C18" s="8">
        <v>18</v>
      </c>
      <c r="D18" s="8">
        <v>24</v>
      </c>
      <c r="E18" s="8" t="s">
        <v>267</v>
      </c>
      <c r="F18" s="845">
        <f>W3</f>
        <v>313.8</v>
      </c>
      <c r="G18" s="271"/>
      <c r="H18" s="271"/>
      <c r="I18" s="286" t="s">
        <v>578</v>
      </c>
      <c r="J18" s="288">
        <v>20</v>
      </c>
      <c r="K18" s="288">
        <v>25</v>
      </c>
      <c r="L18" s="271"/>
      <c r="M18" s="271"/>
      <c r="N18" s="501" t="s">
        <v>643</v>
      </c>
      <c r="O18" s="295" t="s">
        <v>644</v>
      </c>
      <c r="P18" s="269"/>
      <c r="Q18" s="294">
        <v>1100</v>
      </c>
      <c r="R18" s="498"/>
      <c r="S18" s="271"/>
      <c r="T18" s="821"/>
      <c r="U18" s="822" t="s">
        <v>1621</v>
      </c>
      <c r="V18" s="822">
        <v>279</v>
      </c>
      <c r="W18" s="823"/>
      <c r="X18" s="824">
        <f t="shared" si="5"/>
        <v>253.63636363636363</v>
      </c>
      <c r="Y18" s="824">
        <f t="shared" si="6"/>
        <v>232.5</v>
      </c>
      <c r="Z18" s="824">
        <f t="shared" si="7"/>
        <v>199.28571428571431</v>
      </c>
      <c r="AA18" s="824">
        <f t="shared" si="8"/>
        <v>164.11764705882354</v>
      </c>
      <c r="AB18" s="1642">
        <v>0.85</v>
      </c>
      <c r="AC18" s="1643">
        <f t="shared" si="9"/>
        <v>236.1113</v>
      </c>
      <c r="AD18" s="822">
        <v>1</v>
      </c>
      <c r="AE18" s="271"/>
      <c r="AF18" s="271"/>
      <c r="AG18" s="271"/>
      <c r="AH18" s="271"/>
      <c r="AI18" s="271"/>
      <c r="AJ18" s="271"/>
      <c r="AK18" s="271"/>
      <c r="AL18" s="271"/>
      <c r="AM18" s="271"/>
      <c r="AN18" s="271"/>
      <c r="AO18" s="271"/>
    </row>
    <row r="19" spans="2:41" ht="12">
      <c r="B19" s="7" t="s">
        <v>264</v>
      </c>
      <c r="C19" s="8">
        <v>18</v>
      </c>
      <c r="D19" s="8">
        <v>24</v>
      </c>
      <c r="E19" s="8" t="s">
        <v>267</v>
      </c>
      <c r="F19" s="845">
        <f>W17</f>
        <v>285.33333333333331</v>
      </c>
      <c r="G19" s="271"/>
      <c r="H19" s="271"/>
      <c r="I19" s="286" t="s">
        <v>594</v>
      </c>
      <c r="J19" s="287">
        <v>12</v>
      </c>
      <c r="K19" s="287">
        <v>14</v>
      </c>
      <c r="L19" s="271"/>
      <c r="M19" s="271"/>
      <c r="N19" s="501" t="s">
        <v>645</v>
      </c>
      <c r="O19" s="295" t="s">
        <v>646</v>
      </c>
      <c r="P19" s="269"/>
      <c r="Q19" s="294">
        <v>1600</v>
      </c>
      <c r="R19" s="498"/>
      <c r="S19" s="271"/>
      <c r="T19" s="810"/>
      <c r="U19" s="811" t="s">
        <v>1622</v>
      </c>
      <c r="V19" s="811">
        <v>235</v>
      </c>
      <c r="W19" s="808"/>
      <c r="X19" s="812">
        <f t="shared" si="5"/>
        <v>213.63636363636363</v>
      </c>
      <c r="Y19" s="812">
        <f t="shared" si="6"/>
        <v>195.83333333333334</v>
      </c>
      <c r="Z19" s="812">
        <f t="shared" si="7"/>
        <v>167.85714285714286</v>
      </c>
      <c r="AA19" s="812">
        <f t="shared" si="8"/>
        <v>138.23529411764707</v>
      </c>
      <c r="AB19" s="1642">
        <v>1.07</v>
      </c>
      <c r="AC19" s="1643">
        <f t="shared" si="9"/>
        <v>297.22246000000001</v>
      </c>
      <c r="AD19" s="811">
        <v>1</v>
      </c>
      <c r="AE19" s="271"/>
      <c r="AF19" s="271"/>
      <c r="AG19" s="271"/>
      <c r="AH19" s="271"/>
      <c r="AI19" s="271"/>
      <c r="AJ19" s="271"/>
      <c r="AK19" s="271"/>
      <c r="AL19" s="271"/>
      <c r="AM19" s="271"/>
      <c r="AN19" s="271"/>
      <c r="AO19" s="271"/>
    </row>
    <row r="20" spans="2:41" ht="12">
      <c r="B20" s="7" t="s">
        <v>265</v>
      </c>
      <c r="C20" s="8">
        <v>18</v>
      </c>
      <c r="D20" s="8">
        <v>24</v>
      </c>
      <c r="E20" s="8" t="s">
        <v>267</v>
      </c>
      <c r="F20" s="845">
        <f>W39</f>
        <v>160.5</v>
      </c>
      <c r="G20" s="271"/>
      <c r="H20" s="271"/>
      <c r="I20" s="286" t="s">
        <v>579</v>
      </c>
      <c r="J20" s="288">
        <v>18</v>
      </c>
      <c r="K20" s="288">
        <v>20</v>
      </c>
      <c r="L20" s="271"/>
      <c r="M20" s="271"/>
      <c r="N20" s="501" t="s">
        <v>647</v>
      </c>
      <c r="O20" s="295" t="s">
        <v>648</v>
      </c>
      <c r="P20" s="269"/>
      <c r="Q20" s="294">
        <v>2000</v>
      </c>
      <c r="R20" s="498"/>
      <c r="S20" s="271"/>
      <c r="T20" s="832" t="s">
        <v>260</v>
      </c>
      <c r="U20" s="833"/>
      <c r="V20" s="834"/>
      <c r="W20" s="832">
        <v>357</v>
      </c>
      <c r="X20" s="835">
        <f>W20/1.1</f>
        <v>324.5454545454545</v>
      </c>
      <c r="Y20" s="835">
        <f>W20/1.2</f>
        <v>297.5</v>
      </c>
      <c r="Z20" s="835">
        <f>W20/1.4</f>
        <v>255.00000000000003</v>
      </c>
      <c r="AA20" s="835">
        <f>W20/1.7</f>
        <v>210</v>
      </c>
      <c r="AB20" s="836"/>
      <c r="AC20" s="837">
        <f>AVERAGE(AC21:AC25)</f>
        <v>312.77802800000006</v>
      </c>
      <c r="AD20" s="833"/>
      <c r="AE20" s="271"/>
      <c r="AF20" s="271"/>
      <c r="AG20" s="271"/>
      <c r="AH20" s="271"/>
      <c r="AI20" s="271"/>
      <c r="AJ20" s="271"/>
      <c r="AK20" s="271"/>
      <c r="AL20" s="271"/>
      <c r="AM20" s="271"/>
      <c r="AN20" s="271"/>
      <c r="AO20" s="271"/>
    </row>
    <row r="21" spans="2:41" ht="24" customHeight="1">
      <c r="B21" s="7" t="s">
        <v>1682</v>
      </c>
      <c r="C21" s="8">
        <v>18</v>
      </c>
      <c r="D21" s="8">
        <v>24</v>
      </c>
      <c r="E21" s="8" t="s">
        <v>267</v>
      </c>
      <c r="F21" s="845">
        <v>300</v>
      </c>
      <c r="G21" s="271"/>
      <c r="H21" s="271"/>
      <c r="I21" s="289" t="s">
        <v>588</v>
      </c>
      <c r="J21" s="287">
        <v>3</v>
      </c>
      <c r="K21" s="287">
        <v>4</v>
      </c>
      <c r="L21" s="271"/>
      <c r="M21" s="271"/>
      <c r="N21" s="501" t="s">
        <v>649</v>
      </c>
      <c r="O21" s="295" t="s">
        <v>650</v>
      </c>
      <c r="P21" s="269"/>
      <c r="Q21" s="294">
        <v>2500</v>
      </c>
      <c r="R21" s="498"/>
      <c r="S21" s="271"/>
      <c r="T21" s="810"/>
      <c r="U21" s="811" t="s">
        <v>1630</v>
      </c>
      <c r="V21" s="811">
        <v>290</v>
      </c>
      <c r="W21" s="808"/>
      <c r="X21" s="812">
        <f>V21/1.1</f>
        <v>263.63636363636363</v>
      </c>
      <c r="Y21" s="812">
        <f>V21/1.2</f>
        <v>241.66666666666669</v>
      </c>
      <c r="Z21" s="812">
        <f>V21/1.4</f>
        <v>207.14285714285717</v>
      </c>
      <c r="AA21" s="812">
        <f>V21/1.7</f>
        <v>170.58823529411765</v>
      </c>
      <c r="AB21" s="1642">
        <v>0.74</v>
      </c>
      <c r="AC21" s="1643">
        <f>AB21*277.778</f>
        <v>205.55572000000001</v>
      </c>
      <c r="AD21" s="811">
        <v>1</v>
      </c>
      <c r="AE21" s="271"/>
      <c r="AF21" s="271"/>
      <c r="AG21" s="271"/>
      <c r="AH21" s="271"/>
      <c r="AI21" s="271"/>
      <c r="AJ21" s="271"/>
      <c r="AK21" s="271"/>
      <c r="AL21" s="271"/>
      <c r="AM21" s="271"/>
      <c r="AN21" s="271"/>
      <c r="AO21" s="271"/>
    </row>
    <row r="22" spans="2:41" ht="12">
      <c r="B22" s="7" t="s">
        <v>1682</v>
      </c>
      <c r="C22" s="8">
        <v>18</v>
      </c>
      <c r="D22" s="8">
        <v>24</v>
      </c>
      <c r="E22" s="8" t="s">
        <v>267</v>
      </c>
      <c r="F22" s="845">
        <v>300</v>
      </c>
      <c r="G22" s="277"/>
      <c r="H22" s="277"/>
      <c r="I22" s="289" t="s">
        <v>580</v>
      </c>
      <c r="J22" s="288">
        <v>5</v>
      </c>
      <c r="K22" s="288">
        <v>6</v>
      </c>
      <c r="L22" s="271"/>
      <c r="M22" s="271"/>
      <c r="N22" s="500" t="s">
        <v>651</v>
      </c>
      <c r="O22" s="267" t="s">
        <v>652</v>
      </c>
      <c r="P22" s="294"/>
      <c r="Q22" s="269"/>
      <c r="R22" s="498"/>
      <c r="S22" s="271"/>
      <c r="T22" s="826"/>
      <c r="U22" s="827" t="s">
        <v>1631</v>
      </c>
      <c r="V22" s="827">
        <v>782</v>
      </c>
      <c r="W22" s="828"/>
      <c r="X22" s="829">
        <f>V22/1.1</f>
        <v>710.90909090909088</v>
      </c>
      <c r="Y22" s="829">
        <f>V22/1.2</f>
        <v>651.66666666666674</v>
      </c>
      <c r="Z22" s="829">
        <f>V22/1.4</f>
        <v>558.57142857142856</v>
      </c>
      <c r="AA22" s="829">
        <f>V22/1.7</f>
        <v>460</v>
      </c>
      <c r="AB22" s="1642">
        <v>2.2000000000000002</v>
      </c>
      <c r="AC22" s="1643">
        <f>AB22*277.778</f>
        <v>611.11160000000007</v>
      </c>
      <c r="AD22" s="827">
        <v>1</v>
      </c>
      <c r="AE22" s="271"/>
      <c r="AF22" s="271"/>
      <c r="AG22" s="271"/>
      <c r="AH22" s="271"/>
      <c r="AI22" s="271"/>
      <c r="AJ22" s="271"/>
      <c r="AK22" s="271"/>
      <c r="AL22" s="271"/>
      <c r="AM22" s="271"/>
      <c r="AN22" s="271"/>
      <c r="AO22" s="271"/>
    </row>
    <row r="23" spans="2:41" ht="12">
      <c r="B23" s="7" t="s">
        <v>1682</v>
      </c>
      <c r="C23" s="8">
        <v>18</v>
      </c>
      <c r="D23" s="8">
        <v>24</v>
      </c>
      <c r="E23" s="8" t="s">
        <v>267</v>
      </c>
      <c r="F23" s="845">
        <v>300</v>
      </c>
      <c r="G23" s="271"/>
      <c r="H23" s="271"/>
      <c r="I23" s="286" t="s">
        <v>589</v>
      </c>
      <c r="J23" s="287">
        <v>5</v>
      </c>
      <c r="K23" s="287">
        <v>7</v>
      </c>
      <c r="L23" s="271"/>
      <c r="M23" s="271"/>
      <c r="N23" s="501" t="s">
        <v>653</v>
      </c>
      <c r="O23" s="295" t="s">
        <v>654</v>
      </c>
      <c r="P23" s="269"/>
      <c r="Q23" s="294">
        <v>500</v>
      </c>
      <c r="R23" s="498"/>
      <c r="S23" s="271"/>
      <c r="T23" s="810"/>
      <c r="U23" s="811" t="s">
        <v>1632</v>
      </c>
      <c r="V23" s="811">
        <v>204</v>
      </c>
      <c r="W23" s="808"/>
      <c r="X23" s="812">
        <f>V23/1.1</f>
        <v>185.45454545454544</v>
      </c>
      <c r="Y23" s="812">
        <f>V23/1.2</f>
        <v>170</v>
      </c>
      <c r="Z23" s="812">
        <f>V23/1.4</f>
        <v>145.71428571428572</v>
      </c>
      <c r="AA23" s="812">
        <f>V23/1.7</f>
        <v>120</v>
      </c>
      <c r="AB23" s="1642">
        <v>0.74</v>
      </c>
      <c r="AC23" s="1643">
        <f>AB23*277.778</f>
        <v>205.55572000000001</v>
      </c>
      <c r="AD23" s="811">
        <v>1</v>
      </c>
      <c r="AE23" s="271"/>
      <c r="AF23" s="271"/>
      <c r="AG23" s="271"/>
      <c r="AH23" s="271"/>
      <c r="AI23" s="271"/>
      <c r="AJ23" s="271"/>
      <c r="AK23" s="271"/>
      <c r="AL23" s="271"/>
      <c r="AM23" s="271"/>
      <c r="AN23" s="271"/>
      <c r="AO23" s="271"/>
    </row>
    <row r="24" spans="2:41" ht="12">
      <c r="B24" s="7" t="s">
        <v>1682</v>
      </c>
      <c r="C24" s="8">
        <v>18</v>
      </c>
      <c r="D24" s="8">
        <v>24</v>
      </c>
      <c r="E24" s="8" t="s">
        <v>267</v>
      </c>
      <c r="F24" s="845">
        <v>300</v>
      </c>
      <c r="G24" s="271"/>
      <c r="H24" s="271"/>
      <c r="I24" s="286" t="s">
        <v>581</v>
      </c>
      <c r="J24" s="288">
        <v>7</v>
      </c>
      <c r="K24" s="288">
        <v>10</v>
      </c>
      <c r="L24" s="271"/>
      <c r="M24" s="271"/>
      <c r="N24" s="501" t="s">
        <v>655</v>
      </c>
      <c r="O24" s="295" t="s">
        <v>656</v>
      </c>
      <c r="P24" s="269"/>
      <c r="Q24" s="294">
        <v>100</v>
      </c>
      <c r="R24" s="498"/>
      <c r="S24" s="271"/>
      <c r="T24" s="821"/>
      <c r="U24" s="822" t="s">
        <v>1678</v>
      </c>
      <c r="V24" s="822">
        <v>428</v>
      </c>
      <c r="W24" s="823"/>
      <c r="X24" s="824">
        <f>V24/1.1</f>
        <v>389.09090909090907</v>
      </c>
      <c r="Y24" s="824">
        <f>V24/1.2</f>
        <v>356.66666666666669</v>
      </c>
      <c r="Z24" s="824">
        <f>V24/1.4</f>
        <v>305.71428571428572</v>
      </c>
      <c r="AA24" s="824">
        <f>V24/1.7</f>
        <v>251.76470588235296</v>
      </c>
      <c r="AB24" s="1642">
        <v>1.21</v>
      </c>
      <c r="AC24" s="1643">
        <f>AB24*277.778</f>
        <v>336.11138</v>
      </c>
      <c r="AD24" s="822">
        <v>1</v>
      </c>
      <c r="AE24" s="271"/>
      <c r="AF24" s="271"/>
      <c r="AG24" s="271"/>
      <c r="AH24" s="271"/>
      <c r="AI24" s="271"/>
      <c r="AJ24" s="271"/>
      <c r="AK24" s="271"/>
      <c r="AL24" s="271"/>
      <c r="AM24" s="271"/>
      <c r="AN24" s="271"/>
      <c r="AO24" s="271"/>
    </row>
    <row r="25" spans="2:41" ht="26" customHeight="1">
      <c r="B25" s="7" t="s">
        <v>1682</v>
      </c>
      <c r="C25" s="8">
        <v>18</v>
      </c>
      <c r="D25" s="8">
        <v>24</v>
      </c>
      <c r="E25" s="8" t="s">
        <v>267</v>
      </c>
      <c r="F25" s="845">
        <v>300</v>
      </c>
      <c r="G25" s="271"/>
      <c r="H25" s="273"/>
      <c r="I25" s="286" t="s">
        <v>590</v>
      </c>
      <c r="J25" s="287">
        <v>10</v>
      </c>
      <c r="K25" s="287">
        <v>12</v>
      </c>
      <c r="L25" s="273"/>
      <c r="M25" s="273"/>
      <c r="N25" s="501" t="s">
        <v>657</v>
      </c>
      <c r="O25" s="295" t="s">
        <v>658</v>
      </c>
      <c r="P25" s="269"/>
      <c r="Q25" s="294">
        <v>75</v>
      </c>
      <c r="R25" s="498"/>
      <c r="S25" s="271"/>
      <c r="T25" s="810"/>
      <c r="U25" s="811" t="s">
        <v>1633</v>
      </c>
      <c r="V25" s="811">
        <v>254</v>
      </c>
      <c r="W25" s="808"/>
      <c r="X25" s="812">
        <f>V25/1.1</f>
        <v>230.90909090909088</v>
      </c>
      <c r="Y25" s="812">
        <f>V25/1.2</f>
        <v>211.66666666666669</v>
      </c>
      <c r="Z25" s="812">
        <f>V25/1.4</f>
        <v>181.42857142857144</v>
      </c>
      <c r="AA25" s="812">
        <f>V25/1.7</f>
        <v>149.41176470588235</v>
      </c>
      <c r="AB25" s="1642">
        <v>0.74</v>
      </c>
      <c r="AC25" s="1643">
        <f>AB25*277.778</f>
        <v>205.55572000000001</v>
      </c>
      <c r="AD25" s="811">
        <v>1</v>
      </c>
      <c r="AE25" s="271"/>
      <c r="AF25" s="271"/>
      <c r="AG25" s="271"/>
      <c r="AH25" s="271"/>
      <c r="AI25" s="271"/>
      <c r="AJ25" s="271"/>
      <c r="AK25" s="271"/>
      <c r="AL25" s="271"/>
      <c r="AM25" s="271"/>
      <c r="AN25" s="271"/>
      <c r="AO25" s="271"/>
    </row>
    <row r="26" spans="2:41" ht="26" customHeight="1">
      <c r="B26" s="7" t="s">
        <v>1682</v>
      </c>
      <c r="C26" s="8">
        <v>18</v>
      </c>
      <c r="D26" s="8">
        <v>24</v>
      </c>
      <c r="E26" s="8" t="s">
        <v>267</v>
      </c>
      <c r="F26" s="845">
        <v>300</v>
      </c>
      <c r="G26" s="271"/>
      <c r="H26" s="271"/>
      <c r="I26" s="286" t="s">
        <v>582</v>
      </c>
      <c r="J26" s="288">
        <v>12</v>
      </c>
      <c r="K26" s="288">
        <v>15</v>
      </c>
      <c r="L26" s="274"/>
      <c r="M26" s="274"/>
      <c r="N26" s="501" t="s">
        <v>659</v>
      </c>
      <c r="O26" s="295" t="s">
        <v>660</v>
      </c>
      <c r="P26" s="269"/>
      <c r="Q26" s="294">
        <v>50</v>
      </c>
      <c r="R26" s="498"/>
      <c r="S26" s="271"/>
      <c r="T26" s="830" t="s">
        <v>258</v>
      </c>
      <c r="U26" s="831"/>
      <c r="W26" s="830">
        <f>AVERAGE(V27:V38)</f>
        <v>276.5</v>
      </c>
      <c r="X26" s="842">
        <f>W26/1.1</f>
        <v>251.36363636363635</v>
      </c>
      <c r="Y26" s="842">
        <f>W26/1.2</f>
        <v>230.41666666666669</v>
      </c>
      <c r="Z26" s="842">
        <f>W26/1.4</f>
        <v>197.5</v>
      </c>
      <c r="AA26" s="842">
        <f>W26/1.7</f>
        <v>162.64705882352942</v>
      </c>
      <c r="AB26" s="825"/>
      <c r="AC26" s="844">
        <f>AVERAGE(AC27:AC38)</f>
        <v>215.04646833333331</v>
      </c>
      <c r="AD26" s="831"/>
      <c r="AE26" s="271"/>
      <c r="AF26" s="271"/>
      <c r="AG26" s="271"/>
      <c r="AH26" s="271"/>
      <c r="AI26" s="271"/>
      <c r="AJ26" s="271"/>
      <c r="AK26" s="271"/>
      <c r="AL26" s="271"/>
      <c r="AM26" s="271"/>
      <c r="AN26" s="271"/>
      <c r="AO26" s="271"/>
    </row>
    <row r="27" spans="2:41" ht="12">
      <c r="B27" s="271"/>
      <c r="C27" s="272"/>
      <c r="D27" s="271"/>
      <c r="E27" s="271"/>
      <c r="F27" s="271"/>
      <c r="G27" s="271"/>
      <c r="H27" s="271"/>
      <c r="I27" s="286" t="s">
        <v>591</v>
      </c>
      <c r="J27" s="287">
        <v>8</v>
      </c>
      <c r="K27" s="287">
        <v>10</v>
      </c>
      <c r="L27" s="275"/>
      <c r="M27" s="275"/>
      <c r="N27" s="501" t="s">
        <v>661</v>
      </c>
      <c r="O27" s="295" t="s">
        <v>662</v>
      </c>
      <c r="P27" s="269"/>
      <c r="Q27" s="294">
        <v>50</v>
      </c>
      <c r="R27" s="498"/>
      <c r="S27" s="271"/>
      <c r="T27" s="810"/>
      <c r="U27" s="811" t="s">
        <v>1637</v>
      </c>
      <c r="V27" s="811">
        <v>340</v>
      </c>
      <c r="W27" s="808"/>
      <c r="X27" s="812">
        <f t="shared" ref="X27:X30" si="10">V27/1.1</f>
        <v>309.09090909090907</v>
      </c>
      <c r="Y27" s="812">
        <f t="shared" ref="Y27:Y30" si="11">V27/1.2</f>
        <v>283.33333333333337</v>
      </c>
      <c r="Z27" s="812">
        <f t="shared" ref="Z27:Z30" si="12">V27/1.4</f>
        <v>242.85714285714286</v>
      </c>
      <c r="AA27" s="812">
        <f t="shared" ref="AA27:AA30" si="13">V27/1.7</f>
        <v>200</v>
      </c>
      <c r="AB27" s="1642">
        <v>0.86</v>
      </c>
      <c r="AC27" s="1643">
        <f t="shared" ref="AC27:AC57" si="14">AB27*277.778</f>
        <v>238.88908000000001</v>
      </c>
      <c r="AD27" s="811">
        <v>1</v>
      </c>
      <c r="AE27" s="271"/>
      <c r="AF27" s="271"/>
      <c r="AG27" s="271"/>
      <c r="AH27" s="271"/>
      <c r="AI27" s="271"/>
      <c r="AJ27" s="271"/>
      <c r="AK27" s="271"/>
      <c r="AL27" s="271"/>
      <c r="AM27" s="271"/>
      <c r="AN27" s="271"/>
      <c r="AO27" s="271"/>
    </row>
    <row r="28" spans="2:41" ht="12">
      <c r="B28" s="271"/>
      <c r="C28" s="272"/>
      <c r="D28" s="271"/>
      <c r="E28" s="271"/>
      <c r="F28" s="271"/>
      <c r="G28" s="271"/>
      <c r="H28" s="271"/>
      <c r="I28" s="286" t="s">
        <v>583</v>
      </c>
      <c r="J28" s="288">
        <v>15</v>
      </c>
      <c r="K28" s="288">
        <v>17</v>
      </c>
      <c r="L28" s="276"/>
      <c r="M28" s="276"/>
      <c r="N28" s="500">
        <v>5</v>
      </c>
      <c r="O28" s="267" t="s">
        <v>663</v>
      </c>
      <c r="P28" s="294"/>
      <c r="Q28" s="269"/>
      <c r="R28" s="498"/>
      <c r="S28" s="271"/>
      <c r="T28" s="826"/>
      <c r="U28" s="827" t="s">
        <v>1638</v>
      </c>
      <c r="V28" s="827">
        <v>236</v>
      </c>
      <c r="W28" s="828"/>
      <c r="X28" s="829">
        <f t="shared" si="10"/>
        <v>214.54545454545453</v>
      </c>
      <c r="Y28" s="829">
        <f t="shared" si="11"/>
        <v>196.66666666666669</v>
      </c>
      <c r="Z28" s="829">
        <f t="shared" si="12"/>
        <v>168.57142857142858</v>
      </c>
      <c r="AA28" s="829">
        <f t="shared" si="13"/>
        <v>138.8235294117647</v>
      </c>
      <c r="AB28" s="1642">
        <v>0.86</v>
      </c>
      <c r="AC28" s="1643">
        <f t="shared" si="14"/>
        <v>238.88908000000001</v>
      </c>
      <c r="AD28" s="827">
        <v>1</v>
      </c>
      <c r="AE28" s="271"/>
      <c r="AF28" s="271"/>
      <c r="AG28" s="271"/>
      <c r="AH28" s="271"/>
      <c r="AI28" s="271"/>
      <c r="AJ28" s="271"/>
      <c r="AK28" s="271"/>
      <c r="AL28" s="271"/>
      <c r="AM28" s="271"/>
      <c r="AN28" s="271"/>
      <c r="AO28" s="271"/>
    </row>
    <row r="29" spans="2:41" ht="12">
      <c r="B29" s="5" t="s">
        <v>377</v>
      </c>
      <c r="H29" s="271"/>
      <c r="I29" s="289" t="s">
        <v>557</v>
      </c>
      <c r="J29" s="287">
        <v>7</v>
      </c>
      <c r="K29" s="287">
        <v>9</v>
      </c>
      <c r="L29" s="271"/>
      <c r="M29" s="271"/>
      <c r="N29" s="501" t="s">
        <v>664</v>
      </c>
      <c r="O29" s="295" t="s">
        <v>665</v>
      </c>
      <c r="P29" s="294">
        <v>250</v>
      </c>
      <c r="Q29" s="269"/>
      <c r="R29" s="498"/>
      <c r="S29" s="271"/>
      <c r="T29" s="810"/>
      <c r="U29" s="811" t="s">
        <v>1639</v>
      </c>
      <c r="V29" s="811">
        <v>372</v>
      </c>
      <c r="W29" s="808"/>
      <c r="X29" s="812">
        <f t="shared" si="10"/>
        <v>338.18181818181813</v>
      </c>
      <c r="Y29" s="812">
        <f t="shared" si="11"/>
        <v>310</v>
      </c>
      <c r="Z29" s="812">
        <f t="shared" si="12"/>
        <v>265.71428571428572</v>
      </c>
      <c r="AA29" s="812">
        <f t="shared" si="13"/>
        <v>218.82352941176472</v>
      </c>
      <c r="AB29" s="1642">
        <v>1.03</v>
      </c>
      <c r="AC29" s="1643">
        <f t="shared" si="14"/>
        <v>286.11134000000004</v>
      </c>
      <c r="AD29" s="811">
        <v>1</v>
      </c>
      <c r="AE29" s="271"/>
      <c r="AF29" s="271"/>
      <c r="AG29" s="271"/>
      <c r="AH29" s="271"/>
      <c r="AI29" s="271"/>
      <c r="AJ29" s="271"/>
      <c r="AK29" s="271"/>
      <c r="AL29" s="271"/>
      <c r="AM29" s="271"/>
      <c r="AN29" s="271"/>
      <c r="AO29" s="271"/>
    </row>
    <row r="30" spans="2:41" ht="12">
      <c r="B30" s="2372" t="s">
        <v>376</v>
      </c>
      <c r="C30" s="2373" t="s">
        <v>625</v>
      </c>
      <c r="D30" s="2373"/>
      <c r="E30" s="2373" t="s">
        <v>624</v>
      </c>
      <c r="F30" s="2373"/>
      <c r="G30" s="259"/>
      <c r="H30" s="271"/>
      <c r="I30" s="289" t="s">
        <v>557</v>
      </c>
      <c r="J30" s="288">
        <v>10</v>
      </c>
      <c r="K30" s="288">
        <v>12</v>
      </c>
      <c r="L30" s="271"/>
      <c r="M30" s="271"/>
      <c r="N30" s="501" t="s">
        <v>666</v>
      </c>
      <c r="O30" s="295" t="s">
        <v>667</v>
      </c>
      <c r="P30" s="294">
        <v>500</v>
      </c>
      <c r="Q30" s="269"/>
      <c r="R30" s="498"/>
      <c r="S30" s="271"/>
      <c r="T30" s="810"/>
      <c r="U30" s="811" t="s">
        <v>1640</v>
      </c>
      <c r="V30" s="811">
        <v>233</v>
      </c>
      <c r="W30" s="808"/>
      <c r="X30" s="812">
        <f t="shared" si="10"/>
        <v>211.81818181818181</v>
      </c>
      <c r="Y30" s="812">
        <f t="shared" si="11"/>
        <v>194.16666666666669</v>
      </c>
      <c r="Z30" s="812">
        <f t="shared" si="12"/>
        <v>166.42857142857144</v>
      </c>
      <c r="AA30" s="812">
        <f t="shared" si="13"/>
        <v>137.05882352941177</v>
      </c>
      <c r="AB30" s="1642">
        <v>0.68</v>
      </c>
      <c r="AC30" s="1643">
        <f t="shared" si="14"/>
        <v>188.88904000000002</v>
      </c>
      <c r="AD30" s="811">
        <v>1</v>
      </c>
      <c r="AE30" s="271"/>
      <c r="AF30" s="271"/>
      <c r="AG30" s="271"/>
      <c r="AH30" s="271"/>
      <c r="AI30" s="271"/>
      <c r="AJ30" s="271"/>
      <c r="AK30" s="271"/>
      <c r="AL30" s="271"/>
      <c r="AM30" s="271"/>
      <c r="AN30" s="271"/>
      <c r="AO30" s="271"/>
    </row>
    <row r="31" spans="2:41" ht="24">
      <c r="B31" s="2372"/>
      <c r="C31" s="260" t="s">
        <v>374</v>
      </c>
      <c r="D31" s="261" t="s">
        <v>375</v>
      </c>
      <c r="E31" s="260" t="s">
        <v>374</v>
      </c>
      <c r="F31" s="261" t="s">
        <v>375</v>
      </c>
      <c r="G31" s="520" t="s">
        <v>626</v>
      </c>
      <c r="H31" s="271"/>
      <c r="I31" s="289" t="s">
        <v>558</v>
      </c>
      <c r="J31" s="287">
        <v>3</v>
      </c>
      <c r="K31" s="287">
        <v>4</v>
      </c>
      <c r="L31" s="271"/>
      <c r="M31" s="271"/>
      <c r="N31" s="501" t="s">
        <v>668</v>
      </c>
      <c r="O31" s="295" t="s">
        <v>669</v>
      </c>
      <c r="P31" s="269"/>
      <c r="Q31" s="294">
        <v>2500</v>
      </c>
      <c r="R31" s="498"/>
      <c r="S31" s="271"/>
      <c r="T31" s="810"/>
      <c r="U31" s="811" t="s">
        <v>1680</v>
      </c>
      <c r="V31" s="811">
        <v>233</v>
      </c>
      <c r="W31" s="808"/>
      <c r="X31" s="812">
        <f t="shared" ref="X31" si="15">V31/1.1</f>
        <v>211.81818181818181</v>
      </c>
      <c r="Y31" s="812">
        <f t="shared" ref="Y31" si="16">V31/1.2</f>
        <v>194.16666666666669</v>
      </c>
      <c r="Z31" s="812">
        <f t="shared" ref="Z31" si="17">V31/1.4</f>
        <v>166.42857142857144</v>
      </c>
      <c r="AA31" s="812">
        <f t="shared" ref="AA31" si="18">V31/1.7</f>
        <v>137.05882352941177</v>
      </c>
      <c r="AB31" s="1642">
        <v>0.68</v>
      </c>
      <c r="AC31" s="1643">
        <f t="shared" si="14"/>
        <v>188.88904000000002</v>
      </c>
      <c r="AD31" s="811">
        <v>1</v>
      </c>
      <c r="AE31" s="271"/>
      <c r="AF31" s="271"/>
      <c r="AG31" s="271"/>
      <c r="AH31" s="271"/>
      <c r="AI31" s="271"/>
      <c r="AJ31" s="271"/>
      <c r="AK31" s="271"/>
      <c r="AL31" s="271"/>
      <c r="AM31" s="271"/>
      <c r="AN31" s="271"/>
      <c r="AO31" s="271"/>
    </row>
    <row r="32" spans="2:41" ht="12">
      <c r="B32" s="279" t="s">
        <v>362</v>
      </c>
      <c r="C32" s="280">
        <v>200</v>
      </c>
      <c r="D32" s="281">
        <f>C32*0.29307107</f>
        <v>58.614213999999997</v>
      </c>
      <c r="E32" s="280">
        <v>130</v>
      </c>
      <c r="F32" s="281">
        <f t="shared" ref="F32:F43" si="19">E32*0.29307107</f>
        <v>38.099239099999998</v>
      </c>
      <c r="G32" s="282">
        <f>D32+F32</f>
        <v>96.713453099999995</v>
      </c>
      <c r="H32" s="271"/>
      <c r="I32" s="289" t="s">
        <v>558</v>
      </c>
      <c r="J32" s="288">
        <v>4</v>
      </c>
      <c r="K32" s="288">
        <v>6</v>
      </c>
      <c r="L32" s="271"/>
      <c r="M32" s="271"/>
      <c r="N32" s="501">
        <v>6</v>
      </c>
      <c r="O32" s="295" t="s">
        <v>670</v>
      </c>
      <c r="P32" s="294">
        <v>250</v>
      </c>
      <c r="Q32" s="269"/>
      <c r="R32" s="498"/>
      <c r="S32" s="271"/>
      <c r="T32" s="810"/>
      <c r="U32" s="811" t="s">
        <v>1641</v>
      </c>
      <c r="V32" s="811">
        <v>186</v>
      </c>
      <c r="W32" s="808"/>
      <c r="X32" s="812">
        <f t="shared" ref="X32:X38" si="20">V32/1.1</f>
        <v>169.09090909090907</v>
      </c>
      <c r="Y32" s="812">
        <f t="shared" ref="Y32:Y38" si="21">V32/1.2</f>
        <v>155</v>
      </c>
      <c r="Z32" s="812">
        <f t="shared" ref="Z32:Z38" si="22">V32/1.4</f>
        <v>132.85714285714286</v>
      </c>
      <c r="AA32" s="812">
        <f t="shared" ref="AA32:AA38" si="23">V32/1.7</f>
        <v>109.41176470588236</v>
      </c>
      <c r="AB32" s="1642">
        <v>0.86</v>
      </c>
      <c r="AC32" s="1643">
        <f t="shared" si="14"/>
        <v>238.88908000000001</v>
      </c>
      <c r="AD32" s="811">
        <v>1</v>
      </c>
      <c r="AE32" s="271"/>
      <c r="AF32" s="271"/>
      <c r="AG32" s="271"/>
      <c r="AH32" s="271"/>
      <c r="AI32" s="271"/>
      <c r="AJ32" s="271"/>
      <c r="AK32" s="271"/>
      <c r="AL32" s="271"/>
      <c r="AM32" s="271"/>
      <c r="AN32" s="271"/>
      <c r="AO32" s="271"/>
    </row>
    <row r="33" spans="2:41" ht="12">
      <c r="B33" s="279" t="s">
        <v>363</v>
      </c>
      <c r="C33" s="280">
        <v>215</v>
      </c>
      <c r="D33" s="281">
        <f t="shared" ref="D33:D43" si="24">C33*0.29307107</f>
        <v>63.010280049999999</v>
      </c>
      <c r="E33" s="280">
        <v>135</v>
      </c>
      <c r="F33" s="281">
        <f t="shared" si="19"/>
        <v>39.564594450000001</v>
      </c>
      <c r="G33" s="282">
        <f t="shared" ref="G33:G40" si="25">D33+F33</f>
        <v>102.57487449999999</v>
      </c>
      <c r="H33" s="271"/>
      <c r="I33" s="289" t="s">
        <v>559</v>
      </c>
      <c r="J33" s="287">
        <v>15</v>
      </c>
      <c r="K33" s="287">
        <v>18</v>
      </c>
      <c r="L33" s="271"/>
      <c r="M33" s="271"/>
      <c r="N33" s="502"/>
      <c r="O33" s="269"/>
      <c r="P33" s="269"/>
      <c r="Q33" s="269"/>
      <c r="R33" s="498"/>
      <c r="S33" s="271"/>
      <c r="T33" s="810"/>
      <c r="U33" s="811" t="s">
        <v>1642</v>
      </c>
      <c r="V33" s="811">
        <v>274</v>
      </c>
      <c r="W33" s="808"/>
      <c r="X33" s="812">
        <f t="shared" si="20"/>
        <v>249.09090909090907</v>
      </c>
      <c r="Y33" s="812">
        <f t="shared" si="21"/>
        <v>228.33333333333334</v>
      </c>
      <c r="Z33" s="812">
        <f t="shared" si="22"/>
        <v>195.71428571428572</v>
      </c>
      <c r="AA33" s="812">
        <f t="shared" si="23"/>
        <v>161.1764705882353</v>
      </c>
      <c r="AB33" s="1642">
        <v>0.66</v>
      </c>
      <c r="AC33" s="1643">
        <f t="shared" si="14"/>
        <v>183.33348000000001</v>
      </c>
      <c r="AD33" s="811">
        <v>1</v>
      </c>
      <c r="AE33" s="271"/>
      <c r="AF33" s="271"/>
      <c r="AG33" s="271"/>
      <c r="AH33" s="271"/>
      <c r="AI33" s="271"/>
      <c r="AJ33" s="271"/>
      <c r="AK33" s="271"/>
      <c r="AL33" s="271"/>
      <c r="AM33" s="271"/>
      <c r="AN33" s="271"/>
      <c r="AO33" s="271"/>
    </row>
    <row r="34" spans="2:41" ht="13">
      <c r="B34" s="279" t="s">
        <v>364</v>
      </c>
      <c r="C34" s="280">
        <v>215</v>
      </c>
      <c r="D34" s="281">
        <f t="shared" si="24"/>
        <v>63.010280049999999</v>
      </c>
      <c r="E34" s="280">
        <v>185</v>
      </c>
      <c r="F34" s="281">
        <f t="shared" si="19"/>
        <v>54.218147949999995</v>
      </c>
      <c r="G34" s="353">
        <f t="shared" si="25"/>
        <v>117.22842799999999</v>
      </c>
      <c r="H34" s="271"/>
      <c r="I34" s="289" t="s">
        <v>559</v>
      </c>
      <c r="J34" s="288">
        <v>18</v>
      </c>
      <c r="K34" s="288">
        <v>20</v>
      </c>
      <c r="L34" s="271"/>
      <c r="M34" s="271"/>
      <c r="N34" s="503"/>
      <c r="O34" s="270" t="s">
        <v>674</v>
      </c>
      <c r="P34" s="265"/>
      <c r="Q34" s="264"/>
      <c r="R34" s="498"/>
      <c r="S34" s="271"/>
      <c r="T34" s="810"/>
      <c r="U34" s="811" t="s">
        <v>1643</v>
      </c>
      <c r="V34" s="811">
        <v>316</v>
      </c>
      <c r="W34" s="808"/>
      <c r="X34" s="812">
        <f t="shared" si="20"/>
        <v>287.27272727272725</v>
      </c>
      <c r="Y34" s="812">
        <f t="shared" si="21"/>
        <v>263.33333333333337</v>
      </c>
      <c r="Z34" s="812">
        <f t="shared" si="22"/>
        <v>225.71428571428572</v>
      </c>
      <c r="AA34" s="812">
        <f t="shared" si="23"/>
        <v>185.88235294117646</v>
      </c>
      <c r="AB34" s="1642">
        <v>0.66</v>
      </c>
      <c r="AC34" s="1643">
        <f t="shared" si="14"/>
        <v>183.33348000000001</v>
      </c>
      <c r="AD34" s="811">
        <v>1</v>
      </c>
      <c r="AE34" s="271"/>
      <c r="AF34" s="271"/>
      <c r="AG34" s="271"/>
      <c r="AH34" s="271"/>
      <c r="AI34" s="271"/>
      <c r="AJ34" s="271"/>
      <c r="AK34" s="271"/>
      <c r="AL34" s="271"/>
      <c r="AM34" s="271"/>
      <c r="AN34" s="271"/>
      <c r="AO34" s="271"/>
    </row>
    <row r="35" spans="2:41" ht="12">
      <c r="B35" s="279" t="s">
        <v>365</v>
      </c>
      <c r="C35" s="280">
        <v>220</v>
      </c>
      <c r="D35" s="281">
        <f t="shared" si="24"/>
        <v>64.475635400000002</v>
      </c>
      <c r="E35" s="280">
        <v>230</v>
      </c>
      <c r="F35" s="281">
        <f t="shared" si="19"/>
        <v>67.406346099999993</v>
      </c>
      <c r="G35" s="282">
        <f t="shared" si="25"/>
        <v>131.88198149999999</v>
      </c>
      <c r="H35" s="271"/>
      <c r="I35" s="269"/>
      <c r="J35" s="269"/>
      <c r="K35" s="269"/>
      <c r="L35" s="271"/>
      <c r="M35" s="271"/>
      <c r="N35" s="500">
        <v>1</v>
      </c>
      <c r="O35" s="296" t="s">
        <v>675</v>
      </c>
      <c r="P35" s="293"/>
      <c r="Q35" s="269"/>
      <c r="R35" s="498"/>
      <c r="S35" s="271"/>
      <c r="T35" s="810"/>
      <c r="U35" s="811" t="s">
        <v>1644</v>
      </c>
      <c r="V35" s="811">
        <v>172</v>
      </c>
      <c r="W35" s="808"/>
      <c r="X35" s="812">
        <f t="shared" si="20"/>
        <v>156.36363636363635</v>
      </c>
      <c r="Y35" s="812">
        <f t="shared" si="21"/>
        <v>143.33333333333334</v>
      </c>
      <c r="Z35" s="812">
        <f t="shared" si="22"/>
        <v>122.85714285714286</v>
      </c>
      <c r="AA35" s="812">
        <f t="shared" si="23"/>
        <v>101.17647058823529</v>
      </c>
      <c r="AB35" s="1642">
        <v>0.56000000000000005</v>
      </c>
      <c r="AC35" s="1643">
        <f t="shared" si="14"/>
        <v>155.55568000000002</v>
      </c>
      <c r="AD35" s="811">
        <v>1</v>
      </c>
      <c r="AE35" s="271"/>
      <c r="AF35" s="271"/>
      <c r="AG35" s="271"/>
      <c r="AH35" s="271"/>
      <c r="AI35" s="271"/>
      <c r="AJ35" s="271"/>
      <c r="AK35" s="271"/>
      <c r="AL35" s="271"/>
      <c r="AM35" s="271"/>
      <c r="AN35" s="271"/>
      <c r="AO35" s="271"/>
    </row>
    <row r="36" spans="2:41" ht="12">
      <c r="B36" s="279" t="s">
        <v>366</v>
      </c>
      <c r="C36" s="280">
        <v>220</v>
      </c>
      <c r="D36" s="281">
        <f t="shared" si="24"/>
        <v>64.475635400000002</v>
      </c>
      <c r="E36" s="280">
        <v>280</v>
      </c>
      <c r="F36" s="281">
        <f t="shared" si="19"/>
        <v>82.059899599999994</v>
      </c>
      <c r="G36" s="282">
        <f t="shared" si="25"/>
        <v>146.53553499999998</v>
      </c>
      <c r="H36" s="271"/>
      <c r="I36" s="279" t="s">
        <v>572</v>
      </c>
      <c r="J36" s="285" t="str">
        <f>REPORT!D12&amp;"+"&amp;REPORT!G67</f>
        <v>A - Assembly+Low Energy</v>
      </c>
      <c r="K36" s="285"/>
      <c r="L36" s="271"/>
      <c r="M36" s="271"/>
      <c r="N36" s="501" t="s">
        <v>676</v>
      </c>
      <c r="O36" s="295" t="s">
        <v>677</v>
      </c>
      <c r="P36" s="297">
        <v>20</v>
      </c>
      <c r="Q36" s="269"/>
      <c r="R36" s="498"/>
      <c r="S36" s="271"/>
      <c r="T36" s="810"/>
      <c r="U36" s="811" t="s">
        <v>1645</v>
      </c>
      <c r="V36" s="811">
        <v>423</v>
      </c>
      <c r="W36" s="808"/>
      <c r="X36" s="812">
        <f t="shared" si="20"/>
        <v>384.5454545454545</v>
      </c>
      <c r="Y36" s="812">
        <f t="shared" si="21"/>
        <v>352.5</v>
      </c>
      <c r="Z36" s="812">
        <f t="shared" si="22"/>
        <v>302.14285714285717</v>
      </c>
      <c r="AA36" s="812">
        <f t="shared" si="23"/>
        <v>248.82352941176472</v>
      </c>
      <c r="AB36" s="1642">
        <v>1.04</v>
      </c>
      <c r="AC36" s="1643">
        <f t="shared" si="14"/>
        <v>288.88912000000005</v>
      </c>
      <c r="AD36" s="811">
        <v>1</v>
      </c>
      <c r="AE36" s="271"/>
      <c r="AF36" s="271"/>
      <c r="AG36" s="271"/>
      <c r="AH36" s="271"/>
      <c r="AI36" s="271"/>
      <c r="AJ36" s="271"/>
      <c r="AK36" s="271"/>
      <c r="AL36" s="271"/>
      <c r="AM36" s="271"/>
      <c r="AN36" s="271"/>
      <c r="AO36" s="271"/>
    </row>
    <row r="37" spans="2:41" ht="12">
      <c r="B37" s="279" t="s">
        <v>367</v>
      </c>
      <c r="C37" s="280">
        <v>220</v>
      </c>
      <c r="D37" s="281">
        <f t="shared" si="24"/>
        <v>64.475635400000002</v>
      </c>
      <c r="E37" s="280">
        <v>280</v>
      </c>
      <c r="F37" s="281">
        <f t="shared" si="19"/>
        <v>82.059899599999994</v>
      </c>
      <c r="G37" s="282">
        <f t="shared" si="25"/>
        <v>146.53553499999998</v>
      </c>
      <c r="H37" s="271"/>
      <c r="I37" s="279" t="s">
        <v>1737</v>
      </c>
      <c r="J37" s="285" t="str">
        <f>REFERENCE!D12&amp;"+"&amp;REFERENCE!G67</f>
        <v>A - Assembly+Regular</v>
      </c>
      <c r="K37" s="285"/>
      <c r="L37" s="271"/>
      <c r="M37" s="271"/>
      <c r="N37" s="501" t="s">
        <v>678</v>
      </c>
      <c r="O37" s="295" t="s">
        <v>679</v>
      </c>
      <c r="P37" s="297">
        <v>40</v>
      </c>
      <c r="Q37" s="269"/>
      <c r="R37" s="498"/>
      <c r="S37" s="271"/>
      <c r="T37" s="810"/>
      <c r="U37" s="811" t="s">
        <v>1646</v>
      </c>
      <c r="V37" s="811">
        <v>268</v>
      </c>
      <c r="W37" s="808"/>
      <c r="X37" s="812">
        <f t="shared" si="20"/>
        <v>243.63636363636363</v>
      </c>
      <c r="Y37" s="812">
        <f t="shared" si="21"/>
        <v>223.33333333333334</v>
      </c>
      <c r="Z37" s="812">
        <f t="shared" si="22"/>
        <v>191.42857142857144</v>
      </c>
      <c r="AA37" s="812">
        <f t="shared" si="23"/>
        <v>157.64705882352942</v>
      </c>
      <c r="AB37" s="1642">
        <v>0.7</v>
      </c>
      <c r="AC37" s="1643">
        <f t="shared" si="14"/>
        <v>194.44460000000001</v>
      </c>
      <c r="AD37" s="811">
        <v>1</v>
      </c>
      <c r="AE37" s="271"/>
      <c r="AF37" s="271"/>
      <c r="AG37" s="271"/>
      <c r="AH37" s="271"/>
      <c r="AI37" s="271"/>
      <c r="AJ37" s="271"/>
      <c r="AK37" s="271"/>
      <c r="AL37" s="271"/>
      <c r="AM37" s="271"/>
      <c r="AN37" s="271"/>
      <c r="AO37" s="271"/>
    </row>
    <row r="38" spans="2:41" ht="18">
      <c r="B38" s="279" t="s">
        <v>368</v>
      </c>
      <c r="C38" s="280">
        <v>240</v>
      </c>
      <c r="D38" s="281">
        <f t="shared" si="24"/>
        <v>70.337056799999999</v>
      </c>
      <c r="E38" s="280">
        <v>310</v>
      </c>
      <c r="F38" s="281">
        <f t="shared" si="19"/>
        <v>90.852031699999998</v>
      </c>
      <c r="G38" s="282">
        <f t="shared" si="25"/>
        <v>161.1890885</v>
      </c>
      <c r="H38" s="271"/>
      <c r="I38" s="290" t="s">
        <v>560</v>
      </c>
      <c r="J38" s="273"/>
      <c r="K38" s="273"/>
      <c r="L38" s="271"/>
      <c r="M38" s="271"/>
      <c r="N38" s="500">
        <v>2</v>
      </c>
      <c r="O38" s="296" t="s">
        <v>680</v>
      </c>
      <c r="P38" s="297"/>
      <c r="Q38" s="269"/>
      <c r="R38" s="498"/>
      <c r="S38" s="271"/>
      <c r="T38" s="810"/>
      <c r="U38" s="811" t="s">
        <v>1647</v>
      </c>
      <c r="V38" s="811">
        <v>265</v>
      </c>
      <c r="W38" s="808"/>
      <c r="X38" s="812">
        <f t="shared" si="20"/>
        <v>240.90909090909088</v>
      </c>
      <c r="Y38" s="812">
        <f t="shared" si="21"/>
        <v>220.83333333333334</v>
      </c>
      <c r="Z38" s="812">
        <f t="shared" si="22"/>
        <v>189.28571428571431</v>
      </c>
      <c r="AA38" s="812">
        <f t="shared" si="23"/>
        <v>155.88235294117646</v>
      </c>
      <c r="AB38" s="1642">
        <v>0.7</v>
      </c>
      <c r="AC38" s="1643">
        <f t="shared" si="14"/>
        <v>194.44460000000001</v>
      </c>
      <c r="AD38" s="811">
        <v>1</v>
      </c>
      <c r="AE38" s="271"/>
      <c r="AF38" s="271"/>
      <c r="AG38" s="271"/>
      <c r="AH38" s="271"/>
      <c r="AI38" s="271"/>
      <c r="AJ38" s="271"/>
      <c r="AK38" s="271"/>
      <c r="AL38" s="271"/>
      <c r="AM38" s="271"/>
      <c r="AN38" s="271"/>
      <c r="AO38" s="271"/>
    </row>
    <row r="39" spans="2:41" ht="12">
      <c r="B39" s="279" t="s">
        <v>369</v>
      </c>
      <c r="C39" s="280">
        <v>240</v>
      </c>
      <c r="D39" s="281">
        <f t="shared" si="24"/>
        <v>70.337056799999999</v>
      </c>
      <c r="E39" s="280">
        <v>510</v>
      </c>
      <c r="F39" s="281">
        <f t="shared" si="19"/>
        <v>149.4662457</v>
      </c>
      <c r="G39" s="282">
        <f t="shared" si="25"/>
        <v>219.8033025</v>
      </c>
      <c r="H39" s="271"/>
      <c r="I39" s="291" t="s">
        <v>561</v>
      </c>
      <c r="J39" s="271"/>
      <c r="K39" s="271"/>
      <c r="L39" s="271"/>
      <c r="M39" s="271"/>
      <c r="N39" s="501" t="s">
        <v>634</v>
      </c>
      <c r="O39" s="295" t="s">
        <v>681</v>
      </c>
      <c r="P39" s="297">
        <v>8</v>
      </c>
      <c r="Q39" s="269"/>
      <c r="R39" s="498"/>
      <c r="S39" s="271"/>
      <c r="T39" s="807" t="s">
        <v>265</v>
      </c>
      <c r="U39" s="808"/>
      <c r="V39" s="804"/>
      <c r="W39" s="807">
        <f>AVERAGE(V40:V43)</f>
        <v>160.5</v>
      </c>
      <c r="X39" s="809">
        <f>W39/1.1</f>
        <v>145.90909090909091</v>
      </c>
      <c r="Y39" s="809">
        <f>W39/1.2</f>
        <v>133.75</v>
      </c>
      <c r="Z39" s="809">
        <f>W39/1.4</f>
        <v>114.64285714285715</v>
      </c>
      <c r="AA39" s="809">
        <f>W39/1.7</f>
        <v>94.411764705882362</v>
      </c>
      <c r="AB39" s="1642"/>
      <c r="AC39" s="1643">
        <f t="shared" si="14"/>
        <v>0</v>
      </c>
      <c r="AD39" s="808"/>
      <c r="AE39" s="271"/>
      <c r="AF39" s="271"/>
      <c r="AG39" s="271"/>
      <c r="AH39" s="271"/>
      <c r="AI39" s="271"/>
      <c r="AJ39" s="271"/>
      <c r="AK39" s="271"/>
      <c r="AL39" s="271"/>
      <c r="AM39" s="271"/>
      <c r="AN39" s="271"/>
      <c r="AO39" s="271"/>
    </row>
    <row r="40" spans="2:41" ht="12">
      <c r="B40" s="279" t="s">
        <v>370</v>
      </c>
      <c r="C40" s="280">
        <v>270</v>
      </c>
      <c r="D40" s="281">
        <f t="shared" si="24"/>
        <v>79.129188900000003</v>
      </c>
      <c r="E40" s="280">
        <v>580</v>
      </c>
      <c r="F40" s="281">
        <f t="shared" si="19"/>
        <v>169.9812206</v>
      </c>
      <c r="G40" s="282">
        <f t="shared" si="25"/>
        <v>249.1104095</v>
      </c>
      <c r="H40" s="271"/>
      <c r="I40" s="292" t="s">
        <v>571</v>
      </c>
      <c r="J40" s="271"/>
      <c r="K40" s="271"/>
      <c r="L40" s="271"/>
      <c r="M40" s="271"/>
      <c r="N40" s="501" t="s">
        <v>637</v>
      </c>
      <c r="O40" s="295" t="s">
        <v>682</v>
      </c>
      <c r="P40" s="297">
        <v>36</v>
      </c>
      <c r="Q40" s="269"/>
      <c r="R40" s="498"/>
      <c r="S40" s="271"/>
      <c r="T40" s="810"/>
      <c r="U40" s="811" t="s">
        <v>1648</v>
      </c>
      <c r="V40" s="811">
        <v>278</v>
      </c>
      <c r="W40" s="808"/>
      <c r="X40" s="812">
        <f t="shared" ref="X40:X47" si="26">V40/1.1</f>
        <v>252.72727272727272</v>
      </c>
      <c r="Y40" s="812">
        <f t="shared" ref="Y40:Y47" si="27">V40/1.2</f>
        <v>231.66666666666669</v>
      </c>
      <c r="Z40" s="812">
        <f t="shared" ref="Z40:Z47" si="28">V40/1.4</f>
        <v>198.57142857142858</v>
      </c>
      <c r="AA40" s="812">
        <f t="shared" ref="AA40:AA47" si="29">V40/1.7</f>
        <v>163.52941176470588</v>
      </c>
      <c r="AB40" s="1642">
        <v>0.94</v>
      </c>
      <c r="AC40" s="1643">
        <f t="shared" si="14"/>
        <v>261.11131999999998</v>
      </c>
      <c r="AD40" s="811">
        <v>1</v>
      </c>
      <c r="AE40" s="271"/>
      <c r="AF40" s="271"/>
      <c r="AG40" s="271"/>
      <c r="AH40" s="271"/>
      <c r="AI40" s="271"/>
      <c r="AJ40" s="271"/>
      <c r="AK40" s="271"/>
      <c r="AL40" s="271"/>
      <c r="AM40" s="271"/>
      <c r="AN40" s="271"/>
      <c r="AO40" s="271"/>
    </row>
    <row r="41" spans="2:41" ht="12">
      <c r="B41" s="279" t="s">
        <v>371</v>
      </c>
      <c r="C41" s="280">
        <v>330</v>
      </c>
      <c r="D41" s="281">
        <f t="shared" si="24"/>
        <v>96.713453099999995</v>
      </c>
      <c r="E41" s="280">
        <v>670</v>
      </c>
      <c r="F41" s="281">
        <f t="shared" si="19"/>
        <v>196.35761689999998</v>
      </c>
      <c r="G41" s="282">
        <f>D41+F41</f>
        <v>293.07106999999996</v>
      </c>
      <c r="H41" s="271"/>
      <c r="I41" s="292" t="s">
        <v>562</v>
      </c>
      <c r="J41" s="271"/>
      <c r="K41" s="271"/>
      <c r="L41" s="271"/>
      <c r="M41" s="271"/>
      <c r="N41" s="501">
        <v>3</v>
      </c>
      <c r="O41" s="295" t="s">
        <v>683</v>
      </c>
      <c r="P41" s="297">
        <v>650</v>
      </c>
      <c r="Q41" s="269"/>
      <c r="R41" s="498"/>
      <c r="S41" s="271"/>
      <c r="T41" s="810"/>
      <c r="U41" s="811" t="s">
        <v>1649</v>
      </c>
      <c r="V41" s="811">
        <v>158</v>
      </c>
      <c r="W41" s="808"/>
      <c r="X41" s="812">
        <f t="shared" si="26"/>
        <v>143.63636363636363</v>
      </c>
      <c r="Y41" s="812">
        <f t="shared" si="27"/>
        <v>131.66666666666669</v>
      </c>
      <c r="Z41" s="812">
        <f t="shared" si="28"/>
        <v>112.85714285714286</v>
      </c>
      <c r="AA41" s="812">
        <f t="shared" si="29"/>
        <v>92.941176470588232</v>
      </c>
      <c r="AB41" s="1642">
        <v>0.72</v>
      </c>
      <c r="AC41" s="1643">
        <f t="shared" si="14"/>
        <v>200.00015999999999</v>
      </c>
      <c r="AD41" s="811">
        <v>1</v>
      </c>
      <c r="AE41" s="271"/>
      <c r="AF41" s="271"/>
      <c r="AG41" s="271"/>
      <c r="AH41" s="271"/>
      <c r="AI41" s="271"/>
      <c r="AJ41" s="271"/>
      <c r="AK41" s="271"/>
      <c r="AL41" s="271"/>
      <c r="AM41" s="271"/>
      <c r="AN41" s="271"/>
      <c r="AO41" s="271"/>
    </row>
    <row r="42" spans="2:41" ht="12">
      <c r="B42" s="279" t="s">
        <v>372</v>
      </c>
      <c r="C42" s="280">
        <v>510</v>
      </c>
      <c r="D42" s="281">
        <f t="shared" si="24"/>
        <v>149.4662457</v>
      </c>
      <c r="E42" s="280">
        <v>940</v>
      </c>
      <c r="F42" s="281">
        <f t="shared" si="19"/>
        <v>275.48680580000001</v>
      </c>
      <c r="G42" s="282">
        <f>D42+F42</f>
        <v>424.95305150000002</v>
      </c>
      <c r="H42" s="271"/>
      <c r="I42" s="292" t="s">
        <v>563</v>
      </c>
      <c r="J42" s="271"/>
      <c r="K42" s="271"/>
      <c r="L42" s="271"/>
      <c r="M42" s="271"/>
      <c r="N42" s="501">
        <v>4</v>
      </c>
      <c r="O42" s="295" t="s">
        <v>684</v>
      </c>
      <c r="P42" s="269"/>
      <c r="Q42" s="297">
        <v>400</v>
      </c>
      <c r="R42" s="498"/>
      <c r="S42" s="271"/>
      <c r="T42" s="810"/>
      <c r="U42" s="811" t="s">
        <v>1650</v>
      </c>
      <c r="V42" s="811">
        <v>94</v>
      </c>
      <c r="W42" s="808"/>
      <c r="X42" s="812">
        <f t="shared" si="26"/>
        <v>85.454545454545453</v>
      </c>
      <c r="Y42" s="812">
        <f t="shared" si="27"/>
        <v>78.333333333333343</v>
      </c>
      <c r="Z42" s="812">
        <f t="shared" si="28"/>
        <v>67.142857142857153</v>
      </c>
      <c r="AA42" s="812">
        <f t="shared" si="29"/>
        <v>55.294117647058826</v>
      </c>
      <c r="AB42" s="1642">
        <v>0.72</v>
      </c>
      <c r="AC42" s="1643">
        <f t="shared" si="14"/>
        <v>200.00015999999999</v>
      </c>
      <c r="AD42" s="811">
        <v>1</v>
      </c>
      <c r="AE42" s="271"/>
      <c r="AF42" s="271"/>
      <c r="AG42" s="271"/>
      <c r="AH42" s="271"/>
      <c r="AI42" s="271"/>
      <c r="AJ42" s="271"/>
      <c r="AK42" s="271"/>
      <c r="AL42" s="271"/>
      <c r="AM42" s="271"/>
      <c r="AN42" s="271"/>
      <c r="AO42" s="271"/>
    </row>
    <row r="43" spans="2:41" ht="12">
      <c r="B43" s="279" t="s">
        <v>373</v>
      </c>
      <c r="C43" s="280">
        <v>510</v>
      </c>
      <c r="D43" s="281">
        <f t="shared" si="24"/>
        <v>149.4662457</v>
      </c>
      <c r="E43" s="280">
        <v>940</v>
      </c>
      <c r="F43" s="281">
        <f t="shared" si="19"/>
        <v>275.48680580000001</v>
      </c>
      <c r="G43" s="282">
        <f>D43+F43</f>
        <v>424.95305150000002</v>
      </c>
      <c r="H43" s="271"/>
      <c r="I43" s="291" t="s">
        <v>564</v>
      </c>
      <c r="J43" s="271"/>
      <c r="K43" s="271"/>
      <c r="L43" s="271"/>
      <c r="M43" s="271"/>
      <c r="N43" s="500">
        <v>5</v>
      </c>
      <c r="O43" s="296" t="s">
        <v>685</v>
      </c>
      <c r="P43" s="297"/>
      <c r="Q43" s="269"/>
      <c r="R43" s="498"/>
      <c r="S43" s="271"/>
      <c r="T43" s="810"/>
      <c r="U43" s="811" t="s">
        <v>1651</v>
      </c>
      <c r="V43" s="811">
        <v>112</v>
      </c>
      <c r="W43" s="808"/>
      <c r="X43" s="812">
        <f t="shared" si="26"/>
        <v>101.81818181818181</v>
      </c>
      <c r="Y43" s="812">
        <f t="shared" si="27"/>
        <v>93.333333333333343</v>
      </c>
      <c r="Z43" s="812">
        <f t="shared" si="28"/>
        <v>80</v>
      </c>
      <c r="AA43" s="812">
        <f t="shared" si="29"/>
        <v>65.882352941176478</v>
      </c>
      <c r="AB43" s="1642">
        <v>0.72</v>
      </c>
      <c r="AC43" s="1643">
        <f t="shared" si="14"/>
        <v>200.00015999999999</v>
      </c>
      <c r="AD43" s="811">
        <v>1</v>
      </c>
      <c r="AE43" s="271"/>
      <c r="AF43" s="271"/>
      <c r="AG43" s="271"/>
      <c r="AH43" s="271"/>
      <c r="AI43" s="271"/>
      <c r="AJ43" s="271"/>
      <c r="AK43" s="271"/>
      <c r="AL43" s="271"/>
      <c r="AM43" s="271"/>
      <c r="AN43" s="271"/>
      <c r="AO43" s="271"/>
    </row>
    <row r="44" spans="2:41" ht="12">
      <c r="B44" s="279"/>
      <c r="C44" s="280"/>
      <c r="D44" s="281"/>
      <c r="E44" s="280"/>
      <c r="F44" s="281"/>
      <c r="G44" s="269"/>
      <c r="H44" s="271"/>
      <c r="I44" s="292" t="s">
        <v>565</v>
      </c>
      <c r="J44" s="271"/>
      <c r="K44" s="271"/>
      <c r="L44" s="271"/>
      <c r="M44" s="271"/>
      <c r="N44" s="501" t="s">
        <v>664</v>
      </c>
      <c r="O44" s="295" t="s">
        <v>686</v>
      </c>
      <c r="P44" s="297">
        <v>8</v>
      </c>
      <c r="Q44" s="269"/>
      <c r="R44" s="498"/>
      <c r="S44" s="271"/>
      <c r="T44" s="810"/>
      <c r="U44" s="811" t="s">
        <v>1652</v>
      </c>
      <c r="V44" s="811">
        <v>14</v>
      </c>
      <c r="W44" s="808"/>
      <c r="X44" s="812">
        <f t="shared" si="26"/>
        <v>12.727272727272727</v>
      </c>
      <c r="Y44" s="812">
        <f t="shared" si="27"/>
        <v>11.666666666666668</v>
      </c>
      <c r="Z44" s="812">
        <f t="shared" si="28"/>
        <v>10</v>
      </c>
      <c r="AA44" s="812">
        <f t="shared" si="29"/>
        <v>8.2352941176470598</v>
      </c>
      <c r="AB44" s="1642">
        <v>0.72</v>
      </c>
      <c r="AC44" s="1643">
        <f t="shared" si="14"/>
        <v>200.00015999999999</v>
      </c>
      <c r="AD44" s="811">
        <v>1</v>
      </c>
      <c r="AE44" s="271"/>
      <c r="AF44" s="271"/>
      <c r="AG44" s="271"/>
      <c r="AH44" s="271"/>
      <c r="AI44" s="271"/>
      <c r="AJ44" s="271"/>
      <c r="AK44" s="271"/>
      <c r="AL44" s="271"/>
      <c r="AM44" s="271"/>
      <c r="AN44" s="271"/>
      <c r="AO44" s="271"/>
    </row>
    <row r="45" spans="2:41" ht="12">
      <c r="H45" s="271"/>
      <c r="I45" s="291" t="s">
        <v>566</v>
      </c>
      <c r="J45" s="271"/>
      <c r="K45" s="271"/>
      <c r="L45" s="271"/>
      <c r="M45" s="271"/>
      <c r="N45" s="501" t="s">
        <v>666</v>
      </c>
      <c r="O45" s="295" t="s">
        <v>687</v>
      </c>
      <c r="P45" s="297">
        <v>36</v>
      </c>
      <c r="Q45" s="269"/>
      <c r="R45" s="498"/>
      <c r="S45" s="271"/>
      <c r="T45" s="813" t="s">
        <v>1653</v>
      </c>
      <c r="U45" s="811" t="s">
        <v>1654</v>
      </c>
      <c r="V45" s="808">
        <v>900</v>
      </c>
      <c r="W45" s="808"/>
      <c r="X45" s="812">
        <f t="shared" si="26"/>
        <v>818.18181818181813</v>
      </c>
      <c r="Y45" s="812">
        <f t="shared" si="27"/>
        <v>750</v>
      </c>
      <c r="Z45" s="812">
        <f t="shared" si="28"/>
        <v>642.85714285714289</v>
      </c>
      <c r="AA45" s="812">
        <f t="shared" si="29"/>
        <v>529.41176470588232</v>
      </c>
      <c r="AB45" s="1642">
        <v>0.86</v>
      </c>
      <c r="AC45" s="1643">
        <f t="shared" si="14"/>
        <v>238.88908000000001</v>
      </c>
      <c r="AD45" s="808"/>
      <c r="AE45" s="271"/>
      <c r="AF45" s="271"/>
      <c r="AG45" s="271"/>
      <c r="AH45" s="271"/>
      <c r="AI45" s="271"/>
      <c r="AJ45" s="271"/>
      <c r="AK45" s="271"/>
      <c r="AL45" s="271"/>
      <c r="AM45" s="271"/>
      <c r="AN45" s="271"/>
      <c r="AO45" s="271"/>
    </row>
    <row r="46" spans="2:41" ht="12">
      <c r="B46" s="260" t="s">
        <v>595</v>
      </c>
      <c r="C46" s="260" t="s">
        <v>598</v>
      </c>
      <c r="D46" s="266" t="s">
        <v>618</v>
      </c>
      <c r="E46" s="264" t="s">
        <v>619</v>
      </c>
      <c r="F46" s="264"/>
      <c r="G46" s="264"/>
      <c r="H46" s="271"/>
      <c r="I46" s="292" t="s">
        <v>567</v>
      </c>
      <c r="J46" s="271"/>
      <c r="K46" s="271"/>
      <c r="L46" s="271"/>
      <c r="M46" s="271"/>
      <c r="N46" s="500">
        <v>6</v>
      </c>
      <c r="O46" s="267" t="s">
        <v>688</v>
      </c>
      <c r="P46" s="297"/>
      <c r="Q46" s="269"/>
      <c r="R46" s="498"/>
      <c r="S46" s="271"/>
      <c r="T46" s="813" t="s">
        <v>1653</v>
      </c>
      <c r="U46" s="811" t="s">
        <v>1655</v>
      </c>
      <c r="V46" s="808">
        <v>800</v>
      </c>
      <c r="W46" s="808"/>
      <c r="X46" s="812">
        <f t="shared" si="26"/>
        <v>727.27272727272725</v>
      </c>
      <c r="Y46" s="812">
        <f t="shared" si="27"/>
        <v>666.66666666666674</v>
      </c>
      <c r="Z46" s="812">
        <f t="shared" si="28"/>
        <v>571.42857142857144</v>
      </c>
      <c r="AA46" s="812">
        <f t="shared" si="29"/>
        <v>470.58823529411768</v>
      </c>
      <c r="AB46" s="1642">
        <v>0.86</v>
      </c>
      <c r="AC46" s="1643">
        <f t="shared" si="14"/>
        <v>238.88908000000001</v>
      </c>
      <c r="AD46" s="808"/>
      <c r="AE46" s="271"/>
      <c r="AF46" s="271"/>
      <c r="AG46" s="271"/>
      <c r="AH46" s="271"/>
      <c r="AI46" s="271"/>
      <c r="AJ46" s="271"/>
      <c r="AK46" s="271"/>
      <c r="AL46" s="271"/>
      <c r="AM46" s="271"/>
      <c r="AN46" s="271"/>
      <c r="AO46" s="271"/>
    </row>
    <row r="47" spans="2:41" ht="12">
      <c r="B47" s="260" t="s">
        <v>596</v>
      </c>
      <c r="C47" s="264"/>
      <c r="D47" s="264"/>
      <c r="E47" s="264"/>
      <c r="F47" s="264"/>
      <c r="G47" s="264"/>
      <c r="H47" s="271"/>
      <c r="I47" s="292" t="s">
        <v>568</v>
      </c>
      <c r="J47" s="271"/>
      <c r="K47" s="271"/>
      <c r="L47" s="271"/>
      <c r="M47" s="271"/>
      <c r="N47" s="501" t="s">
        <v>689</v>
      </c>
      <c r="O47" s="295" t="s">
        <v>690</v>
      </c>
      <c r="P47" s="297">
        <v>375</v>
      </c>
      <c r="Q47" s="269"/>
      <c r="R47" s="498"/>
      <c r="S47" s="271"/>
      <c r="T47" s="813" t="s">
        <v>1653</v>
      </c>
      <c r="U47" s="811" t="s">
        <v>1656</v>
      </c>
      <c r="V47" s="808">
        <v>700</v>
      </c>
      <c r="W47" s="808"/>
      <c r="X47" s="812">
        <f t="shared" si="26"/>
        <v>636.36363636363626</v>
      </c>
      <c r="Y47" s="812">
        <f t="shared" si="27"/>
        <v>583.33333333333337</v>
      </c>
      <c r="Z47" s="812">
        <f t="shared" si="28"/>
        <v>500.00000000000006</v>
      </c>
      <c r="AA47" s="812">
        <f t="shared" si="29"/>
        <v>411.76470588235293</v>
      </c>
      <c r="AB47" s="1642"/>
      <c r="AC47" s="1643">
        <f t="shared" si="14"/>
        <v>0</v>
      </c>
      <c r="AD47" s="808"/>
      <c r="AE47" s="271"/>
      <c r="AF47" s="271"/>
      <c r="AG47" s="271"/>
      <c r="AH47" s="271"/>
      <c r="AI47" s="271"/>
      <c r="AJ47" s="271"/>
      <c r="AK47" s="271"/>
      <c r="AL47" s="271"/>
      <c r="AM47" s="271"/>
      <c r="AN47" s="271"/>
      <c r="AO47" s="271"/>
    </row>
    <row r="48" spans="2:41" ht="12">
      <c r="B48" s="269" t="s">
        <v>597</v>
      </c>
      <c r="C48" s="283" t="s">
        <v>599</v>
      </c>
      <c r="D48" s="278" t="s">
        <v>603</v>
      </c>
      <c r="E48" s="269"/>
      <c r="F48" s="269"/>
      <c r="G48" s="269"/>
      <c r="H48" s="271"/>
      <c r="I48" s="291" t="s">
        <v>569</v>
      </c>
      <c r="J48" s="271"/>
      <c r="K48" s="271"/>
      <c r="L48" s="271"/>
      <c r="M48" s="271"/>
      <c r="N48" s="501" t="s">
        <v>691</v>
      </c>
      <c r="O48" s="295" t="s">
        <v>679</v>
      </c>
      <c r="P48" s="297">
        <v>50</v>
      </c>
      <c r="Q48" s="269"/>
      <c r="R48" s="498"/>
      <c r="S48" s="271"/>
      <c r="T48" s="807" t="s">
        <v>262</v>
      </c>
      <c r="U48" s="808"/>
      <c r="V48" s="804"/>
      <c r="W48" s="807">
        <v>262</v>
      </c>
      <c r="X48" s="809">
        <f>W48/1.1</f>
        <v>238.18181818181816</v>
      </c>
      <c r="Y48" s="809">
        <f>W48/1.2</f>
        <v>218.33333333333334</v>
      </c>
      <c r="Z48" s="809">
        <f>W48/1.4</f>
        <v>187.14285714285717</v>
      </c>
      <c r="AA48" s="809">
        <f>W48/1.7</f>
        <v>154.11764705882354</v>
      </c>
      <c r="AB48" s="1642"/>
      <c r="AC48" s="1643">
        <f t="shared" si="14"/>
        <v>0</v>
      </c>
      <c r="AD48" s="808"/>
      <c r="AE48" s="271"/>
      <c r="AF48" s="271"/>
      <c r="AG48" s="271"/>
      <c r="AH48" s="271"/>
      <c r="AI48" s="271"/>
      <c r="AJ48" s="271"/>
      <c r="AK48" s="271"/>
      <c r="AL48" s="271"/>
      <c r="AM48" s="271"/>
      <c r="AN48" s="271"/>
      <c r="AO48" s="271"/>
    </row>
    <row r="49" spans="2:41" ht="12">
      <c r="B49" s="269" t="s">
        <v>600</v>
      </c>
      <c r="C49" s="283" t="s">
        <v>601</v>
      </c>
      <c r="D49" s="278" t="s">
        <v>602</v>
      </c>
      <c r="E49" s="269"/>
      <c r="F49" s="269"/>
      <c r="G49" s="269"/>
      <c r="H49" s="271"/>
      <c r="I49" s="292" t="s">
        <v>570</v>
      </c>
      <c r="J49" s="271"/>
      <c r="K49" s="271"/>
      <c r="L49" s="271"/>
      <c r="M49" s="271"/>
      <c r="N49" s="501" t="s">
        <v>692</v>
      </c>
      <c r="O49" s="295" t="s">
        <v>693</v>
      </c>
      <c r="P49" s="297">
        <v>40</v>
      </c>
      <c r="Q49" s="269"/>
      <c r="R49" s="498"/>
      <c r="S49" s="271"/>
      <c r="T49" s="810"/>
      <c r="U49" s="811" t="s">
        <v>1657</v>
      </c>
      <c r="V49" s="811">
        <v>387</v>
      </c>
      <c r="W49" s="808"/>
      <c r="X49" s="812">
        <f t="shared" ref="X49:X54" si="30">V49/1.1</f>
        <v>351.81818181818181</v>
      </c>
      <c r="Y49" s="812">
        <f t="shared" ref="Y49:Y54" si="31">V49/1.2</f>
        <v>322.5</v>
      </c>
      <c r="Z49" s="812">
        <f t="shared" ref="Z49:Z54" si="32">V49/1.4</f>
        <v>276.42857142857144</v>
      </c>
      <c r="AA49" s="812">
        <f t="shared" ref="AA49:AA54" si="33">V49/1.7</f>
        <v>227.64705882352942</v>
      </c>
      <c r="AB49" s="1642"/>
      <c r="AC49" s="1643">
        <f t="shared" si="14"/>
        <v>0</v>
      </c>
      <c r="AD49" s="811">
        <v>1</v>
      </c>
      <c r="AE49" s="271"/>
      <c r="AF49" s="271"/>
      <c r="AG49" s="271"/>
      <c r="AH49" s="271"/>
      <c r="AI49" s="271"/>
      <c r="AJ49" s="271"/>
      <c r="AK49" s="271"/>
      <c r="AL49" s="271"/>
      <c r="AM49" s="271"/>
      <c r="AN49" s="271"/>
      <c r="AO49" s="271"/>
    </row>
    <row r="50" spans="2:41" ht="12">
      <c r="B50" s="269" t="s">
        <v>604</v>
      </c>
      <c r="C50" s="283" t="s">
        <v>605</v>
      </c>
      <c r="D50" s="278" t="s">
        <v>606</v>
      </c>
      <c r="E50" s="269"/>
      <c r="F50" s="269"/>
      <c r="G50" s="269"/>
      <c r="H50" s="271"/>
      <c r="I50" s="271"/>
      <c r="J50" s="271"/>
      <c r="K50" s="271"/>
      <c r="L50" s="273"/>
      <c r="M50" s="273"/>
      <c r="N50" s="501">
        <v>7</v>
      </c>
      <c r="O50" s="295" t="s">
        <v>694</v>
      </c>
      <c r="P50" s="297">
        <v>75</v>
      </c>
      <c r="Q50" s="269"/>
      <c r="R50" s="498"/>
      <c r="S50" s="271"/>
      <c r="T50" s="810"/>
      <c r="U50" s="811" t="s">
        <v>1658</v>
      </c>
      <c r="V50" s="811">
        <v>220</v>
      </c>
      <c r="W50" s="808"/>
      <c r="X50" s="812">
        <f t="shared" si="30"/>
        <v>199.99999999999997</v>
      </c>
      <c r="Y50" s="812">
        <f t="shared" si="31"/>
        <v>183.33333333333334</v>
      </c>
      <c r="Z50" s="812">
        <f t="shared" si="32"/>
        <v>157.14285714285714</v>
      </c>
      <c r="AA50" s="812">
        <f t="shared" si="33"/>
        <v>129.41176470588235</v>
      </c>
      <c r="AB50" s="1642">
        <v>0.82</v>
      </c>
      <c r="AC50" s="1643">
        <f t="shared" si="14"/>
        <v>227.77796000000001</v>
      </c>
      <c r="AD50" s="811">
        <v>2</v>
      </c>
      <c r="AE50" s="271"/>
      <c r="AF50" s="271"/>
      <c r="AG50" s="271"/>
      <c r="AH50" s="271"/>
      <c r="AI50" s="271"/>
      <c r="AJ50" s="271"/>
      <c r="AK50" s="271"/>
      <c r="AL50" s="271"/>
      <c r="AM50" s="271"/>
      <c r="AN50" s="271"/>
      <c r="AO50" s="271"/>
    </row>
    <row r="51" spans="2:41" ht="12">
      <c r="B51" s="269" t="s">
        <v>607</v>
      </c>
      <c r="C51" s="283" t="s">
        <v>608</v>
      </c>
      <c r="D51" s="278" t="s">
        <v>609</v>
      </c>
      <c r="E51" s="269"/>
      <c r="F51" s="269"/>
      <c r="G51" s="269"/>
      <c r="H51" s="271"/>
      <c r="I51" s="271"/>
      <c r="J51" s="271"/>
      <c r="K51" s="271"/>
      <c r="L51" s="271"/>
      <c r="M51" s="271"/>
      <c r="N51" s="500">
        <v>8</v>
      </c>
      <c r="O51" s="267" t="s">
        <v>695</v>
      </c>
      <c r="P51" s="297"/>
      <c r="Q51" s="269"/>
      <c r="R51" s="498"/>
      <c r="S51" s="271"/>
      <c r="T51" s="810"/>
      <c r="U51" s="811" t="s">
        <v>1659</v>
      </c>
      <c r="V51" s="811">
        <v>220</v>
      </c>
      <c r="W51" s="808"/>
      <c r="X51" s="812">
        <f t="shared" si="30"/>
        <v>199.99999999999997</v>
      </c>
      <c r="Y51" s="812">
        <f t="shared" si="31"/>
        <v>183.33333333333334</v>
      </c>
      <c r="Z51" s="812">
        <f t="shared" si="32"/>
        <v>157.14285714285714</v>
      </c>
      <c r="AA51" s="812">
        <f t="shared" si="33"/>
        <v>129.41176470588235</v>
      </c>
      <c r="AB51" s="1642"/>
      <c r="AC51" s="1643">
        <f t="shared" si="14"/>
        <v>0</v>
      </c>
      <c r="AD51" s="811">
        <v>2</v>
      </c>
      <c r="AE51" s="271"/>
      <c r="AF51" s="271"/>
      <c r="AG51" s="271"/>
      <c r="AH51" s="271"/>
      <c r="AI51" s="271"/>
      <c r="AJ51" s="271"/>
      <c r="AK51" s="271"/>
      <c r="AL51" s="271"/>
      <c r="AM51" s="271"/>
      <c r="AN51" s="271"/>
      <c r="AO51" s="271"/>
    </row>
    <row r="52" spans="2:41" ht="12">
      <c r="B52" s="269"/>
      <c r="C52" s="283"/>
      <c r="D52" s="269"/>
      <c r="E52" s="269"/>
      <c r="F52" s="269"/>
      <c r="G52" s="269"/>
      <c r="H52" s="271"/>
      <c r="I52" s="271"/>
      <c r="J52" s="271"/>
      <c r="K52" s="271"/>
      <c r="L52" s="271"/>
      <c r="M52" s="271"/>
      <c r="N52" s="501" t="s">
        <v>696</v>
      </c>
      <c r="O52" s="295" t="s">
        <v>697</v>
      </c>
      <c r="P52" s="297">
        <v>275</v>
      </c>
      <c r="Q52" s="269"/>
      <c r="R52" s="498"/>
      <c r="S52" s="271"/>
      <c r="T52" s="810"/>
      <c r="U52" s="811" t="s">
        <v>1660</v>
      </c>
      <c r="V52" s="811">
        <v>256</v>
      </c>
      <c r="W52" s="808"/>
      <c r="X52" s="812">
        <f t="shared" si="30"/>
        <v>232.72727272727272</v>
      </c>
      <c r="Y52" s="812">
        <f t="shared" si="31"/>
        <v>213.33333333333334</v>
      </c>
      <c r="Z52" s="812">
        <f t="shared" si="32"/>
        <v>182.85714285714286</v>
      </c>
      <c r="AA52" s="812">
        <f t="shared" si="33"/>
        <v>150.58823529411765</v>
      </c>
      <c r="AB52" s="1642"/>
      <c r="AC52" s="1643">
        <f t="shared" si="14"/>
        <v>0</v>
      </c>
      <c r="AD52" s="811">
        <v>2</v>
      </c>
      <c r="AE52" s="271"/>
      <c r="AF52" s="271"/>
      <c r="AG52" s="271"/>
      <c r="AH52" s="271"/>
      <c r="AI52" s="271"/>
      <c r="AJ52" s="271"/>
      <c r="AK52" s="271"/>
      <c r="AL52" s="271"/>
      <c r="AM52" s="271"/>
      <c r="AN52" s="271"/>
      <c r="AO52" s="271"/>
    </row>
    <row r="53" spans="2:41" ht="12" customHeight="1">
      <c r="B53" s="283" t="s">
        <v>610</v>
      </c>
      <c r="C53" s="283" t="s">
        <v>611</v>
      </c>
      <c r="D53" s="269" t="s">
        <v>616</v>
      </c>
      <c r="E53" s="269"/>
      <c r="F53" s="269"/>
      <c r="G53" s="269"/>
      <c r="H53" s="271"/>
      <c r="I53" s="271"/>
      <c r="J53" s="271"/>
      <c r="K53" s="271"/>
      <c r="L53" s="271"/>
      <c r="M53" s="271"/>
      <c r="N53" s="501" t="s">
        <v>698</v>
      </c>
      <c r="O53" s="295" t="s">
        <v>699</v>
      </c>
      <c r="P53" s="297">
        <v>190</v>
      </c>
      <c r="Q53" s="269"/>
      <c r="R53" s="498"/>
      <c r="S53" s="271"/>
      <c r="T53" s="810"/>
      <c r="U53" s="811" t="s">
        <v>1661</v>
      </c>
      <c r="V53" s="811">
        <v>267</v>
      </c>
      <c r="W53" s="808"/>
      <c r="X53" s="812">
        <f t="shared" si="30"/>
        <v>242.72727272727272</v>
      </c>
      <c r="Y53" s="812">
        <f t="shared" si="31"/>
        <v>222.5</v>
      </c>
      <c r="Z53" s="812">
        <f t="shared" si="32"/>
        <v>190.71428571428572</v>
      </c>
      <c r="AA53" s="812">
        <f t="shared" si="33"/>
        <v>157.05882352941177</v>
      </c>
      <c r="AB53" s="1642"/>
      <c r="AC53" s="1643">
        <f t="shared" si="14"/>
        <v>0</v>
      </c>
      <c r="AD53" s="811">
        <v>2</v>
      </c>
      <c r="AE53" s="271"/>
      <c r="AF53" s="271"/>
      <c r="AG53" s="271"/>
      <c r="AH53" s="271"/>
      <c r="AI53" s="271"/>
      <c r="AJ53" s="271"/>
      <c r="AK53" s="271"/>
      <c r="AL53" s="271"/>
      <c r="AM53" s="271"/>
      <c r="AN53" s="271"/>
      <c r="AO53" s="271"/>
    </row>
    <row r="54" spans="2:41" ht="12" customHeight="1">
      <c r="B54" s="269" t="s">
        <v>612</v>
      </c>
      <c r="C54" s="283" t="s">
        <v>613</v>
      </c>
      <c r="D54" s="278" t="s">
        <v>617</v>
      </c>
      <c r="E54" s="269"/>
      <c r="F54" s="269"/>
      <c r="G54" s="269"/>
      <c r="H54" s="271"/>
      <c r="I54" s="271"/>
      <c r="J54" s="271"/>
      <c r="K54" s="271"/>
      <c r="L54" s="271"/>
      <c r="M54" s="271"/>
      <c r="N54" s="500">
        <v>9</v>
      </c>
      <c r="O54" s="267" t="s">
        <v>700</v>
      </c>
      <c r="P54" s="297"/>
      <c r="Q54" s="269"/>
      <c r="R54" s="498"/>
      <c r="S54" s="271"/>
      <c r="T54" s="810"/>
      <c r="U54" s="811" t="s">
        <v>1662</v>
      </c>
      <c r="V54" s="811">
        <v>220</v>
      </c>
      <c r="W54" s="808"/>
      <c r="X54" s="812">
        <f t="shared" si="30"/>
        <v>199.99999999999997</v>
      </c>
      <c r="Y54" s="812">
        <f t="shared" si="31"/>
        <v>183.33333333333334</v>
      </c>
      <c r="Z54" s="812">
        <f t="shared" si="32"/>
        <v>157.14285714285714</v>
      </c>
      <c r="AA54" s="812">
        <f t="shared" si="33"/>
        <v>129.41176470588235</v>
      </c>
      <c r="AB54" s="1642"/>
      <c r="AC54" s="1643">
        <f t="shared" si="14"/>
        <v>0</v>
      </c>
      <c r="AD54" s="811">
        <v>2</v>
      </c>
      <c r="AE54" s="271"/>
      <c r="AF54" s="271"/>
      <c r="AG54" s="271"/>
      <c r="AH54" s="271"/>
      <c r="AI54" s="271"/>
      <c r="AJ54" s="271"/>
      <c r="AK54" s="271"/>
      <c r="AL54" s="271"/>
      <c r="AM54" s="271"/>
      <c r="AN54" s="271"/>
      <c r="AO54" s="271"/>
    </row>
    <row r="55" spans="2:41" ht="12" customHeight="1">
      <c r="B55" s="269" t="s">
        <v>614</v>
      </c>
      <c r="C55" s="283" t="s">
        <v>605</v>
      </c>
      <c r="D55" s="269" t="s">
        <v>615</v>
      </c>
      <c r="E55" s="269"/>
      <c r="F55" s="269"/>
      <c r="G55" s="269"/>
      <c r="H55" s="271"/>
      <c r="I55" s="271"/>
      <c r="J55" s="271"/>
      <c r="K55" s="271"/>
      <c r="L55" s="271"/>
      <c r="M55" s="271"/>
      <c r="N55" s="501" t="s">
        <v>701</v>
      </c>
      <c r="O55" s="295" t="s">
        <v>702</v>
      </c>
      <c r="P55" s="297">
        <v>275</v>
      </c>
      <c r="Q55" s="269"/>
      <c r="R55" s="498"/>
      <c r="S55" s="271"/>
      <c r="T55" s="810"/>
      <c r="U55" s="811" t="s">
        <v>1634</v>
      </c>
      <c r="V55" s="811">
        <v>289</v>
      </c>
      <c r="W55" s="808"/>
      <c r="X55" s="812">
        <f>V55/1.1</f>
        <v>262.72727272727269</v>
      </c>
      <c r="Y55" s="812">
        <f>V55/1.2</f>
        <v>240.83333333333334</v>
      </c>
      <c r="Z55" s="812">
        <f>V55/1.4</f>
        <v>206.42857142857144</v>
      </c>
      <c r="AA55" s="812">
        <f>V55/1.7</f>
        <v>170</v>
      </c>
      <c r="AB55" s="1642">
        <v>0.87</v>
      </c>
      <c r="AC55" s="1643">
        <f t="shared" si="14"/>
        <v>241.66686000000001</v>
      </c>
      <c r="AD55" s="811">
        <v>1</v>
      </c>
      <c r="AE55" s="271"/>
      <c r="AF55" s="271"/>
      <c r="AG55" s="271"/>
      <c r="AH55" s="271"/>
      <c r="AI55" s="271"/>
      <c r="AJ55" s="271"/>
      <c r="AK55" s="271"/>
      <c r="AL55" s="271"/>
      <c r="AM55" s="271"/>
      <c r="AN55" s="271"/>
      <c r="AO55" s="271"/>
    </row>
    <row r="56" spans="2:41" ht="12" customHeight="1">
      <c r="B56" s="269"/>
      <c r="C56" s="269"/>
      <c r="D56" s="269"/>
      <c r="E56" s="269"/>
      <c r="F56" s="269"/>
      <c r="G56" s="269"/>
      <c r="H56" s="271"/>
      <c r="I56" s="271"/>
      <c r="J56" s="271"/>
      <c r="K56" s="271"/>
      <c r="L56" s="271"/>
      <c r="M56" s="271"/>
      <c r="N56" s="501" t="s">
        <v>703</v>
      </c>
      <c r="O56" s="295" t="s">
        <v>679</v>
      </c>
      <c r="P56" s="297">
        <v>75</v>
      </c>
      <c r="Q56" s="269"/>
      <c r="R56" s="498"/>
      <c r="S56" s="271"/>
      <c r="T56" s="810"/>
      <c r="U56" s="811" t="s">
        <v>1635</v>
      </c>
      <c r="V56" s="811">
        <v>312</v>
      </c>
      <c r="W56" s="808"/>
      <c r="X56" s="812">
        <f>V56/1.1</f>
        <v>283.63636363636363</v>
      </c>
      <c r="Y56" s="812">
        <f>V56/1.2</f>
        <v>260</v>
      </c>
      <c r="Z56" s="812">
        <f>V56/1.4</f>
        <v>222.85714285714286</v>
      </c>
      <c r="AA56" s="812">
        <f>V56/1.7</f>
        <v>183.52941176470588</v>
      </c>
      <c r="AB56" s="1642">
        <v>0.87</v>
      </c>
      <c r="AC56" s="1643">
        <f t="shared" si="14"/>
        <v>241.66686000000001</v>
      </c>
      <c r="AD56" s="811">
        <v>1</v>
      </c>
      <c r="AE56" s="271"/>
      <c r="AF56" s="271"/>
      <c r="AG56" s="271"/>
      <c r="AH56" s="271"/>
      <c r="AI56" s="271"/>
      <c r="AJ56" s="271"/>
      <c r="AK56" s="271"/>
      <c r="AL56" s="271"/>
      <c r="AM56" s="271"/>
      <c r="AN56" s="271"/>
      <c r="AO56" s="271"/>
    </row>
    <row r="57" spans="2:41" ht="12" customHeight="1">
      <c r="B57" s="269"/>
      <c r="C57" s="284"/>
      <c r="D57" s="269"/>
      <c r="E57" s="269"/>
      <c r="F57" s="269"/>
      <c r="G57" s="269"/>
      <c r="H57" s="271"/>
      <c r="I57" s="271"/>
      <c r="J57" s="271"/>
      <c r="K57" s="271"/>
      <c r="L57" s="271"/>
      <c r="M57" s="271"/>
      <c r="N57" s="500">
        <v>10</v>
      </c>
      <c r="O57" s="267" t="s">
        <v>704</v>
      </c>
      <c r="P57" s="297"/>
      <c r="Q57" s="269"/>
      <c r="R57" s="498"/>
      <c r="S57" s="271"/>
      <c r="T57" s="810"/>
      <c r="U57" s="811" t="s">
        <v>1636</v>
      </c>
      <c r="V57" s="811">
        <v>296</v>
      </c>
      <c r="W57" s="808"/>
      <c r="X57" s="812">
        <f>V57/1.1</f>
        <v>269.09090909090907</v>
      </c>
      <c r="Y57" s="812">
        <f>V57/1.2</f>
        <v>246.66666666666669</v>
      </c>
      <c r="Z57" s="812">
        <f>V57/1.4</f>
        <v>211.42857142857144</v>
      </c>
      <c r="AA57" s="812">
        <f>V57/1.7</f>
        <v>174.11764705882354</v>
      </c>
      <c r="AB57" s="1642">
        <v>0.87</v>
      </c>
      <c r="AC57" s="1643">
        <f t="shared" si="14"/>
        <v>241.66686000000001</v>
      </c>
      <c r="AD57" s="811">
        <v>1</v>
      </c>
      <c r="AE57" s="271"/>
      <c r="AF57" s="271"/>
      <c r="AG57" s="271"/>
      <c r="AH57" s="271"/>
      <c r="AI57" s="271"/>
      <c r="AJ57" s="271"/>
      <c r="AK57" s="271"/>
      <c r="AL57" s="271"/>
      <c r="AM57" s="271"/>
      <c r="AN57" s="271"/>
      <c r="AO57" s="271"/>
    </row>
    <row r="58" spans="2:41" ht="12" customHeight="1">
      <c r="B58" s="269"/>
      <c r="C58" s="284"/>
      <c r="D58" s="269"/>
      <c r="E58" s="269"/>
      <c r="F58" s="269"/>
      <c r="G58" s="269"/>
      <c r="H58" s="271"/>
      <c r="I58" s="271"/>
      <c r="J58" s="271"/>
      <c r="K58" s="271"/>
      <c r="L58" s="271"/>
      <c r="M58" s="271"/>
      <c r="N58" s="501" t="s">
        <v>705</v>
      </c>
      <c r="O58" s="295" t="s">
        <v>706</v>
      </c>
      <c r="P58" s="297">
        <v>75</v>
      </c>
      <c r="Q58" s="269"/>
      <c r="R58" s="498"/>
      <c r="S58" s="271"/>
      <c r="AE58" s="271"/>
      <c r="AF58" s="271"/>
      <c r="AG58" s="271"/>
      <c r="AH58" s="271"/>
      <c r="AI58" s="271"/>
      <c r="AJ58" s="271"/>
      <c r="AK58" s="271"/>
      <c r="AL58" s="271"/>
      <c r="AM58" s="271"/>
      <c r="AN58" s="271"/>
      <c r="AO58" s="271"/>
    </row>
    <row r="59" spans="2:41" ht="12" customHeight="1">
      <c r="B59" s="269"/>
      <c r="C59" s="284"/>
      <c r="D59" s="269"/>
      <c r="E59" s="269"/>
      <c r="F59" s="269"/>
      <c r="G59" s="269"/>
      <c r="H59" s="271"/>
      <c r="I59" s="271"/>
      <c r="J59" s="271"/>
      <c r="K59" s="271"/>
      <c r="L59" s="271"/>
      <c r="M59" s="271"/>
      <c r="N59" s="501" t="s">
        <v>707</v>
      </c>
      <c r="O59" s="295" t="s">
        <v>708</v>
      </c>
      <c r="P59" s="297">
        <v>125</v>
      </c>
      <c r="Q59" s="269"/>
      <c r="R59" s="498"/>
      <c r="S59" s="271"/>
      <c r="T59" s="807" t="s">
        <v>259</v>
      </c>
      <c r="U59" s="808"/>
      <c r="V59" s="808"/>
      <c r="W59" s="808"/>
      <c r="X59" s="808"/>
      <c r="Y59" s="808"/>
      <c r="Z59" s="808"/>
      <c r="AA59" s="808"/>
      <c r="AB59" s="1642">
        <v>0.86</v>
      </c>
      <c r="AC59" s="1643">
        <f>AB59*277.778</f>
        <v>238.88908000000001</v>
      </c>
      <c r="AD59" s="808"/>
      <c r="AE59" s="271"/>
      <c r="AF59" s="271"/>
      <c r="AG59" s="271"/>
      <c r="AH59" s="271"/>
      <c r="AI59" s="271"/>
      <c r="AJ59" s="271"/>
      <c r="AK59" s="271"/>
      <c r="AL59" s="271"/>
      <c r="AM59" s="271"/>
      <c r="AN59" s="271"/>
      <c r="AO59" s="271"/>
    </row>
    <row r="60" spans="2:41" ht="12" customHeight="1">
      <c r="B60" s="285" t="s">
        <v>623</v>
      </c>
      <c r="C60" s="284"/>
      <c r="D60" s="269"/>
      <c r="E60" s="269"/>
      <c r="F60" s="269"/>
      <c r="G60" s="269"/>
      <c r="H60" s="271"/>
      <c r="I60" s="271"/>
      <c r="J60" s="271"/>
      <c r="K60" s="271"/>
      <c r="L60" s="271"/>
      <c r="M60" s="271"/>
      <c r="N60" s="500">
        <v>11</v>
      </c>
      <c r="O60" s="267" t="s">
        <v>709</v>
      </c>
      <c r="P60" s="297"/>
      <c r="Q60" s="269"/>
      <c r="R60" s="498"/>
      <c r="S60" s="271"/>
      <c r="T60" s="807" t="s">
        <v>261</v>
      </c>
      <c r="U60" s="808"/>
      <c r="V60" s="808"/>
      <c r="W60" s="808"/>
      <c r="X60" s="808"/>
      <c r="Y60" s="808"/>
      <c r="Z60" s="808"/>
      <c r="AA60" s="808"/>
      <c r="AB60" s="1642"/>
      <c r="AC60" s="1643">
        <f>AB60*277.778</f>
        <v>0</v>
      </c>
      <c r="AD60" s="808"/>
      <c r="AE60" s="271"/>
      <c r="AF60" s="271"/>
      <c r="AG60" s="271"/>
      <c r="AH60" s="271"/>
      <c r="AI60" s="271"/>
      <c r="AJ60" s="271"/>
      <c r="AK60" s="271"/>
      <c r="AL60" s="271"/>
      <c r="AM60" s="271"/>
      <c r="AN60" s="271"/>
      <c r="AO60" s="271"/>
    </row>
    <row r="61" spans="2:41" ht="12" customHeight="1">
      <c r="B61" s="285" t="s">
        <v>620</v>
      </c>
      <c r="C61" s="284"/>
      <c r="D61" s="269"/>
      <c r="E61" s="269"/>
      <c r="F61" s="269"/>
      <c r="G61" s="269"/>
      <c r="H61" s="271"/>
      <c r="I61" s="271"/>
      <c r="J61" s="271"/>
      <c r="K61" s="271"/>
      <c r="L61" s="271"/>
      <c r="M61" s="271"/>
      <c r="N61" s="501" t="s">
        <v>710</v>
      </c>
      <c r="O61" s="295" t="s">
        <v>711</v>
      </c>
      <c r="P61" s="297">
        <v>60</v>
      </c>
      <c r="Q61" s="269"/>
      <c r="R61" s="498"/>
      <c r="S61" s="271"/>
      <c r="T61" s="805"/>
      <c r="U61" s="814"/>
      <c r="V61" s="814"/>
      <c r="W61" s="814"/>
      <c r="X61" s="814"/>
      <c r="Y61" s="814"/>
      <c r="Z61" s="814"/>
      <c r="AA61" s="814"/>
      <c r="AB61" s="1640"/>
      <c r="AC61" s="1641"/>
      <c r="AD61" s="814"/>
      <c r="AE61" s="271"/>
      <c r="AF61" s="271"/>
      <c r="AG61" s="271"/>
      <c r="AH61" s="271"/>
      <c r="AI61" s="271"/>
      <c r="AJ61" s="271"/>
      <c r="AK61" s="271"/>
      <c r="AL61" s="271"/>
      <c r="AM61" s="271"/>
      <c r="AN61" s="271"/>
      <c r="AO61" s="271"/>
    </row>
    <row r="62" spans="2:41" ht="12" customHeight="1">
      <c r="B62" s="817" t="s">
        <v>622</v>
      </c>
      <c r="C62" s="817"/>
      <c r="D62" s="817"/>
      <c r="E62" s="817"/>
      <c r="F62" s="817"/>
      <c r="G62" s="817"/>
      <c r="H62" s="271"/>
      <c r="I62" s="271"/>
      <c r="J62" s="271"/>
      <c r="K62" s="271"/>
      <c r="L62" s="271"/>
      <c r="M62" s="271"/>
      <c r="N62" s="501" t="s">
        <v>712</v>
      </c>
      <c r="O62" s="295" t="s">
        <v>713</v>
      </c>
      <c r="P62" s="297">
        <v>190</v>
      </c>
      <c r="Q62" s="269"/>
      <c r="R62" s="498"/>
      <c r="S62" s="271"/>
      <c r="T62" s="815" t="s">
        <v>1669</v>
      </c>
      <c r="U62" s="814"/>
      <c r="V62" s="814"/>
      <c r="W62" s="814"/>
      <c r="X62" s="814"/>
      <c r="Y62" s="814"/>
      <c r="Z62" s="814"/>
      <c r="AA62" s="814"/>
      <c r="AB62" s="1640"/>
      <c r="AC62" s="1641"/>
      <c r="AD62" s="814"/>
      <c r="AE62" s="271"/>
      <c r="AF62" s="271"/>
      <c r="AG62" s="271"/>
      <c r="AH62" s="271"/>
      <c r="AI62" s="271"/>
      <c r="AJ62" s="271"/>
      <c r="AK62" s="271"/>
      <c r="AL62" s="271"/>
      <c r="AM62" s="271"/>
      <c r="AN62" s="271"/>
      <c r="AO62" s="271"/>
    </row>
    <row r="63" spans="2:41" ht="12" customHeight="1">
      <c r="B63" s="285" t="s">
        <v>621</v>
      </c>
      <c r="C63" s="284"/>
      <c r="D63" s="269"/>
      <c r="E63" s="269"/>
      <c r="F63" s="269"/>
      <c r="G63" s="269"/>
      <c r="H63" s="271"/>
      <c r="I63" s="271"/>
      <c r="J63" s="271"/>
      <c r="K63" s="271"/>
      <c r="L63" s="271"/>
      <c r="M63" s="271"/>
      <c r="N63" s="501" t="s">
        <v>714</v>
      </c>
      <c r="O63" s="295" t="s">
        <v>715</v>
      </c>
      <c r="P63" s="297">
        <v>95</v>
      </c>
      <c r="Q63" s="269"/>
      <c r="R63" s="498"/>
      <c r="S63" s="271"/>
      <c r="T63" s="815" t="s">
        <v>1663</v>
      </c>
      <c r="U63" s="814"/>
      <c r="V63" s="814"/>
      <c r="W63" s="814"/>
      <c r="X63" s="814"/>
      <c r="Y63" s="814"/>
      <c r="Z63" s="814"/>
      <c r="AA63" s="814"/>
      <c r="AB63" s="1640"/>
      <c r="AC63" s="1641"/>
      <c r="AD63" s="814"/>
      <c r="AE63" s="271"/>
      <c r="AF63" s="271"/>
      <c r="AG63" s="271"/>
      <c r="AH63" s="271"/>
      <c r="AI63" s="271"/>
      <c r="AJ63" s="271"/>
      <c r="AK63" s="271"/>
      <c r="AL63" s="271"/>
      <c r="AM63" s="271"/>
      <c r="AN63" s="271"/>
      <c r="AO63" s="271"/>
    </row>
    <row r="64" spans="2:41" ht="12" customHeight="1">
      <c r="B64" s="271"/>
      <c r="C64" s="272"/>
      <c r="D64" s="271"/>
      <c r="E64" s="271"/>
      <c r="F64" s="271"/>
      <c r="G64" s="271"/>
      <c r="H64" s="271"/>
      <c r="I64" s="271"/>
      <c r="J64" s="271"/>
      <c r="K64" s="271"/>
      <c r="L64" s="271"/>
      <c r="M64" s="271"/>
      <c r="N64" s="500">
        <v>12</v>
      </c>
      <c r="O64" s="267" t="s">
        <v>716</v>
      </c>
      <c r="P64" s="297"/>
      <c r="Q64" s="269"/>
      <c r="R64" s="498"/>
      <c r="S64" s="271"/>
      <c r="T64" s="816" t="s">
        <v>1664</v>
      </c>
      <c r="U64" s="814"/>
      <c r="V64" s="814"/>
      <c r="W64" s="814"/>
      <c r="X64" s="814"/>
      <c r="Y64" s="814"/>
      <c r="Z64" s="814"/>
      <c r="AA64" s="814"/>
      <c r="AB64" s="1640"/>
      <c r="AC64" s="1641"/>
      <c r="AD64" s="814"/>
      <c r="AE64" s="271"/>
      <c r="AF64" s="271"/>
      <c r="AG64" s="271"/>
      <c r="AH64" s="271"/>
      <c r="AI64" s="271"/>
      <c r="AJ64" s="271"/>
      <c r="AK64" s="271"/>
      <c r="AL64" s="271"/>
      <c r="AM64" s="271"/>
      <c r="AN64" s="271"/>
      <c r="AO64" s="271"/>
    </row>
    <row r="65" spans="2:41" ht="12" customHeight="1">
      <c r="B65" s="271"/>
      <c r="C65" s="272"/>
      <c r="D65" s="271"/>
      <c r="E65" s="271"/>
      <c r="F65" s="271"/>
      <c r="G65" s="271"/>
      <c r="H65" s="271"/>
      <c r="I65" s="271"/>
      <c r="J65" s="271"/>
      <c r="K65" s="271"/>
      <c r="L65" s="271"/>
      <c r="M65" s="271"/>
      <c r="N65" s="501" t="s">
        <v>717</v>
      </c>
      <c r="O65" s="295" t="s">
        <v>718</v>
      </c>
      <c r="P65" s="297">
        <v>125</v>
      </c>
      <c r="Q65" s="269"/>
      <c r="R65" s="498"/>
      <c r="S65" s="271"/>
      <c r="T65" s="816" t="s">
        <v>1665</v>
      </c>
      <c r="U65" s="814"/>
      <c r="V65" s="814"/>
      <c r="W65" s="814"/>
      <c r="X65" s="814"/>
      <c r="Y65" s="814"/>
      <c r="Z65" s="814"/>
      <c r="AA65" s="814"/>
      <c r="AB65" s="1640"/>
      <c r="AC65" s="1641"/>
      <c r="AD65" s="814"/>
      <c r="AE65" s="271"/>
      <c r="AF65" s="271"/>
      <c r="AG65" s="271"/>
      <c r="AH65" s="271"/>
      <c r="AI65" s="271"/>
      <c r="AJ65" s="271"/>
      <c r="AK65" s="271"/>
      <c r="AL65" s="271"/>
      <c r="AM65" s="271"/>
      <c r="AN65" s="271"/>
      <c r="AO65" s="271"/>
    </row>
    <row r="66" spans="2:41" ht="21" customHeight="1">
      <c r="B66" s="1678" t="s">
        <v>1982</v>
      </c>
      <c r="C66" s="272"/>
      <c r="D66" s="271"/>
      <c r="E66" s="271"/>
      <c r="F66" s="271"/>
      <c r="G66" s="271"/>
      <c r="H66" s="271"/>
      <c r="I66" s="271"/>
      <c r="J66" s="271"/>
      <c r="K66" s="271"/>
      <c r="L66" s="271"/>
      <c r="M66" s="271"/>
      <c r="N66" s="501" t="s">
        <v>719</v>
      </c>
      <c r="O66" s="295" t="s">
        <v>720</v>
      </c>
      <c r="P66" s="297">
        <v>200</v>
      </c>
      <c r="Q66" s="269"/>
      <c r="R66" s="498"/>
      <c r="S66" s="271"/>
      <c r="T66" s="816" t="s">
        <v>1666</v>
      </c>
      <c r="U66" s="814"/>
      <c r="V66" s="814"/>
      <c r="W66" s="814"/>
      <c r="X66" s="814"/>
      <c r="Y66" s="814"/>
      <c r="Z66" s="814"/>
      <c r="AA66" s="814"/>
      <c r="AB66" s="1640"/>
      <c r="AC66" s="1641"/>
      <c r="AD66" s="814"/>
      <c r="AE66" s="271"/>
      <c r="AF66" s="271"/>
      <c r="AG66" s="271"/>
      <c r="AH66" s="271"/>
      <c r="AI66" s="271"/>
      <c r="AJ66" s="271"/>
      <c r="AK66" s="271"/>
      <c r="AL66" s="271"/>
      <c r="AM66" s="271"/>
      <c r="AN66" s="271"/>
      <c r="AO66" s="271"/>
    </row>
    <row r="67" spans="2:41" ht="28" customHeight="1">
      <c r="B67" s="1645" t="s">
        <v>1963</v>
      </c>
      <c r="C67" s="1645" t="s">
        <v>1962</v>
      </c>
      <c r="D67" s="1645" t="s">
        <v>1964</v>
      </c>
      <c r="E67" s="1645" t="s">
        <v>1965</v>
      </c>
      <c r="F67" s="1646" t="s">
        <v>1974</v>
      </c>
      <c r="G67" s="1645" t="s">
        <v>1961</v>
      </c>
      <c r="H67" s="271"/>
      <c r="I67" s="271"/>
      <c r="J67" s="271"/>
      <c r="K67" s="271"/>
      <c r="L67" s="271"/>
      <c r="M67" s="271"/>
      <c r="N67" s="501" t="s">
        <v>721</v>
      </c>
      <c r="O67" s="295" t="s">
        <v>722</v>
      </c>
      <c r="P67" s="297">
        <v>400</v>
      </c>
      <c r="Q67" s="269"/>
      <c r="R67" s="498"/>
      <c r="S67" s="271"/>
      <c r="T67" s="816" t="s">
        <v>1667</v>
      </c>
      <c r="U67" s="814"/>
      <c r="V67" s="814"/>
      <c r="W67" s="814"/>
      <c r="X67" s="814"/>
      <c r="Y67" s="814"/>
      <c r="Z67" s="814"/>
      <c r="AA67" s="814"/>
      <c r="AB67" s="1640"/>
      <c r="AC67" s="1641"/>
      <c r="AD67" s="814"/>
      <c r="AE67" s="271"/>
      <c r="AF67" s="271"/>
      <c r="AG67" s="271"/>
      <c r="AH67" s="271"/>
      <c r="AI67" s="271"/>
      <c r="AJ67" s="271"/>
      <c r="AK67" s="271"/>
      <c r="AL67" s="271"/>
      <c r="AM67" s="271"/>
      <c r="AN67" s="271"/>
      <c r="AO67" s="271"/>
    </row>
    <row r="68" spans="2:41" ht="12" customHeight="1">
      <c r="B68" s="1644">
        <v>343</v>
      </c>
      <c r="C68" s="1644">
        <v>137.19999999999999</v>
      </c>
      <c r="D68" s="1644">
        <v>2.5499999999999998</v>
      </c>
      <c r="E68" s="1644">
        <f>C68*D68</f>
        <v>349.85999999999996</v>
      </c>
      <c r="F68" s="1647">
        <f>0.0524*E68*365</f>
        <v>6691.4223599999996</v>
      </c>
      <c r="G68" s="288" t="s">
        <v>1967</v>
      </c>
      <c r="H68" s="271"/>
      <c r="I68" s="271"/>
      <c r="J68" s="271"/>
      <c r="K68" s="271"/>
      <c r="L68" s="271"/>
      <c r="M68" s="271"/>
      <c r="N68" s="501" t="s">
        <v>723</v>
      </c>
      <c r="O68" s="295" t="s">
        <v>724</v>
      </c>
      <c r="P68" s="297">
        <v>60</v>
      </c>
      <c r="Q68" s="269"/>
      <c r="R68" s="498"/>
      <c r="S68" s="271"/>
      <c r="T68" s="816" t="s">
        <v>1674</v>
      </c>
      <c r="U68" s="814"/>
      <c r="V68" s="814"/>
      <c r="W68" s="814"/>
      <c r="X68" s="814"/>
      <c r="Y68" s="814"/>
      <c r="Z68" s="814"/>
      <c r="AA68" s="814"/>
      <c r="AB68" s="1640"/>
      <c r="AC68" s="1641"/>
      <c r="AD68" s="814"/>
      <c r="AE68" s="271"/>
      <c r="AF68" s="271"/>
      <c r="AG68" s="271"/>
      <c r="AH68" s="271"/>
      <c r="AI68" s="271"/>
      <c r="AJ68" s="271"/>
      <c r="AK68" s="271"/>
      <c r="AL68" s="271"/>
      <c r="AM68" s="271"/>
      <c r="AN68" s="271"/>
      <c r="AO68" s="271"/>
    </row>
    <row r="69" spans="2:41" ht="12" customHeight="1">
      <c r="B69" s="1666">
        <v>275</v>
      </c>
      <c r="C69" s="1658">
        <v>110</v>
      </c>
      <c r="D69" s="1658">
        <v>2.5499999999999998</v>
      </c>
      <c r="E69" s="1658">
        <f t="shared" ref="E69:E75" si="34">C69*D69</f>
        <v>280.5</v>
      </c>
      <c r="F69" s="1659">
        <f t="shared" ref="F69:F75" si="35">0.0524*E69*365</f>
        <v>5364.8429999999998</v>
      </c>
      <c r="G69" s="1660" t="s">
        <v>1968</v>
      </c>
      <c r="H69" s="271"/>
      <c r="I69" s="271"/>
      <c r="J69" s="271"/>
      <c r="K69" s="271"/>
      <c r="L69" s="271"/>
      <c r="M69" s="271"/>
      <c r="N69" s="504" t="s">
        <v>726</v>
      </c>
      <c r="O69" s="298" t="s">
        <v>725</v>
      </c>
      <c r="P69" s="299">
        <v>400</v>
      </c>
      <c r="Q69" s="269"/>
      <c r="R69" s="498"/>
      <c r="S69" s="271"/>
      <c r="T69" s="816" t="s">
        <v>1668</v>
      </c>
      <c r="U69" s="814"/>
      <c r="V69" s="814"/>
      <c r="W69" s="814"/>
      <c r="X69" s="814"/>
      <c r="Y69" s="814"/>
      <c r="Z69" s="814"/>
      <c r="AA69" s="814"/>
      <c r="AD69" s="814"/>
      <c r="AE69" s="271"/>
      <c r="AF69" s="271"/>
      <c r="AG69" s="271"/>
      <c r="AH69" s="271"/>
      <c r="AI69" s="271"/>
      <c r="AJ69" s="271"/>
      <c r="AK69" s="271"/>
      <c r="AL69" s="271"/>
      <c r="AM69" s="271"/>
      <c r="AN69" s="271"/>
      <c r="AO69" s="271"/>
    </row>
    <row r="70" spans="2:41" ht="12" customHeight="1">
      <c r="B70" s="1644">
        <v>262</v>
      </c>
      <c r="C70" s="1644">
        <v>104.8</v>
      </c>
      <c r="D70" s="1644">
        <v>2.5499999999999998</v>
      </c>
      <c r="E70" s="1644">
        <f t="shared" si="34"/>
        <v>267.23999999999995</v>
      </c>
      <c r="F70" s="1647">
        <f t="shared" si="35"/>
        <v>5111.2322399999994</v>
      </c>
      <c r="G70" s="288" t="s">
        <v>1969</v>
      </c>
      <c r="H70" s="271"/>
      <c r="I70" s="271"/>
      <c r="J70" s="271"/>
      <c r="K70" s="271"/>
      <c r="L70" s="271"/>
      <c r="M70" s="271"/>
      <c r="N70" s="504" t="s">
        <v>726</v>
      </c>
      <c r="O70" s="298" t="s">
        <v>727</v>
      </c>
      <c r="P70" s="299">
        <v>125</v>
      </c>
      <c r="Q70" s="269"/>
      <c r="R70" s="498"/>
      <c r="S70" s="271"/>
      <c r="T70" s="271"/>
      <c r="U70" s="271"/>
      <c r="V70" s="271"/>
      <c r="W70" s="271"/>
      <c r="X70" s="271"/>
      <c r="Y70" s="271"/>
      <c r="Z70" s="271"/>
      <c r="AA70" s="271"/>
      <c r="AB70" s="1640"/>
      <c r="AC70" s="1641"/>
      <c r="AD70" s="271"/>
      <c r="AE70" s="271"/>
      <c r="AF70" s="271"/>
      <c r="AG70" s="271"/>
      <c r="AH70" s="271"/>
      <c r="AI70" s="271"/>
      <c r="AJ70" s="271"/>
      <c r="AK70" s="271"/>
      <c r="AL70" s="271"/>
      <c r="AM70" s="271"/>
      <c r="AN70" s="271"/>
      <c r="AO70" s="271"/>
    </row>
    <row r="71" spans="2:41" ht="12" customHeight="1">
      <c r="B71" s="1644">
        <v>236.6</v>
      </c>
      <c r="C71" s="1644">
        <v>94.64</v>
      </c>
      <c r="D71" s="1644">
        <v>2.5499999999999998</v>
      </c>
      <c r="E71" s="1644">
        <f t="shared" si="34"/>
        <v>241.33199999999999</v>
      </c>
      <c r="F71" s="1647">
        <f t="shared" si="35"/>
        <v>4615.7158319999999</v>
      </c>
      <c r="G71" s="288" t="s">
        <v>1970</v>
      </c>
      <c r="H71" s="271"/>
      <c r="I71" s="271"/>
      <c r="J71" s="271"/>
      <c r="K71" s="271"/>
      <c r="L71" s="271"/>
      <c r="M71" s="271"/>
      <c r="N71" s="504" t="s">
        <v>728</v>
      </c>
      <c r="O71" s="298" t="s">
        <v>729</v>
      </c>
      <c r="P71" s="299">
        <v>60</v>
      </c>
      <c r="Q71" s="269"/>
      <c r="R71" s="498"/>
      <c r="S71" s="271"/>
      <c r="T71" s="271"/>
      <c r="U71" s="271"/>
      <c r="V71" s="271"/>
      <c r="W71" s="271"/>
      <c r="X71" s="271"/>
      <c r="Y71" s="271"/>
      <c r="Z71" s="271"/>
      <c r="AA71" s="271"/>
      <c r="AB71" s="1640"/>
      <c r="AC71" s="1641"/>
      <c r="AD71" s="271"/>
      <c r="AE71" s="271"/>
      <c r="AF71" s="271"/>
      <c r="AG71" s="271"/>
      <c r="AH71" s="271"/>
      <c r="AI71" s="271"/>
      <c r="AJ71" s="271"/>
      <c r="AK71" s="271"/>
      <c r="AL71" s="271"/>
      <c r="AM71" s="271"/>
      <c r="AN71" s="271"/>
      <c r="AO71" s="271"/>
    </row>
    <row r="72" spans="2:41" ht="12" customHeight="1">
      <c r="B72" s="1658">
        <v>220.56</v>
      </c>
      <c r="C72" s="1658">
        <v>88.23</v>
      </c>
      <c r="D72" s="1658">
        <v>2.5499999999999998</v>
      </c>
      <c r="E72" s="1667">
        <f t="shared" si="34"/>
        <v>224.98650000000001</v>
      </c>
      <c r="F72" s="1659">
        <f t="shared" si="35"/>
        <v>4303.0917990000007</v>
      </c>
      <c r="G72" s="1660" t="s">
        <v>1971</v>
      </c>
      <c r="H72" s="271"/>
      <c r="I72" s="271"/>
      <c r="J72" s="271"/>
      <c r="K72" s="271"/>
      <c r="L72" s="271"/>
      <c r="M72" s="271"/>
      <c r="N72" s="505" t="s">
        <v>730</v>
      </c>
      <c r="O72" s="268" t="s">
        <v>731</v>
      </c>
      <c r="P72" s="299"/>
      <c r="Q72" s="269"/>
      <c r="R72" s="498"/>
      <c r="S72" s="271"/>
      <c r="T72" s="271"/>
      <c r="U72" s="271"/>
      <c r="V72" s="271"/>
      <c r="W72" s="271"/>
      <c r="X72" s="271"/>
      <c r="Y72" s="271"/>
      <c r="Z72" s="271"/>
      <c r="AA72" s="271"/>
      <c r="AB72" s="1640"/>
      <c r="AC72" s="1641"/>
      <c r="AD72" s="271"/>
      <c r="AE72" s="271"/>
      <c r="AF72" s="271"/>
      <c r="AG72" s="271"/>
      <c r="AH72" s="271"/>
      <c r="AI72" s="271"/>
      <c r="AJ72" s="271"/>
      <c r="AK72" s="271"/>
      <c r="AL72" s="271"/>
      <c r="AM72" s="271"/>
      <c r="AN72" s="271"/>
      <c r="AO72" s="271"/>
    </row>
    <row r="73" spans="2:41" ht="12" customHeight="1">
      <c r="B73" s="1644">
        <v>138.57</v>
      </c>
      <c r="C73" s="1644">
        <v>55.43</v>
      </c>
      <c r="D73" s="1644">
        <v>2.5499999999999998</v>
      </c>
      <c r="E73" s="1644">
        <f t="shared" si="34"/>
        <v>141.34649999999999</v>
      </c>
      <c r="F73" s="1647">
        <f t="shared" si="35"/>
        <v>2703.3931590000002</v>
      </c>
      <c r="G73" s="288" t="s">
        <v>1972</v>
      </c>
      <c r="H73" s="271"/>
      <c r="I73" s="271"/>
      <c r="J73" s="271"/>
      <c r="K73" s="271"/>
      <c r="L73" s="271"/>
      <c r="M73" s="271"/>
      <c r="N73" s="504" t="s">
        <v>732</v>
      </c>
      <c r="O73" s="298" t="s">
        <v>733</v>
      </c>
      <c r="P73" s="269"/>
      <c r="Q73" s="299">
        <v>190</v>
      </c>
      <c r="R73" s="498"/>
      <c r="S73" s="271"/>
      <c r="T73" s="271"/>
      <c r="U73" s="271"/>
      <c r="V73" s="271"/>
      <c r="W73" s="271"/>
      <c r="X73" s="271"/>
      <c r="Y73" s="271"/>
      <c r="Z73" s="271"/>
      <c r="AA73" s="271"/>
      <c r="AB73" s="1640"/>
      <c r="AC73" s="1641"/>
      <c r="AD73" s="271"/>
      <c r="AE73" s="271"/>
      <c r="AF73" s="271"/>
      <c r="AG73" s="271"/>
      <c r="AH73" s="271"/>
      <c r="AI73" s="271"/>
      <c r="AJ73" s="271"/>
      <c r="AK73" s="271"/>
      <c r="AL73" s="271"/>
      <c r="AM73" s="271"/>
      <c r="AN73" s="271"/>
      <c r="AO73" s="271"/>
    </row>
    <row r="74" spans="2:41" ht="12" customHeight="1">
      <c r="B74" s="1644">
        <v>123.13</v>
      </c>
      <c r="C74" s="1644">
        <v>49.25</v>
      </c>
      <c r="D74" s="1644">
        <v>2.5499999999999998</v>
      </c>
      <c r="E74" s="1644">
        <f t="shared" si="34"/>
        <v>125.58749999999999</v>
      </c>
      <c r="F74" s="1647">
        <f t="shared" si="35"/>
        <v>2401.9865249999998</v>
      </c>
      <c r="G74" s="288" t="s">
        <v>1973</v>
      </c>
      <c r="H74" s="271"/>
      <c r="I74" s="271"/>
      <c r="J74" s="271"/>
      <c r="K74" s="271"/>
      <c r="L74" s="271"/>
      <c r="M74" s="271"/>
      <c r="N74" s="504" t="s">
        <v>734</v>
      </c>
      <c r="O74" s="298" t="s">
        <v>679</v>
      </c>
      <c r="P74" s="299">
        <v>75</v>
      </c>
      <c r="Q74" s="269"/>
      <c r="R74" s="498"/>
      <c r="S74" s="271"/>
      <c r="T74" s="271"/>
      <c r="U74" s="271"/>
      <c r="V74" s="271"/>
      <c r="W74" s="271"/>
      <c r="X74" s="271"/>
      <c r="Y74" s="271"/>
      <c r="Z74" s="271"/>
      <c r="AA74" s="271"/>
      <c r="AB74" s="1640"/>
      <c r="AC74" s="1641"/>
      <c r="AD74" s="271"/>
      <c r="AE74" s="271"/>
      <c r="AF74" s="271"/>
      <c r="AG74" s="271"/>
      <c r="AH74" s="271"/>
      <c r="AI74" s="271"/>
      <c r="AJ74" s="271"/>
      <c r="AK74" s="271"/>
      <c r="AL74" s="271"/>
      <c r="AM74" s="271"/>
      <c r="AN74" s="271"/>
      <c r="AO74" s="271"/>
    </row>
    <row r="75" spans="2:41" ht="12" customHeight="1">
      <c r="B75" s="1651">
        <v>62.5</v>
      </c>
      <c r="C75" s="1651">
        <v>25</v>
      </c>
      <c r="D75" s="1651">
        <v>2.5499999999999998</v>
      </c>
      <c r="E75" s="1651">
        <f t="shared" si="34"/>
        <v>63.749999999999993</v>
      </c>
      <c r="F75" s="1652">
        <f t="shared" si="35"/>
        <v>1219.2824999999998</v>
      </c>
      <c r="G75" s="1653" t="s">
        <v>1966</v>
      </c>
      <c r="H75" s="271"/>
      <c r="I75" s="271"/>
      <c r="J75" s="271"/>
      <c r="K75" s="271"/>
      <c r="L75" s="271"/>
      <c r="M75" s="271"/>
      <c r="N75" s="504" t="s">
        <v>735</v>
      </c>
      <c r="O75" s="298" t="s">
        <v>736</v>
      </c>
      <c r="P75" s="299">
        <v>12</v>
      </c>
      <c r="Q75" s="269"/>
      <c r="R75" s="498"/>
      <c r="S75" s="271"/>
      <c r="T75" s="271"/>
      <c r="U75" s="271"/>
      <c r="V75" s="271"/>
      <c r="W75" s="271"/>
      <c r="X75" s="271"/>
      <c r="Y75" s="271"/>
      <c r="Z75" s="271"/>
      <c r="AA75" s="271"/>
      <c r="AB75" s="1640"/>
      <c r="AC75" s="1641"/>
      <c r="AD75" s="271"/>
      <c r="AE75" s="271"/>
      <c r="AF75" s="271"/>
      <c r="AG75" s="271"/>
      <c r="AH75" s="271"/>
      <c r="AI75" s="271"/>
      <c r="AJ75" s="271"/>
      <c r="AK75" s="271"/>
      <c r="AL75" s="271"/>
      <c r="AM75" s="271"/>
      <c r="AN75" s="271"/>
      <c r="AO75" s="271"/>
    </row>
    <row r="76" spans="2:41" ht="12" customHeight="1">
      <c r="B76" s="271"/>
      <c r="C76" s="272"/>
      <c r="D76" s="1654" t="s">
        <v>1975</v>
      </c>
      <c r="E76" s="271"/>
      <c r="F76" s="271"/>
      <c r="G76" s="271"/>
      <c r="H76" s="271"/>
      <c r="I76" s="271"/>
      <c r="J76" s="271"/>
      <c r="K76" s="271"/>
      <c r="L76" s="271"/>
      <c r="M76" s="271"/>
      <c r="N76" s="506" t="s">
        <v>737</v>
      </c>
      <c r="O76" s="267" t="s">
        <v>738</v>
      </c>
      <c r="P76" s="299"/>
      <c r="Q76" s="269"/>
      <c r="R76" s="498"/>
      <c r="S76" s="271"/>
      <c r="T76" s="271"/>
      <c r="U76" s="271"/>
      <c r="V76" s="271"/>
      <c r="W76" s="271"/>
      <c r="X76" s="271"/>
      <c r="Y76" s="271"/>
      <c r="Z76" s="271"/>
      <c r="AA76" s="271"/>
      <c r="AB76" s="1640"/>
      <c r="AC76" s="1641"/>
      <c r="AD76" s="271"/>
      <c r="AE76" s="271"/>
      <c r="AF76" s="271"/>
      <c r="AG76" s="271"/>
      <c r="AH76" s="271"/>
      <c r="AI76" s="271"/>
      <c r="AJ76" s="271"/>
      <c r="AK76" s="271"/>
      <c r="AL76" s="271"/>
      <c r="AM76" s="271"/>
      <c r="AN76" s="271"/>
      <c r="AO76" s="271"/>
    </row>
    <row r="77" spans="2:41" ht="12" customHeight="1">
      <c r="B77" s="271"/>
      <c r="C77" s="272"/>
      <c r="D77" s="271"/>
      <c r="E77" s="271"/>
      <c r="F77" s="271"/>
      <c r="G77" s="1664" t="s">
        <v>1976</v>
      </c>
      <c r="H77" s="271"/>
      <c r="I77" s="271"/>
      <c r="J77" s="271"/>
      <c r="K77" s="271"/>
      <c r="L77" s="271"/>
      <c r="M77" s="271"/>
      <c r="N77" s="501" t="s">
        <v>739</v>
      </c>
      <c r="O77" s="293" t="s">
        <v>740</v>
      </c>
      <c r="P77" s="269"/>
      <c r="Q77" s="299">
        <v>40</v>
      </c>
      <c r="R77" s="498"/>
      <c r="S77" s="271"/>
      <c r="T77" s="271"/>
      <c r="U77" s="271"/>
      <c r="V77" s="271"/>
      <c r="W77" s="271"/>
      <c r="X77" s="271"/>
      <c r="Y77" s="271"/>
      <c r="Z77" s="271"/>
      <c r="AA77" s="271"/>
      <c r="AB77" s="1640"/>
      <c r="AC77" s="1641"/>
      <c r="AD77" s="271"/>
      <c r="AE77" s="271"/>
      <c r="AF77" s="271"/>
      <c r="AG77" s="271"/>
      <c r="AH77" s="271"/>
      <c r="AI77" s="271"/>
      <c r="AJ77" s="271"/>
      <c r="AK77" s="271"/>
      <c r="AL77" s="271"/>
      <c r="AM77" s="271"/>
      <c r="AN77" s="271"/>
      <c r="AO77" s="271"/>
    </row>
    <row r="78" spans="2:41" ht="12" customHeight="1">
      <c r="B78" s="1668">
        <v>275</v>
      </c>
      <c r="C78" s="1668">
        <f>B78*0.4</f>
        <v>110</v>
      </c>
      <c r="D78" s="1669">
        <v>1</v>
      </c>
      <c r="E78" s="1668">
        <f>C78*D78</f>
        <v>110</v>
      </c>
      <c r="F78" s="1670">
        <f>B78*3.58565737</f>
        <v>986.05577674999995</v>
      </c>
      <c r="G78" s="1671" t="s">
        <v>1977</v>
      </c>
      <c r="H78" s="271"/>
      <c r="I78" s="271"/>
      <c r="J78" s="271"/>
      <c r="K78" s="271"/>
      <c r="L78" s="271"/>
      <c r="M78" s="271"/>
      <c r="N78" s="501" t="s">
        <v>741</v>
      </c>
      <c r="O78" s="293" t="s">
        <v>742</v>
      </c>
      <c r="P78" s="269"/>
      <c r="Q78" s="299">
        <v>190</v>
      </c>
      <c r="R78" s="498"/>
      <c r="S78" s="271"/>
      <c r="T78" s="271"/>
      <c r="U78" s="271"/>
      <c r="V78" s="271"/>
      <c r="W78" s="271"/>
      <c r="X78" s="271"/>
      <c r="Y78" s="271"/>
      <c r="Z78" s="271"/>
      <c r="AA78" s="271"/>
      <c r="AB78" s="1640"/>
      <c r="AC78" s="1641"/>
      <c r="AD78" s="271"/>
      <c r="AE78" s="271"/>
      <c r="AF78" s="271"/>
      <c r="AG78" s="271"/>
      <c r="AH78" s="271"/>
      <c r="AI78" s="271"/>
      <c r="AJ78" s="271"/>
      <c r="AK78" s="271"/>
      <c r="AL78" s="271"/>
      <c r="AM78" s="271"/>
      <c r="AN78" s="271"/>
      <c r="AO78" s="271"/>
    </row>
    <row r="79" spans="2:41" ht="12" customHeight="1">
      <c r="B79" s="1655">
        <f>C79/0.4</f>
        <v>207.671875</v>
      </c>
      <c r="C79" s="1655">
        <f>E79/D79</f>
        <v>83.068750000000009</v>
      </c>
      <c r="D79" s="1656">
        <v>2.5499999999999998</v>
      </c>
      <c r="E79" s="1655">
        <f>F79/0.0524/365</f>
        <v>211.8253125</v>
      </c>
      <c r="F79" s="1665">
        <f>AVERAGE(F68:F75)</f>
        <v>4051.3709268749999</v>
      </c>
      <c r="G79" s="1657" t="s">
        <v>1978</v>
      </c>
      <c r="H79" s="271"/>
      <c r="I79" s="271"/>
      <c r="J79" s="271"/>
      <c r="K79" s="271"/>
      <c r="L79" s="271"/>
      <c r="M79" s="271"/>
      <c r="N79" s="501" t="s">
        <v>743</v>
      </c>
      <c r="O79" s="293" t="s">
        <v>744</v>
      </c>
      <c r="P79" s="269"/>
      <c r="Q79" s="299">
        <v>190</v>
      </c>
      <c r="R79" s="498"/>
      <c r="S79" s="271"/>
      <c r="T79" s="271"/>
      <c r="U79" s="271"/>
      <c r="V79" s="271"/>
      <c r="W79" s="271"/>
      <c r="X79" s="271"/>
      <c r="Y79" s="271"/>
      <c r="Z79" s="271"/>
      <c r="AA79" s="271"/>
      <c r="AB79" s="1640"/>
      <c r="AC79" s="1641"/>
      <c r="AD79" s="271"/>
      <c r="AE79" s="271"/>
      <c r="AF79" s="271"/>
      <c r="AG79" s="271"/>
      <c r="AH79" s="271"/>
      <c r="AI79" s="271"/>
      <c r="AJ79" s="271"/>
      <c r="AK79" s="271"/>
      <c r="AL79" s="271"/>
      <c r="AM79" s="271"/>
      <c r="AN79" s="271"/>
      <c r="AO79" s="271"/>
    </row>
    <row r="80" spans="2:41" ht="12" customHeight="1">
      <c r="B80" s="1661">
        <v>130</v>
      </c>
      <c r="C80" s="1655">
        <f>B80*0.4</f>
        <v>52</v>
      </c>
      <c r="D80" s="1663">
        <v>1</v>
      </c>
      <c r="E80" s="1655">
        <f>C80*D80</f>
        <v>52</v>
      </c>
      <c r="F80" s="1662">
        <f>0.0524*E80*365</f>
        <v>994.55200000000002</v>
      </c>
      <c r="G80" s="1657" t="s">
        <v>1978</v>
      </c>
      <c r="H80" s="271"/>
      <c r="I80" s="271"/>
      <c r="J80" s="271"/>
      <c r="K80" s="271"/>
      <c r="L80" s="271"/>
      <c r="M80" s="271"/>
      <c r="N80" s="501" t="s">
        <v>745</v>
      </c>
      <c r="O80" s="293" t="s">
        <v>746</v>
      </c>
      <c r="P80" s="269"/>
      <c r="Q80" s="299">
        <v>380</v>
      </c>
      <c r="R80" s="498"/>
      <c r="S80" s="271"/>
      <c r="T80" s="271"/>
      <c r="U80" s="271"/>
      <c r="V80" s="271"/>
      <c r="W80" s="271"/>
      <c r="X80" s="271"/>
      <c r="Y80" s="271"/>
      <c r="Z80" s="271"/>
      <c r="AA80" s="271"/>
      <c r="AB80" s="1640"/>
      <c r="AC80" s="1641"/>
      <c r="AD80" s="271"/>
      <c r="AE80" s="271"/>
      <c r="AF80" s="271"/>
      <c r="AG80" s="271"/>
      <c r="AH80" s="271"/>
      <c r="AI80" s="271"/>
      <c r="AJ80" s="271"/>
      <c r="AK80" s="271"/>
      <c r="AL80" s="271"/>
      <c r="AM80" s="271"/>
      <c r="AN80" s="271"/>
      <c r="AO80" s="271"/>
    </row>
    <row r="81" spans="2:41" ht="12" customHeight="1">
      <c r="B81" s="1661">
        <v>220</v>
      </c>
      <c r="C81" s="1655">
        <f>B81*0.4</f>
        <v>88</v>
      </c>
      <c r="D81" s="1663">
        <v>2.5499999999999998</v>
      </c>
      <c r="E81" s="1655">
        <f>C81*D81</f>
        <v>224.39999999999998</v>
      </c>
      <c r="F81" s="1662">
        <f>0.0524*E81*365</f>
        <v>4291.8743999999997</v>
      </c>
      <c r="G81" s="1657" t="s">
        <v>1978</v>
      </c>
      <c r="H81" s="271"/>
      <c r="I81" s="271"/>
      <c r="J81" s="271"/>
      <c r="K81" s="271"/>
      <c r="L81" s="271"/>
      <c r="M81" s="271"/>
      <c r="N81" s="501" t="s">
        <v>747</v>
      </c>
      <c r="O81" s="293" t="s">
        <v>748</v>
      </c>
      <c r="P81" s="269"/>
      <c r="Q81" s="299">
        <v>950</v>
      </c>
      <c r="R81" s="498"/>
      <c r="S81" s="271"/>
      <c r="T81" s="271"/>
      <c r="U81" s="271"/>
      <c r="V81" s="271"/>
      <c r="W81" s="271"/>
      <c r="X81" s="271"/>
      <c r="Y81" s="271"/>
      <c r="Z81" s="271"/>
      <c r="AA81" s="271"/>
      <c r="AB81" s="1640"/>
      <c r="AC81" s="1641"/>
      <c r="AD81" s="271"/>
      <c r="AE81" s="271"/>
      <c r="AF81" s="271"/>
      <c r="AG81" s="271"/>
      <c r="AH81" s="271"/>
      <c r="AI81" s="271"/>
      <c r="AJ81" s="271"/>
      <c r="AK81" s="271"/>
      <c r="AL81" s="271"/>
      <c r="AM81" s="271"/>
      <c r="AN81" s="271"/>
      <c r="AO81" s="271"/>
    </row>
    <row r="82" spans="2:41" ht="12" customHeight="1">
      <c r="B82" s="1648"/>
      <c r="C82" s="1648"/>
      <c r="D82" s="1650"/>
      <c r="E82" s="1648"/>
      <c r="F82" s="1649"/>
      <c r="G82" s="1650"/>
      <c r="H82" s="271"/>
      <c r="I82" s="271"/>
      <c r="J82" s="271"/>
      <c r="K82" s="271"/>
      <c r="L82" s="271"/>
      <c r="M82" s="271"/>
      <c r="N82" s="500">
        <v>13</v>
      </c>
      <c r="O82" s="267" t="s">
        <v>749</v>
      </c>
      <c r="P82" s="299"/>
      <c r="Q82" s="269"/>
      <c r="R82" s="498"/>
      <c r="S82" s="271"/>
      <c r="T82" s="271"/>
      <c r="U82" s="271"/>
      <c r="V82" s="271"/>
      <c r="W82" s="271"/>
      <c r="X82" s="271"/>
      <c r="Y82" s="271"/>
      <c r="Z82" s="271"/>
      <c r="AA82" s="271"/>
      <c r="AB82" s="1640"/>
      <c r="AC82" s="1641"/>
      <c r="AD82" s="271"/>
      <c r="AE82" s="271"/>
      <c r="AF82" s="271"/>
      <c r="AG82" s="271"/>
      <c r="AH82" s="271"/>
      <c r="AI82" s="271"/>
      <c r="AJ82" s="271"/>
      <c r="AK82" s="271"/>
      <c r="AL82" s="271"/>
      <c r="AM82" s="271"/>
      <c r="AN82" s="271"/>
      <c r="AO82" s="271"/>
    </row>
    <row r="83" spans="2:41" ht="12" customHeight="1">
      <c r="B83" s="1648"/>
      <c r="C83" s="1648"/>
      <c r="D83" s="1650"/>
      <c r="E83" s="1648"/>
      <c r="F83" s="1649"/>
      <c r="G83" s="1650"/>
      <c r="H83" s="271"/>
      <c r="I83" s="271"/>
      <c r="J83" s="271"/>
      <c r="K83" s="271"/>
      <c r="L83" s="271"/>
      <c r="M83" s="271"/>
      <c r="N83" s="501" t="s">
        <v>750</v>
      </c>
      <c r="O83" s="293" t="s">
        <v>751</v>
      </c>
      <c r="P83" s="269"/>
      <c r="Q83" s="299">
        <v>750</v>
      </c>
      <c r="R83" s="498"/>
      <c r="S83" s="271"/>
      <c r="T83" s="271"/>
      <c r="U83" s="271"/>
      <c r="V83" s="271"/>
      <c r="W83" s="271"/>
      <c r="X83" s="271"/>
      <c r="Y83" s="271"/>
      <c r="Z83" s="271"/>
      <c r="AA83" s="271"/>
      <c r="AB83" s="1640"/>
      <c r="AC83" s="1641"/>
      <c r="AD83" s="271"/>
      <c r="AE83" s="271"/>
      <c r="AF83" s="271"/>
      <c r="AG83" s="271"/>
      <c r="AH83" s="271"/>
      <c r="AI83" s="271"/>
      <c r="AJ83" s="271"/>
      <c r="AK83" s="271"/>
      <c r="AL83" s="271"/>
      <c r="AM83" s="271"/>
      <c r="AN83" s="271"/>
      <c r="AO83" s="271"/>
    </row>
    <row r="84" spans="2:41" ht="12" customHeight="1">
      <c r="B84" s="1648"/>
      <c r="C84" s="1648"/>
      <c r="D84" s="1650"/>
      <c r="E84" s="1648"/>
      <c r="F84" s="1649"/>
      <c r="G84" s="1650"/>
      <c r="H84" s="271"/>
      <c r="I84" s="271"/>
      <c r="J84" s="271"/>
      <c r="K84" s="271"/>
      <c r="L84" s="271"/>
      <c r="M84" s="271"/>
      <c r="N84" s="501" t="s">
        <v>752</v>
      </c>
      <c r="O84" s="293" t="s">
        <v>753</v>
      </c>
      <c r="P84" s="269"/>
      <c r="Q84" s="299">
        <v>550</v>
      </c>
      <c r="R84" s="498"/>
      <c r="S84" s="271"/>
      <c r="T84" s="271"/>
      <c r="U84" s="271"/>
      <c r="V84" s="271"/>
      <c r="W84" s="271"/>
      <c r="X84" s="271"/>
      <c r="Y84" s="271"/>
      <c r="Z84" s="271"/>
      <c r="AA84" s="271"/>
      <c r="AB84" s="1640"/>
      <c r="AC84" s="1641"/>
      <c r="AD84" s="271"/>
      <c r="AE84" s="271"/>
      <c r="AF84" s="271"/>
      <c r="AG84" s="271"/>
      <c r="AH84" s="271"/>
      <c r="AI84" s="271"/>
      <c r="AJ84" s="271"/>
      <c r="AK84" s="271"/>
      <c r="AL84" s="271"/>
      <c r="AM84" s="271"/>
      <c r="AN84" s="271"/>
      <c r="AO84" s="271"/>
    </row>
    <row r="85" spans="2:41" ht="12" customHeight="1">
      <c r="B85" s="1648"/>
      <c r="C85" s="1648"/>
      <c r="D85" s="1650"/>
      <c r="E85" s="1648"/>
      <c r="F85" s="1649"/>
      <c r="G85" s="1650"/>
      <c r="H85" s="271"/>
      <c r="I85" s="271"/>
      <c r="J85" s="271"/>
      <c r="K85" s="271"/>
      <c r="L85" s="271"/>
      <c r="M85" s="271"/>
      <c r="N85" s="501">
        <v>14</v>
      </c>
      <c r="O85" s="293" t="s">
        <v>754</v>
      </c>
      <c r="P85" s="269"/>
      <c r="Q85" s="299">
        <v>450</v>
      </c>
      <c r="R85" s="498"/>
      <c r="S85" s="271"/>
      <c r="T85" s="271"/>
      <c r="U85" s="271"/>
      <c r="V85" s="271"/>
      <c r="W85" s="271"/>
      <c r="X85" s="271"/>
      <c r="Y85" s="271"/>
      <c r="Z85" s="271"/>
      <c r="AA85" s="271"/>
      <c r="AB85" s="1640"/>
      <c r="AC85" s="1641"/>
      <c r="AD85" s="271"/>
      <c r="AE85" s="271"/>
      <c r="AF85" s="271"/>
      <c r="AG85" s="271"/>
      <c r="AH85" s="271"/>
      <c r="AI85" s="271"/>
      <c r="AJ85" s="271"/>
      <c r="AK85" s="271"/>
      <c r="AL85" s="271"/>
      <c r="AM85" s="271"/>
      <c r="AN85" s="271"/>
      <c r="AO85" s="271"/>
    </row>
    <row r="86" spans="2:41" ht="12" customHeight="1">
      <c r="B86" s="271"/>
      <c r="C86" s="272"/>
      <c r="D86" s="271"/>
      <c r="E86" s="271"/>
      <c r="F86" s="271"/>
      <c r="G86" s="271"/>
      <c r="H86" s="271"/>
      <c r="I86" s="271"/>
      <c r="J86" s="271"/>
      <c r="K86" s="271"/>
      <c r="L86" s="271"/>
      <c r="M86" s="271"/>
      <c r="N86" s="500">
        <v>15</v>
      </c>
      <c r="O86" s="267" t="s">
        <v>755</v>
      </c>
      <c r="P86" s="299"/>
      <c r="Q86" s="269"/>
      <c r="R86" s="498"/>
      <c r="S86" s="271"/>
      <c r="T86" s="271"/>
      <c r="U86" s="271"/>
      <c r="V86" s="271"/>
      <c r="W86" s="271"/>
      <c r="X86" s="271"/>
      <c r="Y86" s="271"/>
      <c r="Z86" s="271"/>
      <c r="AA86" s="271"/>
      <c r="AB86" s="1640"/>
      <c r="AC86" s="1641"/>
      <c r="AD86" s="271"/>
      <c r="AE86" s="271"/>
      <c r="AF86" s="271"/>
      <c r="AG86" s="271"/>
      <c r="AH86" s="271"/>
      <c r="AI86" s="271"/>
      <c r="AJ86" s="271"/>
      <c r="AK86" s="271"/>
      <c r="AL86" s="271"/>
      <c r="AM86" s="271"/>
      <c r="AN86" s="271"/>
      <c r="AO86" s="271"/>
    </row>
    <row r="87" spans="2:41" ht="12" customHeight="1">
      <c r="B87" s="271"/>
      <c r="C87" s="272"/>
      <c r="D87" s="271"/>
      <c r="E87" s="271"/>
      <c r="F87" s="271"/>
      <c r="G87" s="271"/>
      <c r="H87" s="271"/>
      <c r="I87" s="271"/>
      <c r="J87" s="271"/>
      <c r="K87" s="271"/>
      <c r="L87" s="271"/>
      <c r="M87" s="271"/>
      <c r="N87" s="501" t="s">
        <v>756</v>
      </c>
      <c r="O87" s="293" t="s">
        <v>679</v>
      </c>
      <c r="P87" s="299">
        <v>75</v>
      </c>
      <c r="Q87" s="269"/>
      <c r="R87" s="498"/>
      <c r="S87" s="271"/>
      <c r="T87" s="271"/>
      <c r="U87" s="271"/>
      <c r="V87" s="271"/>
      <c r="W87" s="271"/>
      <c r="X87" s="271"/>
      <c r="Y87" s="271"/>
      <c r="Z87" s="271"/>
      <c r="AA87" s="271"/>
      <c r="AB87" s="1640"/>
      <c r="AC87" s="1641"/>
      <c r="AD87" s="271"/>
      <c r="AE87" s="271"/>
      <c r="AF87" s="271"/>
      <c r="AG87" s="271"/>
      <c r="AH87" s="271"/>
      <c r="AI87" s="271"/>
      <c r="AJ87" s="271"/>
      <c r="AK87" s="271"/>
      <c r="AL87" s="271"/>
      <c r="AM87" s="271"/>
      <c r="AN87" s="271"/>
      <c r="AO87" s="271"/>
    </row>
    <row r="88" spans="2:41" ht="12" customHeight="1">
      <c r="B88" s="271"/>
      <c r="C88" s="272"/>
      <c r="D88" s="271"/>
      <c r="E88" s="271"/>
      <c r="F88" s="271"/>
      <c r="G88" s="271"/>
      <c r="H88" s="271"/>
      <c r="I88" s="271"/>
      <c r="J88" s="271"/>
      <c r="K88" s="271"/>
      <c r="L88" s="271"/>
      <c r="M88" s="271"/>
      <c r="N88" s="501" t="s">
        <v>757</v>
      </c>
      <c r="O88" s="293" t="s">
        <v>758</v>
      </c>
      <c r="P88" s="299">
        <v>75</v>
      </c>
      <c r="Q88" s="269"/>
      <c r="R88" s="498"/>
      <c r="S88" s="271"/>
      <c r="T88" s="271"/>
      <c r="U88" s="271"/>
      <c r="V88" s="271"/>
      <c r="W88" s="271"/>
      <c r="X88" s="271"/>
      <c r="Y88" s="271"/>
      <c r="Z88" s="271"/>
      <c r="AA88" s="271"/>
      <c r="AB88" s="1640"/>
      <c r="AC88" s="1641"/>
      <c r="AD88" s="271"/>
      <c r="AE88" s="271"/>
      <c r="AF88" s="271"/>
      <c r="AG88" s="271"/>
      <c r="AH88" s="271"/>
      <c r="AI88" s="271"/>
      <c r="AJ88" s="271"/>
      <c r="AK88" s="271"/>
      <c r="AL88" s="271"/>
      <c r="AM88" s="271"/>
      <c r="AN88" s="271"/>
      <c r="AO88" s="271"/>
    </row>
    <row r="89" spans="2:41">
      <c r="B89" s="271"/>
      <c r="C89" s="272"/>
      <c r="D89" s="271"/>
      <c r="E89" s="271"/>
      <c r="F89" s="271"/>
      <c r="G89" s="271"/>
      <c r="H89" s="271"/>
      <c r="I89" s="271"/>
      <c r="J89" s="271"/>
      <c r="K89" s="271"/>
      <c r="L89" s="271"/>
      <c r="M89" s="271"/>
      <c r="N89" s="501">
        <v>16</v>
      </c>
      <c r="O89" s="293" t="s">
        <v>759</v>
      </c>
      <c r="P89" s="299"/>
      <c r="Q89" s="269"/>
      <c r="R89" s="498"/>
      <c r="S89" s="271"/>
      <c r="T89" s="271"/>
      <c r="U89" s="271"/>
      <c r="V89" s="271"/>
      <c r="W89" s="271"/>
      <c r="X89" s="271"/>
      <c r="Y89" s="271"/>
      <c r="Z89" s="271"/>
      <c r="AA89" s="271"/>
      <c r="AB89" s="1640"/>
      <c r="AC89" s="1641"/>
      <c r="AD89" s="271"/>
      <c r="AE89" s="271"/>
      <c r="AF89" s="271"/>
      <c r="AG89" s="271"/>
      <c r="AH89" s="271"/>
      <c r="AI89" s="271"/>
      <c r="AJ89" s="271"/>
      <c r="AK89" s="271"/>
      <c r="AL89" s="271"/>
      <c r="AM89" s="271"/>
      <c r="AN89" s="271"/>
      <c r="AO89" s="271"/>
    </row>
    <row r="90" spans="2:41">
      <c r="B90" s="271"/>
      <c r="C90" s="272"/>
      <c r="D90" s="271"/>
      <c r="E90" s="271"/>
      <c r="F90" s="271"/>
      <c r="G90" s="271"/>
      <c r="H90" s="271"/>
      <c r="I90" s="271"/>
      <c r="J90" s="271"/>
      <c r="K90" s="271"/>
      <c r="L90" s="271"/>
      <c r="M90" s="271"/>
      <c r="N90" s="501" t="s">
        <v>760</v>
      </c>
      <c r="O90" s="293" t="s">
        <v>761</v>
      </c>
      <c r="P90" s="299">
        <v>20</v>
      </c>
      <c r="Q90" s="269"/>
      <c r="R90" s="498"/>
      <c r="S90" s="271"/>
      <c r="T90" s="271"/>
      <c r="U90" s="271"/>
      <c r="V90" s="271"/>
      <c r="W90" s="271"/>
      <c r="X90" s="271"/>
      <c r="Y90" s="271"/>
      <c r="Z90" s="271"/>
      <c r="AA90" s="271"/>
      <c r="AB90" s="1640"/>
      <c r="AC90" s="1641"/>
      <c r="AD90" s="271"/>
      <c r="AE90" s="271"/>
      <c r="AF90" s="271"/>
      <c r="AG90" s="271"/>
      <c r="AH90" s="271"/>
      <c r="AI90" s="271"/>
      <c r="AJ90" s="271"/>
      <c r="AK90" s="271"/>
      <c r="AL90" s="271"/>
      <c r="AM90" s="271"/>
      <c r="AN90" s="271"/>
      <c r="AO90" s="271"/>
    </row>
    <row r="91" spans="2:41">
      <c r="B91" s="271"/>
      <c r="C91" s="272"/>
      <c r="D91" s="271"/>
      <c r="E91" s="271"/>
      <c r="F91" s="271"/>
      <c r="G91" s="271"/>
      <c r="H91" s="271"/>
      <c r="I91" s="271"/>
      <c r="J91" s="271"/>
      <c r="K91" s="271"/>
      <c r="L91" s="271"/>
      <c r="M91" s="271"/>
      <c r="N91" s="501" t="s">
        <v>762</v>
      </c>
      <c r="O91" s="293" t="s">
        <v>763</v>
      </c>
      <c r="P91" s="299">
        <v>50</v>
      </c>
      <c r="Q91" s="269"/>
      <c r="R91" s="498"/>
      <c r="S91" s="271"/>
      <c r="T91" s="271"/>
      <c r="U91" s="271"/>
      <c r="V91" s="271"/>
      <c r="W91" s="271"/>
      <c r="X91" s="271"/>
      <c r="Y91" s="271"/>
      <c r="Z91" s="271"/>
      <c r="AA91" s="271"/>
      <c r="AB91" s="1640"/>
      <c r="AC91" s="1641"/>
      <c r="AD91" s="271"/>
      <c r="AE91" s="271"/>
      <c r="AF91" s="271"/>
      <c r="AG91" s="271"/>
      <c r="AH91" s="271"/>
      <c r="AI91" s="271"/>
      <c r="AJ91" s="271"/>
      <c r="AK91" s="271"/>
      <c r="AL91" s="271"/>
      <c r="AM91" s="271"/>
      <c r="AN91" s="271"/>
      <c r="AO91" s="271"/>
    </row>
    <row r="92" spans="2:41">
      <c r="B92" s="271"/>
      <c r="C92" s="272"/>
      <c r="D92" s="271"/>
      <c r="E92" s="271"/>
      <c r="F92" s="271"/>
      <c r="G92" s="271"/>
      <c r="H92" s="271"/>
      <c r="I92" s="271"/>
      <c r="J92" s="271"/>
      <c r="K92" s="271"/>
      <c r="L92" s="271"/>
      <c r="M92" s="271"/>
      <c r="N92" s="500">
        <v>17</v>
      </c>
      <c r="O92" s="267" t="s">
        <v>764</v>
      </c>
      <c r="P92" s="299"/>
      <c r="Q92" s="269"/>
      <c r="R92" s="498"/>
      <c r="S92" s="271"/>
      <c r="T92" s="271"/>
      <c r="U92" s="271"/>
      <c r="V92" s="271"/>
      <c r="W92" s="271"/>
      <c r="X92" s="271"/>
      <c r="Y92" s="271"/>
      <c r="Z92" s="271"/>
      <c r="AA92" s="271"/>
      <c r="AB92" s="1640"/>
      <c r="AC92" s="1641"/>
      <c r="AD92" s="271"/>
      <c r="AE92" s="271"/>
      <c r="AF92" s="271"/>
      <c r="AG92" s="271"/>
      <c r="AH92" s="271"/>
      <c r="AI92" s="271"/>
      <c r="AJ92" s="271"/>
      <c r="AK92" s="271"/>
      <c r="AL92" s="271"/>
      <c r="AM92" s="271"/>
      <c r="AN92" s="271"/>
      <c r="AO92" s="271"/>
    </row>
    <row r="93" spans="2:41">
      <c r="B93" s="271"/>
      <c r="C93" s="272"/>
      <c r="D93" s="271"/>
      <c r="E93" s="271"/>
      <c r="F93" s="271"/>
      <c r="G93" s="271"/>
      <c r="H93" s="271"/>
      <c r="I93" s="271"/>
      <c r="J93" s="271"/>
      <c r="K93" s="271"/>
      <c r="L93" s="271"/>
      <c r="M93" s="271"/>
      <c r="N93" s="501" t="s">
        <v>765</v>
      </c>
      <c r="O93" s="293" t="s">
        <v>766</v>
      </c>
      <c r="P93" s="269"/>
      <c r="Q93" s="299">
        <v>275</v>
      </c>
      <c r="R93" s="498"/>
      <c r="S93" s="271"/>
      <c r="T93" s="271"/>
      <c r="U93" s="271"/>
      <c r="V93" s="271"/>
      <c r="W93" s="271"/>
      <c r="X93" s="271"/>
      <c r="Y93" s="271"/>
      <c r="Z93" s="271"/>
      <c r="AA93" s="271"/>
      <c r="AB93" s="1640"/>
      <c r="AC93" s="1641"/>
      <c r="AD93" s="271"/>
      <c r="AE93" s="271"/>
      <c r="AF93" s="271"/>
      <c r="AG93" s="271"/>
      <c r="AH93" s="271"/>
      <c r="AI93" s="271"/>
      <c r="AJ93" s="271"/>
      <c r="AK93" s="271"/>
      <c r="AL93" s="271"/>
      <c r="AM93" s="271"/>
      <c r="AN93" s="271"/>
      <c r="AO93" s="271"/>
    </row>
    <row r="94" spans="2:41">
      <c r="B94" s="271"/>
      <c r="C94" s="272"/>
      <c r="D94" s="271"/>
      <c r="E94" s="271"/>
      <c r="F94" s="271"/>
      <c r="G94" s="271"/>
      <c r="H94" s="271"/>
      <c r="I94" s="271"/>
      <c r="J94" s="271"/>
      <c r="K94" s="271"/>
      <c r="L94" s="271"/>
      <c r="M94" s="271"/>
      <c r="N94" s="501" t="s">
        <v>767</v>
      </c>
      <c r="O94" s="293" t="s">
        <v>768</v>
      </c>
      <c r="P94" s="269"/>
      <c r="Q94" s="299">
        <v>425</v>
      </c>
      <c r="R94" s="498"/>
      <c r="S94" s="271"/>
      <c r="T94" s="271"/>
      <c r="U94" s="271"/>
      <c r="V94" s="271"/>
      <c r="W94" s="271"/>
      <c r="X94" s="271"/>
      <c r="Y94" s="271"/>
      <c r="Z94" s="271"/>
      <c r="AA94" s="271"/>
      <c r="AB94" s="1640"/>
      <c r="AC94" s="1641"/>
      <c r="AD94" s="271"/>
      <c r="AE94" s="271"/>
      <c r="AF94" s="271"/>
      <c r="AG94" s="271"/>
      <c r="AH94" s="271"/>
      <c r="AI94" s="271"/>
      <c r="AJ94" s="271"/>
      <c r="AK94" s="271"/>
      <c r="AL94" s="271"/>
      <c r="AM94" s="271"/>
      <c r="AN94" s="271"/>
      <c r="AO94" s="271"/>
    </row>
    <row r="95" spans="2:41">
      <c r="B95" s="271"/>
      <c r="C95" s="272"/>
      <c r="D95" s="271"/>
      <c r="E95" s="271"/>
      <c r="F95" s="271"/>
      <c r="G95" s="271"/>
      <c r="H95" s="271"/>
      <c r="I95" s="271"/>
      <c r="J95" s="271"/>
      <c r="K95" s="271"/>
      <c r="L95" s="271"/>
      <c r="M95" s="271"/>
      <c r="N95" s="500">
        <v>18</v>
      </c>
      <c r="O95" s="267" t="s">
        <v>769</v>
      </c>
      <c r="P95" s="299"/>
      <c r="Q95" s="269"/>
      <c r="R95" s="498"/>
      <c r="S95" s="271"/>
      <c r="T95" s="271"/>
      <c r="U95" s="271"/>
      <c r="V95" s="271"/>
      <c r="W95" s="271"/>
      <c r="X95" s="271"/>
      <c r="Y95" s="271"/>
      <c r="Z95" s="271"/>
      <c r="AA95" s="271"/>
      <c r="AB95" s="1640"/>
      <c r="AC95" s="1641"/>
      <c r="AD95" s="271"/>
      <c r="AE95" s="271"/>
      <c r="AF95" s="271"/>
      <c r="AG95" s="271"/>
      <c r="AH95" s="271"/>
      <c r="AI95" s="271"/>
      <c r="AJ95" s="271"/>
      <c r="AK95" s="271"/>
      <c r="AL95" s="271"/>
      <c r="AM95" s="271"/>
      <c r="AN95" s="271"/>
      <c r="AO95" s="271"/>
    </row>
    <row r="96" spans="2:41">
      <c r="B96" s="271"/>
      <c r="C96" s="272"/>
      <c r="D96" s="271"/>
      <c r="E96" s="271"/>
      <c r="F96" s="271"/>
      <c r="G96" s="271"/>
      <c r="H96" s="271"/>
      <c r="I96" s="271"/>
      <c r="J96" s="271"/>
      <c r="K96" s="271"/>
      <c r="L96" s="271"/>
      <c r="M96" s="271"/>
      <c r="N96" s="501" t="s">
        <v>770</v>
      </c>
      <c r="O96" s="293" t="s">
        <v>771</v>
      </c>
      <c r="P96" s="299">
        <v>30</v>
      </c>
      <c r="Q96" s="269"/>
      <c r="R96" s="498"/>
      <c r="S96" s="271"/>
      <c r="T96" s="271"/>
      <c r="U96" s="271"/>
      <c r="V96" s="271"/>
      <c r="W96" s="271"/>
      <c r="X96" s="271"/>
      <c r="Y96" s="271"/>
      <c r="Z96" s="271"/>
      <c r="AA96" s="271"/>
      <c r="AB96" s="1640"/>
      <c r="AC96" s="1641"/>
      <c r="AD96" s="271"/>
      <c r="AE96" s="271"/>
      <c r="AF96" s="271"/>
      <c r="AG96" s="271"/>
      <c r="AH96" s="271"/>
      <c r="AI96" s="271"/>
      <c r="AJ96" s="271"/>
      <c r="AK96" s="271"/>
      <c r="AL96" s="271"/>
      <c r="AM96" s="271"/>
      <c r="AN96" s="271"/>
      <c r="AO96" s="271"/>
    </row>
    <row r="97" spans="2:41">
      <c r="B97" s="271"/>
      <c r="C97" s="272"/>
      <c r="D97" s="271"/>
      <c r="E97" s="271"/>
      <c r="F97" s="271"/>
      <c r="G97" s="271"/>
      <c r="H97" s="271"/>
      <c r="I97" s="271"/>
      <c r="J97" s="271"/>
      <c r="K97" s="271"/>
      <c r="L97" s="271"/>
      <c r="M97" s="271"/>
      <c r="N97" s="501" t="s">
        <v>772</v>
      </c>
      <c r="O97" s="293" t="s">
        <v>773</v>
      </c>
      <c r="P97" s="299">
        <v>30</v>
      </c>
      <c r="Q97" s="269"/>
      <c r="R97" s="498"/>
      <c r="S97" s="271"/>
      <c r="T97" s="271"/>
      <c r="U97" s="271"/>
      <c r="V97" s="271"/>
      <c r="W97" s="271"/>
      <c r="X97" s="271"/>
      <c r="Y97" s="271"/>
      <c r="Z97" s="271"/>
      <c r="AA97" s="271"/>
      <c r="AB97" s="1640"/>
      <c r="AC97" s="1641"/>
      <c r="AD97" s="271"/>
      <c r="AE97" s="271"/>
      <c r="AF97" s="271"/>
      <c r="AG97" s="271"/>
      <c r="AH97" s="271"/>
      <c r="AI97" s="271"/>
      <c r="AJ97" s="271"/>
      <c r="AK97" s="271"/>
      <c r="AL97" s="271"/>
      <c r="AM97" s="271"/>
      <c r="AN97" s="271"/>
      <c r="AO97" s="271"/>
    </row>
    <row r="98" spans="2:41">
      <c r="B98" s="271"/>
      <c r="C98" s="272"/>
      <c r="D98" s="271"/>
      <c r="E98" s="271"/>
      <c r="F98" s="271"/>
      <c r="G98" s="271"/>
      <c r="H98" s="271"/>
      <c r="I98" s="271"/>
      <c r="J98" s="271"/>
      <c r="K98" s="271"/>
      <c r="L98" s="271"/>
      <c r="M98" s="271"/>
      <c r="N98" s="501" t="s">
        <v>774</v>
      </c>
      <c r="O98" s="293" t="s">
        <v>775</v>
      </c>
      <c r="P98" s="299">
        <v>30</v>
      </c>
      <c r="Q98" s="269"/>
      <c r="R98" s="498"/>
      <c r="S98" s="271"/>
      <c r="T98" s="271"/>
      <c r="U98" s="271"/>
      <c r="V98" s="271"/>
      <c r="W98" s="271"/>
      <c r="X98" s="271"/>
      <c r="Y98" s="271"/>
      <c r="Z98" s="271"/>
      <c r="AA98" s="271"/>
      <c r="AB98" s="1640"/>
      <c r="AC98" s="1641"/>
      <c r="AD98" s="271"/>
      <c r="AE98" s="271"/>
      <c r="AF98" s="271"/>
      <c r="AG98" s="271"/>
      <c r="AH98" s="271"/>
      <c r="AI98" s="271"/>
      <c r="AJ98" s="271"/>
      <c r="AK98" s="271"/>
      <c r="AL98" s="271"/>
      <c r="AM98" s="271"/>
      <c r="AN98" s="271"/>
      <c r="AO98" s="271"/>
    </row>
    <row r="99" spans="2:41">
      <c r="E99" s="271"/>
      <c r="F99" s="271"/>
      <c r="G99" s="271"/>
      <c r="H99" s="271"/>
      <c r="I99" s="271"/>
      <c r="J99" s="271"/>
      <c r="K99" s="271"/>
      <c r="L99" s="271"/>
      <c r="M99" s="271"/>
      <c r="N99" s="501" t="s">
        <v>776</v>
      </c>
      <c r="O99" s="293" t="s">
        <v>777</v>
      </c>
      <c r="P99" s="299">
        <v>50</v>
      </c>
      <c r="Q99" s="269"/>
      <c r="R99" s="271"/>
      <c r="S99" s="271"/>
      <c r="T99" s="271"/>
      <c r="U99" s="271"/>
      <c r="V99" s="271"/>
      <c r="W99" s="271"/>
      <c r="X99" s="271"/>
      <c r="Y99" s="271"/>
      <c r="Z99" s="271"/>
      <c r="AA99" s="271"/>
      <c r="AB99" s="1640"/>
      <c r="AC99" s="1641"/>
      <c r="AD99" s="271"/>
      <c r="AE99" s="271"/>
      <c r="AF99" s="271"/>
      <c r="AG99" s="271"/>
      <c r="AH99" s="271"/>
      <c r="AI99" s="271"/>
      <c r="AJ99" s="271"/>
      <c r="AK99" s="271"/>
      <c r="AL99" s="271"/>
      <c r="AM99" s="271"/>
      <c r="AN99" s="271"/>
      <c r="AO99" s="271"/>
    </row>
    <row r="100" spans="2:41">
      <c r="E100" s="271"/>
      <c r="F100" s="271"/>
      <c r="G100" s="271"/>
      <c r="H100" s="271"/>
      <c r="I100" s="271"/>
      <c r="J100" s="271"/>
      <c r="K100" s="271"/>
      <c r="L100" s="271"/>
      <c r="M100" s="271"/>
      <c r="N100" s="500">
        <v>19</v>
      </c>
      <c r="O100" s="267" t="s">
        <v>778</v>
      </c>
      <c r="P100" s="299"/>
      <c r="Q100" s="269"/>
      <c r="R100" s="271"/>
      <c r="S100" s="271"/>
      <c r="T100" s="271"/>
      <c r="U100" s="271"/>
      <c r="V100" s="271"/>
      <c r="W100" s="271"/>
      <c r="X100" s="271"/>
      <c r="Y100" s="271"/>
      <c r="Z100" s="271"/>
      <c r="AA100" s="271"/>
      <c r="AB100" s="1640"/>
      <c r="AC100" s="1641"/>
      <c r="AD100" s="271"/>
      <c r="AE100" s="271"/>
      <c r="AF100" s="271"/>
      <c r="AG100" s="271"/>
      <c r="AH100" s="271"/>
      <c r="AI100" s="271"/>
      <c r="AJ100" s="271"/>
      <c r="AK100" s="271"/>
      <c r="AL100" s="271"/>
      <c r="AM100" s="271"/>
      <c r="AN100" s="271"/>
      <c r="AO100" s="271"/>
    </row>
    <row r="101" spans="2:41">
      <c r="E101" s="271"/>
      <c r="F101" s="271"/>
      <c r="G101" s="271"/>
      <c r="H101" s="271"/>
      <c r="I101" s="271"/>
      <c r="J101" s="271"/>
      <c r="K101" s="271"/>
      <c r="L101" s="271"/>
      <c r="M101" s="271"/>
      <c r="N101" s="501" t="s">
        <v>779</v>
      </c>
      <c r="O101" s="293" t="s">
        <v>748</v>
      </c>
      <c r="P101" s="269"/>
      <c r="Q101" s="299">
        <v>950</v>
      </c>
      <c r="R101" s="271"/>
      <c r="S101" s="271"/>
      <c r="T101" s="271"/>
      <c r="U101" s="271"/>
      <c r="V101" s="271"/>
      <c r="W101" s="271"/>
      <c r="X101" s="271"/>
      <c r="Y101" s="271"/>
      <c r="Z101" s="271"/>
      <c r="AA101" s="271"/>
      <c r="AB101" s="1640"/>
      <c r="AC101" s="1641"/>
      <c r="AD101" s="271"/>
      <c r="AE101" s="271"/>
      <c r="AF101" s="271"/>
      <c r="AG101" s="271"/>
      <c r="AH101" s="271"/>
      <c r="AI101" s="271"/>
      <c r="AJ101" s="271"/>
      <c r="AK101" s="271"/>
      <c r="AL101" s="271"/>
      <c r="AM101" s="271"/>
      <c r="AN101" s="271"/>
      <c r="AO101" s="271"/>
    </row>
    <row r="102" spans="2:41">
      <c r="E102" s="271"/>
      <c r="F102" s="271"/>
      <c r="G102" s="271"/>
      <c r="H102" s="271"/>
      <c r="I102" s="271"/>
      <c r="J102" s="271"/>
      <c r="K102" s="271"/>
      <c r="L102" s="271"/>
      <c r="M102" s="271"/>
      <c r="N102" s="501" t="s">
        <v>780</v>
      </c>
      <c r="O102" s="293" t="s">
        <v>781</v>
      </c>
      <c r="P102" s="269"/>
      <c r="Q102" s="299">
        <v>560</v>
      </c>
      <c r="R102" s="271"/>
      <c r="S102" s="271"/>
      <c r="T102" s="271"/>
      <c r="U102" s="271"/>
      <c r="V102" s="271"/>
      <c r="W102" s="271"/>
      <c r="X102" s="271"/>
      <c r="Y102" s="271"/>
      <c r="Z102" s="271"/>
      <c r="AA102" s="271"/>
      <c r="AB102" s="1640"/>
      <c r="AC102" s="1641"/>
      <c r="AD102" s="271"/>
      <c r="AE102" s="271"/>
      <c r="AF102" s="271"/>
      <c r="AG102" s="271"/>
      <c r="AH102" s="271"/>
      <c r="AI102" s="271"/>
      <c r="AJ102" s="271"/>
      <c r="AK102" s="271"/>
      <c r="AL102" s="271"/>
      <c r="AM102" s="271"/>
      <c r="AN102" s="271"/>
      <c r="AO102" s="271"/>
    </row>
    <row r="103" spans="2:41">
      <c r="E103" s="271"/>
      <c r="F103" s="271"/>
      <c r="G103" s="271"/>
      <c r="H103" s="271"/>
      <c r="I103" s="271"/>
      <c r="J103" s="271"/>
      <c r="K103" s="271"/>
      <c r="L103" s="271"/>
      <c r="M103" s="271"/>
      <c r="N103" s="501" t="s">
        <v>782</v>
      </c>
      <c r="O103" s="293" t="s">
        <v>783</v>
      </c>
      <c r="P103" s="269"/>
      <c r="Q103" s="299">
        <v>20</v>
      </c>
      <c r="R103" s="271"/>
      <c r="S103" s="271"/>
      <c r="T103" s="271"/>
      <c r="U103" s="271"/>
      <c r="V103" s="271"/>
      <c r="W103" s="271"/>
      <c r="X103" s="271"/>
      <c r="Y103" s="271"/>
      <c r="Z103" s="271"/>
      <c r="AA103" s="271"/>
      <c r="AB103" s="1640"/>
      <c r="AC103" s="1641"/>
      <c r="AD103" s="271"/>
      <c r="AE103" s="271"/>
      <c r="AF103" s="271"/>
      <c r="AG103" s="271"/>
      <c r="AH103" s="271"/>
      <c r="AI103" s="271"/>
      <c r="AJ103" s="271"/>
      <c r="AK103" s="271"/>
      <c r="AL103" s="271"/>
      <c r="AM103" s="271"/>
      <c r="AN103" s="271"/>
      <c r="AO103" s="271"/>
    </row>
    <row r="104" spans="2:41">
      <c r="E104" s="271"/>
      <c r="F104" s="271"/>
      <c r="G104" s="271"/>
      <c r="H104" s="271"/>
      <c r="I104" s="271"/>
      <c r="J104" s="271"/>
      <c r="K104" s="271"/>
      <c r="L104" s="271"/>
      <c r="M104" s="271"/>
      <c r="N104" s="501">
        <v>20</v>
      </c>
      <c r="O104" s="293" t="s">
        <v>784</v>
      </c>
      <c r="P104" s="269"/>
      <c r="Q104" s="299">
        <v>5</v>
      </c>
      <c r="R104" s="271"/>
      <c r="S104" s="271"/>
      <c r="T104" s="271"/>
      <c r="U104" s="271"/>
      <c r="V104" s="271"/>
      <c r="W104" s="271"/>
      <c r="X104" s="271"/>
      <c r="Y104" s="271"/>
      <c r="Z104" s="271"/>
      <c r="AA104" s="271"/>
      <c r="AB104" s="1640"/>
      <c r="AC104" s="1641"/>
      <c r="AD104" s="271"/>
      <c r="AE104" s="271"/>
      <c r="AF104" s="271"/>
      <c r="AG104" s="271"/>
      <c r="AH104" s="271"/>
      <c r="AI104" s="271"/>
      <c r="AJ104" s="271"/>
      <c r="AK104" s="271"/>
      <c r="AL104" s="271"/>
      <c r="AM104" s="271"/>
      <c r="AN104" s="271"/>
      <c r="AO104" s="271"/>
    </row>
    <row r="105" spans="2:41">
      <c r="E105" s="271"/>
      <c r="F105" s="271"/>
      <c r="G105" s="271"/>
      <c r="H105" s="271"/>
      <c r="I105" s="271"/>
      <c r="J105" s="271"/>
      <c r="K105" s="271"/>
      <c r="L105" s="271"/>
      <c r="M105" s="271"/>
      <c r="N105" s="271"/>
      <c r="O105" s="271"/>
      <c r="P105" s="271"/>
      <c r="Q105" s="271"/>
      <c r="R105" s="271"/>
      <c r="S105" s="271"/>
      <c r="T105" s="271"/>
      <c r="U105" s="271"/>
      <c r="V105" s="271"/>
      <c r="W105" s="271"/>
      <c r="X105" s="271"/>
      <c r="Y105" s="271"/>
      <c r="Z105" s="271"/>
      <c r="AA105" s="271"/>
      <c r="AB105" s="1640"/>
      <c r="AC105" s="1641"/>
      <c r="AD105" s="271"/>
      <c r="AE105" s="271"/>
      <c r="AF105" s="271"/>
      <c r="AG105" s="271"/>
      <c r="AH105" s="271"/>
      <c r="AI105" s="271"/>
      <c r="AJ105" s="271"/>
      <c r="AK105" s="271"/>
      <c r="AL105" s="271"/>
      <c r="AM105" s="271"/>
      <c r="AN105" s="271"/>
      <c r="AO105" s="271"/>
    </row>
    <row r="106" spans="2:41">
      <c r="E106" s="271"/>
      <c r="F106" s="271"/>
      <c r="G106" s="271"/>
      <c r="H106" s="271"/>
      <c r="I106" s="271"/>
      <c r="J106" s="271"/>
      <c r="K106" s="271"/>
      <c r="L106" s="271"/>
      <c r="M106" s="271"/>
      <c r="N106" s="271"/>
      <c r="O106" s="271"/>
      <c r="P106" s="271"/>
      <c r="Q106" s="271"/>
      <c r="R106" s="271"/>
      <c r="S106" s="271"/>
      <c r="T106" s="271"/>
      <c r="U106" s="271"/>
      <c r="V106" s="271"/>
      <c r="W106" s="271"/>
      <c r="X106" s="271"/>
      <c r="Y106" s="271"/>
      <c r="Z106" s="271"/>
      <c r="AA106" s="271"/>
      <c r="AB106" s="1640"/>
      <c r="AC106" s="1641"/>
      <c r="AD106" s="271"/>
      <c r="AE106" s="271"/>
      <c r="AF106" s="271"/>
      <c r="AG106" s="271"/>
      <c r="AH106" s="271"/>
      <c r="AI106" s="271"/>
      <c r="AJ106" s="271"/>
      <c r="AK106" s="271"/>
      <c r="AL106" s="271"/>
      <c r="AM106" s="271"/>
      <c r="AN106" s="271"/>
      <c r="AO106" s="271"/>
    </row>
    <row r="107" spans="2:41">
      <c r="E107" s="271"/>
      <c r="F107" s="271"/>
      <c r="G107" s="271"/>
      <c r="H107" s="271"/>
      <c r="I107" s="271"/>
      <c r="J107" s="271"/>
      <c r="K107" s="271"/>
      <c r="L107" s="271"/>
      <c r="M107" s="271"/>
      <c r="N107" s="271"/>
      <c r="O107" s="271"/>
      <c r="P107" s="271"/>
      <c r="Q107" s="271"/>
      <c r="R107" s="271"/>
      <c r="S107" s="271"/>
      <c r="T107" s="271"/>
      <c r="U107" s="271"/>
      <c r="V107" s="271"/>
      <c r="W107" s="271"/>
      <c r="X107" s="271"/>
      <c r="Y107" s="271"/>
      <c r="Z107" s="271"/>
      <c r="AA107" s="271"/>
      <c r="AB107" s="1640"/>
      <c r="AC107" s="1641"/>
      <c r="AD107" s="271"/>
      <c r="AE107" s="271"/>
      <c r="AF107" s="271"/>
      <c r="AG107" s="271"/>
      <c r="AH107" s="271"/>
      <c r="AI107" s="271"/>
      <c r="AJ107" s="271"/>
      <c r="AK107" s="271"/>
      <c r="AL107" s="271"/>
      <c r="AM107" s="271"/>
      <c r="AN107" s="271"/>
      <c r="AO107" s="271"/>
    </row>
    <row r="108" spans="2:41">
      <c r="E108" s="271"/>
      <c r="F108" s="271"/>
      <c r="G108" s="271"/>
      <c r="H108" s="271"/>
      <c r="I108" s="271"/>
      <c r="J108" s="271"/>
      <c r="K108" s="271"/>
      <c r="L108" s="271"/>
      <c r="M108" s="271"/>
      <c r="N108" s="271"/>
      <c r="O108" s="271"/>
      <c r="P108" s="271"/>
      <c r="Q108" s="271"/>
      <c r="R108" s="271"/>
      <c r="S108" s="271"/>
      <c r="T108" s="271"/>
      <c r="U108" s="271"/>
      <c r="V108" s="271"/>
      <c r="W108" s="271"/>
      <c r="X108" s="271"/>
      <c r="Y108" s="271"/>
      <c r="Z108" s="271"/>
      <c r="AA108" s="271"/>
      <c r="AB108" s="1640"/>
      <c r="AC108" s="1641"/>
      <c r="AD108" s="271"/>
      <c r="AE108" s="271"/>
      <c r="AF108" s="271"/>
      <c r="AG108" s="271"/>
      <c r="AH108" s="271"/>
      <c r="AI108" s="271"/>
      <c r="AJ108" s="271"/>
      <c r="AK108" s="271"/>
      <c r="AL108" s="271"/>
      <c r="AM108" s="271"/>
      <c r="AN108" s="271"/>
      <c r="AO108" s="271"/>
    </row>
    <row r="109" spans="2:41">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c r="AA109" s="271"/>
      <c r="AB109" s="1640"/>
      <c r="AC109" s="1641"/>
      <c r="AD109" s="271"/>
      <c r="AE109" s="271"/>
      <c r="AF109" s="271"/>
      <c r="AG109" s="271"/>
      <c r="AH109" s="271"/>
      <c r="AI109" s="271"/>
      <c r="AJ109" s="271"/>
      <c r="AK109" s="271"/>
      <c r="AL109" s="271"/>
      <c r="AM109" s="271"/>
      <c r="AN109" s="271"/>
      <c r="AO109" s="271"/>
    </row>
    <row r="110" spans="2:41">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c r="AA110" s="271"/>
      <c r="AB110" s="1640"/>
      <c r="AC110" s="1641"/>
      <c r="AD110" s="271"/>
      <c r="AE110" s="271"/>
      <c r="AF110" s="271"/>
      <c r="AG110" s="271"/>
      <c r="AH110" s="271"/>
      <c r="AI110" s="271"/>
      <c r="AJ110" s="271"/>
      <c r="AK110" s="271"/>
      <c r="AL110" s="271"/>
      <c r="AM110" s="271"/>
      <c r="AN110" s="271"/>
      <c r="AO110" s="271"/>
    </row>
    <row r="111" spans="2:41">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c r="AA111" s="271"/>
      <c r="AB111" s="1640"/>
      <c r="AC111" s="1641"/>
      <c r="AD111" s="271"/>
      <c r="AE111" s="271"/>
      <c r="AF111" s="271"/>
      <c r="AG111" s="271"/>
      <c r="AH111" s="271"/>
      <c r="AI111" s="271"/>
      <c r="AJ111" s="271"/>
      <c r="AK111" s="271"/>
      <c r="AL111" s="271"/>
      <c r="AM111" s="271"/>
      <c r="AN111" s="271"/>
      <c r="AO111" s="271"/>
    </row>
    <row r="112" spans="2:41">
      <c r="E112" s="271"/>
      <c r="F112" s="271"/>
      <c r="G112" s="271"/>
      <c r="H112" s="271"/>
      <c r="I112" s="271"/>
      <c r="J112" s="271"/>
      <c r="K112" s="271"/>
      <c r="L112" s="271"/>
      <c r="M112" s="271"/>
      <c r="N112" s="271"/>
      <c r="O112" s="271"/>
      <c r="P112" s="271"/>
      <c r="Q112" s="271"/>
      <c r="R112" s="271"/>
      <c r="S112" s="271"/>
      <c r="T112" s="271"/>
      <c r="U112" s="271"/>
      <c r="V112" s="271"/>
      <c r="W112" s="271"/>
      <c r="X112" s="271"/>
      <c r="Y112" s="271"/>
      <c r="Z112" s="271"/>
      <c r="AA112" s="271"/>
      <c r="AB112" s="1640"/>
      <c r="AC112" s="1641"/>
      <c r="AD112" s="271"/>
      <c r="AE112" s="271"/>
      <c r="AF112" s="271"/>
      <c r="AG112" s="271"/>
      <c r="AH112" s="271"/>
      <c r="AI112" s="271"/>
      <c r="AJ112" s="271"/>
      <c r="AK112" s="271"/>
      <c r="AL112" s="271"/>
      <c r="AM112" s="271"/>
      <c r="AN112" s="271"/>
      <c r="AO112" s="271"/>
    </row>
    <row r="113" spans="5:41">
      <c r="E113" s="271"/>
      <c r="F113" s="271"/>
      <c r="G113" s="271"/>
      <c r="H113" s="271"/>
      <c r="I113" s="271"/>
      <c r="J113" s="271"/>
      <c r="K113" s="271"/>
      <c r="L113" s="271"/>
      <c r="M113" s="271"/>
      <c r="N113" s="271"/>
      <c r="O113" s="271"/>
      <c r="P113" s="271"/>
      <c r="Q113" s="271"/>
      <c r="R113" s="271"/>
      <c r="S113" s="271"/>
      <c r="T113" s="271"/>
      <c r="U113" s="271"/>
      <c r="V113" s="271"/>
      <c r="W113" s="271"/>
      <c r="X113" s="271"/>
      <c r="Y113" s="271"/>
      <c r="Z113" s="271"/>
      <c r="AA113" s="271"/>
      <c r="AB113" s="1640"/>
      <c r="AC113" s="1641"/>
      <c r="AD113" s="271"/>
      <c r="AE113" s="271"/>
      <c r="AF113" s="271"/>
      <c r="AG113" s="271"/>
      <c r="AH113" s="271"/>
      <c r="AI113" s="271"/>
      <c r="AJ113" s="271"/>
      <c r="AK113" s="271"/>
      <c r="AL113" s="271"/>
      <c r="AM113" s="271"/>
      <c r="AN113" s="271"/>
      <c r="AO113" s="271"/>
    </row>
    <row r="114" spans="5:41">
      <c r="E114" s="271"/>
      <c r="F114" s="271"/>
      <c r="G114" s="271"/>
      <c r="H114" s="271"/>
      <c r="I114" s="271"/>
      <c r="J114" s="271"/>
      <c r="K114" s="271"/>
      <c r="L114" s="271"/>
      <c r="M114" s="271"/>
      <c r="N114" s="271"/>
      <c r="O114" s="271"/>
      <c r="P114" s="271"/>
      <c r="Q114" s="271"/>
      <c r="R114" s="271"/>
      <c r="S114" s="271"/>
      <c r="T114" s="271"/>
      <c r="U114" s="271"/>
      <c r="V114" s="271"/>
      <c r="W114" s="271"/>
      <c r="X114" s="271"/>
      <c r="Y114" s="271"/>
      <c r="Z114" s="271"/>
      <c r="AA114" s="271"/>
      <c r="AB114" s="1640"/>
      <c r="AC114" s="1641"/>
      <c r="AD114" s="271"/>
      <c r="AE114" s="271"/>
      <c r="AF114" s="271"/>
      <c r="AG114" s="271"/>
      <c r="AH114" s="271"/>
      <c r="AI114" s="271"/>
      <c r="AJ114" s="271"/>
      <c r="AK114" s="271"/>
      <c r="AL114" s="271"/>
      <c r="AM114" s="271"/>
      <c r="AN114" s="271"/>
      <c r="AO114" s="271"/>
    </row>
    <row r="115" spans="5:41">
      <c r="E115" s="271"/>
      <c r="F115" s="271"/>
      <c r="G115" s="271"/>
      <c r="H115" s="271"/>
      <c r="I115" s="271"/>
      <c r="J115" s="271"/>
      <c r="K115" s="271"/>
      <c r="L115" s="271"/>
      <c r="M115" s="271"/>
      <c r="N115" s="271"/>
      <c r="O115" s="271"/>
      <c r="P115" s="271"/>
      <c r="Q115" s="271"/>
      <c r="R115" s="271"/>
      <c r="S115" s="271"/>
      <c r="T115" s="271"/>
      <c r="U115" s="271"/>
      <c r="V115" s="271"/>
      <c r="W115" s="271"/>
      <c r="X115" s="271"/>
      <c r="Y115" s="271"/>
      <c r="Z115" s="271"/>
      <c r="AA115" s="271"/>
      <c r="AB115" s="1640"/>
      <c r="AC115" s="1641"/>
      <c r="AD115" s="271"/>
      <c r="AE115" s="271"/>
      <c r="AF115" s="271"/>
      <c r="AG115" s="271"/>
      <c r="AH115" s="271"/>
      <c r="AI115" s="271"/>
      <c r="AJ115" s="271"/>
      <c r="AK115" s="271"/>
      <c r="AL115" s="271"/>
      <c r="AM115" s="271"/>
      <c r="AN115" s="271"/>
      <c r="AO115" s="271"/>
    </row>
    <row r="116" spans="5:41">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c r="AA116" s="271"/>
      <c r="AB116" s="1640"/>
      <c r="AC116" s="1641"/>
      <c r="AD116" s="271"/>
      <c r="AE116" s="271"/>
      <c r="AF116" s="271"/>
      <c r="AG116" s="271"/>
      <c r="AH116" s="271"/>
      <c r="AI116" s="271"/>
      <c r="AJ116" s="271"/>
      <c r="AK116" s="271"/>
      <c r="AL116" s="271"/>
      <c r="AM116" s="271"/>
      <c r="AN116" s="271"/>
      <c r="AO116" s="271"/>
    </row>
    <row r="117" spans="5:41">
      <c r="E117" s="271"/>
      <c r="F117" s="271"/>
      <c r="G117" s="271"/>
      <c r="H117" s="271"/>
      <c r="I117" s="271"/>
      <c r="J117" s="271"/>
      <c r="K117" s="271"/>
      <c r="L117" s="271"/>
      <c r="M117" s="271"/>
      <c r="N117" s="271"/>
      <c r="O117" s="271"/>
      <c r="P117" s="271"/>
      <c r="Q117" s="271"/>
      <c r="R117" s="271"/>
      <c r="S117" s="271"/>
      <c r="T117" s="271"/>
      <c r="U117" s="271"/>
      <c r="V117" s="271"/>
      <c r="W117" s="271"/>
      <c r="X117" s="271"/>
      <c r="Y117" s="271"/>
      <c r="Z117" s="271"/>
      <c r="AA117" s="271"/>
      <c r="AB117" s="1640"/>
      <c r="AC117" s="1641"/>
      <c r="AD117" s="271"/>
      <c r="AE117" s="271"/>
      <c r="AF117" s="271"/>
      <c r="AG117" s="271"/>
      <c r="AH117" s="271"/>
      <c r="AI117" s="271"/>
      <c r="AJ117" s="271"/>
      <c r="AK117" s="271"/>
      <c r="AL117" s="271"/>
      <c r="AM117" s="271"/>
      <c r="AN117" s="271"/>
      <c r="AO117" s="271"/>
    </row>
    <row r="118" spans="5:41">
      <c r="E118" s="271"/>
      <c r="F118" s="271"/>
      <c r="G118" s="271"/>
      <c r="H118" s="271"/>
      <c r="I118" s="271"/>
      <c r="J118" s="271"/>
      <c r="K118" s="271"/>
      <c r="L118" s="271"/>
      <c r="M118" s="271"/>
      <c r="N118" s="271"/>
      <c r="O118" s="271"/>
      <c r="P118" s="271"/>
      <c r="Q118" s="271"/>
      <c r="R118" s="271"/>
      <c r="S118" s="271"/>
      <c r="T118" s="271"/>
      <c r="U118" s="271"/>
      <c r="V118" s="271"/>
      <c r="W118" s="271"/>
      <c r="X118" s="271"/>
      <c r="Y118" s="271"/>
      <c r="Z118" s="271"/>
      <c r="AA118" s="271"/>
      <c r="AB118" s="1640"/>
      <c r="AC118" s="1641"/>
      <c r="AD118" s="271"/>
      <c r="AE118" s="271"/>
      <c r="AF118" s="271"/>
      <c r="AG118" s="271"/>
      <c r="AH118" s="271"/>
      <c r="AI118" s="271"/>
      <c r="AJ118" s="271"/>
      <c r="AK118" s="271"/>
      <c r="AL118" s="271"/>
      <c r="AM118" s="271"/>
      <c r="AN118" s="271"/>
      <c r="AO118" s="271"/>
    </row>
    <row r="119" spans="5:4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c r="AA119" s="271"/>
      <c r="AB119" s="1640"/>
      <c r="AC119" s="1641"/>
      <c r="AD119" s="271"/>
      <c r="AE119" s="271"/>
      <c r="AF119" s="271"/>
      <c r="AG119" s="271"/>
      <c r="AH119" s="271"/>
      <c r="AI119" s="271"/>
      <c r="AJ119" s="271"/>
      <c r="AK119" s="271"/>
      <c r="AL119" s="271"/>
      <c r="AM119" s="271"/>
      <c r="AN119" s="271"/>
      <c r="AO119" s="271"/>
    </row>
    <row r="120" spans="5:4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c r="AA120" s="271"/>
      <c r="AB120" s="1640"/>
      <c r="AC120" s="1641"/>
      <c r="AD120" s="271"/>
      <c r="AE120" s="271"/>
      <c r="AF120" s="271"/>
      <c r="AG120" s="271"/>
      <c r="AH120" s="271"/>
      <c r="AI120" s="271"/>
      <c r="AJ120" s="271"/>
      <c r="AK120" s="271"/>
      <c r="AL120" s="271"/>
      <c r="AM120" s="271"/>
      <c r="AN120" s="271"/>
      <c r="AO120" s="271"/>
    </row>
    <row r="121" spans="5:41">
      <c r="E121" s="271"/>
      <c r="F121" s="271"/>
      <c r="G121" s="271"/>
      <c r="H121" s="271"/>
      <c r="I121" s="271"/>
      <c r="J121" s="271"/>
      <c r="K121" s="271"/>
      <c r="L121" s="271"/>
      <c r="M121" s="271"/>
      <c r="N121" s="271"/>
      <c r="O121" s="271"/>
      <c r="P121" s="271"/>
      <c r="Q121" s="271"/>
      <c r="R121" s="271"/>
      <c r="S121" s="271"/>
      <c r="T121" s="271"/>
      <c r="U121" s="271"/>
      <c r="V121" s="271"/>
      <c r="W121" s="271"/>
      <c r="X121" s="271"/>
      <c r="Y121" s="271"/>
      <c r="Z121" s="271"/>
      <c r="AA121" s="271"/>
      <c r="AB121" s="1640"/>
      <c r="AC121" s="1641"/>
      <c r="AD121" s="271"/>
      <c r="AE121" s="271"/>
      <c r="AF121" s="271"/>
      <c r="AG121" s="271"/>
      <c r="AH121" s="271"/>
      <c r="AI121" s="271"/>
      <c r="AJ121" s="271"/>
      <c r="AK121" s="271"/>
      <c r="AL121" s="271"/>
      <c r="AM121" s="271"/>
      <c r="AN121" s="271"/>
      <c r="AO121" s="271"/>
    </row>
    <row r="122" spans="5:41">
      <c r="E122" s="271"/>
      <c r="F122" s="271"/>
      <c r="G122" s="271"/>
      <c r="H122" s="271"/>
      <c r="I122" s="271"/>
      <c r="J122" s="271"/>
      <c r="K122" s="271"/>
      <c r="L122" s="271"/>
      <c r="M122" s="271"/>
      <c r="N122" s="271"/>
      <c r="O122" s="271"/>
      <c r="P122" s="271"/>
      <c r="Q122" s="271"/>
      <c r="R122" s="271"/>
      <c r="S122" s="271"/>
      <c r="T122" s="271"/>
      <c r="U122" s="271"/>
      <c r="V122" s="271"/>
      <c r="W122" s="271"/>
      <c r="X122" s="271"/>
      <c r="Y122" s="271"/>
      <c r="Z122" s="271"/>
      <c r="AA122" s="271"/>
      <c r="AB122" s="1640"/>
      <c r="AC122" s="1641"/>
      <c r="AD122" s="271"/>
      <c r="AE122" s="271"/>
      <c r="AF122" s="271"/>
      <c r="AG122" s="271"/>
      <c r="AH122" s="271"/>
      <c r="AI122" s="271"/>
      <c r="AJ122" s="271"/>
      <c r="AK122" s="271"/>
      <c r="AL122" s="271"/>
      <c r="AM122" s="271"/>
      <c r="AN122" s="271"/>
      <c r="AO122" s="271"/>
    </row>
    <row r="123" spans="5:4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1640"/>
      <c r="AC123" s="1641"/>
      <c r="AD123" s="271"/>
      <c r="AE123" s="271"/>
      <c r="AF123" s="271"/>
      <c r="AG123" s="271"/>
      <c r="AH123" s="271"/>
      <c r="AI123" s="271"/>
      <c r="AJ123" s="271"/>
      <c r="AK123" s="271"/>
      <c r="AL123" s="271"/>
      <c r="AM123" s="271"/>
      <c r="AN123" s="271"/>
      <c r="AO123" s="271"/>
    </row>
    <row r="124" spans="5:41">
      <c r="E124" s="271"/>
      <c r="F124" s="271"/>
      <c r="G124" s="271"/>
      <c r="H124" s="271"/>
      <c r="I124" s="271"/>
      <c r="J124" s="271"/>
      <c r="K124" s="271"/>
      <c r="L124" s="271"/>
      <c r="M124" s="271"/>
      <c r="N124" s="271"/>
      <c r="O124" s="271"/>
      <c r="P124" s="271"/>
      <c r="Q124" s="271"/>
      <c r="R124" s="271"/>
      <c r="S124" s="271"/>
      <c r="T124" s="271"/>
      <c r="U124" s="271"/>
      <c r="V124" s="271"/>
      <c r="W124" s="271"/>
      <c r="X124" s="271"/>
      <c r="Y124" s="271"/>
      <c r="Z124" s="271"/>
      <c r="AA124" s="271"/>
      <c r="AB124" s="1640"/>
      <c r="AC124" s="1641"/>
      <c r="AD124" s="271"/>
      <c r="AE124" s="271"/>
      <c r="AF124" s="271"/>
      <c r="AG124" s="271"/>
      <c r="AH124" s="271"/>
      <c r="AI124" s="271"/>
      <c r="AJ124" s="271"/>
      <c r="AK124" s="271"/>
      <c r="AL124" s="271"/>
      <c r="AM124" s="271"/>
      <c r="AN124" s="271"/>
      <c r="AO124" s="271"/>
    </row>
    <row r="125" spans="5:41">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c r="AA125" s="271"/>
      <c r="AB125" s="1640"/>
      <c r="AC125" s="1641"/>
      <c r="AD125" s="271"/>
      <c r="AE125" s="271"/>
      <c r="AF125" s="271"/>
      <c r="AG125" s="271"/>
      <c r="AH125" s="271"/>
      <c r="AI125" s="271"/>
      <c r="AJ125" s="271"/>
      <c r="AK125" s="271"/>
      <c r="AL125" s="271"/>
      <c r="AM125" s="271"/>
      <c r="AN125" s="271"/>
      <c r="AO125" s="271"/>
    </row>
    <row r="126" spans="5:41">
      <c r="E126" s="271"/>
      <c r="F126" s="271"/>
      <c r="G126" s="271"/>
      <c r="H126" s="271"/>
      <c r="I126" s="271"/>
      <c r="J126" s="271"/>
      <c r="K126" s="271"/>
      <c r="L126" s="271"/>
      <c r="M126" s="271"/>
      <c r="N126" s="271"/>
      <c r="O126" s="271"/>
      <c r="P126" s="271"/>
      <c r="Q126" s="271"/>
      <c r="R126" s="271"/>
      <c r="S126" s="271"/>
      <c r="T126" s="271"/>
      <c r="U126" s="271"/>
      <c r="V126" s="271"/>
      <c r="W126" s="271"/>
      <c r="X126" s="271"/>
      <c r="Y126" s="271"/>
      <c r="Z126" s="271"/>
      <c r="AA126" s="271"/>
      <c r="AB126" s="1640"/>
      <c r="AC126" s="1641"/>
      <c r="AD126" s="271"/>
      <c r="AE126" s="271"/>
      <c r="AF126" s="271"/>
      <c r="AG126" s="271"/>
      <c r="AH126" s="271"/>
      <c r="AI126" s="271"/>
      <c r="AJ126" s="271"/>
      <c r="AK126" s="271"/>
      <c r="AL126" s="271"/>
      <c r="AM126" s="271"/>
      <c r="AN126" s="271"/>
      <c r="AO126" s="271"/>
    </row>
    <row r="127" spans="5:41">
      <c r="E127" s="271"/>
      <c r="F127" s="271"/>
      <c r="G127" s="271"/>
      <c r="H127" s="271"/>
      <c r="I127" s="271"/>
      <c r="J127" s="271"/>
      <c r="K127" s="271"/>
      <c r="L127" s="271"/>
      <c r="M127" s="271"/>
      <c r="N127" s="271"/>
      <c r="O127" s="271"/>
      <c r="P127" s="271"/>
      <c r="Q127" s="271"/>
      <c r="R127" s="271"/>
      <c r="S127" s="271"/>
      <c r="T127" s="271"/>
      <c r="U127" s="271"/>
      <c r="V127" s="271"/>
      <c r="W127" s="271"/>
      <c r="X127" s="271"/>
      <c r="Y127" s="271"/>
      <c r="Z127" s="271"/>
      <c r="AA127" s="271"/>
      <c r="AB127" s="1640"/>
      <c r="AC127" s="1641"/>
      <c r="AD127" s="271"/>
      <c r="AE127" s="271"/>
      <c r="AF127" s="271"/>
      <c r="AG127" s="271"/>
      <c r="AH127" s="271"/>
      <c r="AI127" s="271"/>
      <c r="AJ127" s="271"/>
      <c r="AK127" s="271"/>
      <c r="AL127" s="271"/>
      <c r="AM127" s="271"/>
      <c r="AN127" s="271"/>
      <c r="AO127" s="271"/>
    </row>
    <row r="128" spans="5:41">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c r="AA128" s="271"/>
      <c r="AB128" s="1640"/>
      <c r="AC128" s="1641"/>
      <c r="AD128" s="271"/>
      <c r="AE128" s="271"/>
      <c r="AF128" s="271"/>
      <c r="AG128" s="271"/>
      <c r="AH128" s="271"/>
      <c r="AI128" s="271"/>
      <c r="AJ128" s="271"/>
      <c r="AK128" s="271"/>
      <c r="AL128" s="271"/>
      <c r="AM128" s="271"/>
      <c r="AN128" s="271"/>
      <c r="AO128" s="271"/>
    </row>
    <row r="129" spans="21:41">
      <c r="U129" s="271"/>
      <c r="V129" s="271"/>
      <c r="W129" s="271"/>
      <c r="X129" s="271"/>
      <c r="Y129" s="271"/>
      <c r="Z129" s="271"/>
      <c r="AA129" s="271"/>
      <c r="AB129" s="1640"/>
      <c r="AC129" s="1641"/>
      <c r="AD129" s="271"/>
      <c r="AE129" s="271"/>
      <c r="AF129" s="271"/>
      <c r="AG129" s="271"/>
      <c r="AH129" s="271"/>
      <c r="AI129" s="271"/>
      <c r="AJ129" s="271"/>
      <c r="AK129" s="271"/>
      <c r="AL129" s="271"/>
      <c r="AM129" s="271"/>
      <c r="AN129" s="271"/>
      <c r="AO129" s="271"/>
    </row>
  </sheetData>
  <sheetProtection algorithmName="SHA-512" hashValue="XUbWZKO0d/EZ2EDUm3fCX5vL51HvJRP0+1cVjWAt0n8WDg8XE+Tk99dqbTJUBSouJOccld/WVXV7+jhGydLdjg==" saltValue="vuukQ8kvXaspQK+19vXxfg==" spinCount="100000" sheet="1" objects="1" scenarios="1"/>
  <mergeCells count="7">
    <mergeCell ref="N2:O2"/>
    <mergeCell ref="H2:H3"/>
    <mergeCell ref="E2:E3"/>
    <mergeCell ref="B30:B31"/>
    <mergeCell ref="C30:D30"/>
    <mergeCell ref="E30:F30"/>
    <mergeCell ref="F2:F3"/>
  </mergeCells>
  <pageMargins left="0.7" right="0.7" top="0.75" bottom="0.75" header="0.3" footer="0.3"/>
  <pageSetup orientation="portrait" horizontalDpi="0" verticalDpi="0"/>
  <ignoredErrors>
    <ignoredError sqref="X20:AA20 X9:AA9 AC9 AC20 X26:AA26 AC26 X39:AA39 X48:AA48 C79 E79" formula="1"/>
    <ignoredError sqref="K8 AC39 AC47:AC49 AC51:AC54 AC60" emptyCellReference="1"/>
    <ignoredError sqref="W9 W17 W39"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3D12A-76C0-8A47-9580-B2F8F5B9479F}">
  <sheetPr codeName="Sheet7">
    <tabColor theme="6" tint="0.39997558519241921"/>
  </sheetPr>
  <dimension ref="A1:AN702"/>
  <sheetViews>
    <sheetView tabSelected="1" zoomScaleNormal="100" workbookViewId="0">
      <pane ySplit="4" topLeftCell="A5" activePane="bottomLeft" state="frozen"/>
      <selection pane="bottomLeft" activeCell="D687" sqref="D687"/>
    </sheetView>
  </sheetViews>
  <sheetFormatPr baseColWidth="10" defaultColWidth="20" defaultRowHeight="16" outlineLevelRow="1"/>
  <cols>
    <col min="1" max="1" width="68" style="476" customWidth="1"/>
    <col min="2" max="2" width="23" style="466" customWidth="1"/>
    <col min="3" max="3" width="20" style="466" customWidth="1"/>
    <col min="4" max="6" width="20.75" style="466" customWidth="1"/>
    <col min="7" max="7" width="19.25" style="468" customWidth="1"/>
    <col min="8" max="8" width="18.75" style="468" customWidth="1"/>
    <col min="9" max="10" width="14.75" style="466" customWidth="1"/>
    <col min="11" max="11" width="29.75" style="468" customWidth="1"/>
    <col min="12" max="12" width="27.5" style="468" customWidth="1"/>
    <col min="13" max="13" width="30.75" style="468" customWidth="1"/>
    <col min="14" max="15" width="20.25" style="468" customWidth="1"/>
    <col min="16" max="16" width="20" style="466" customWidth="1"/>
    <col min="17" max="17" width="20" style="468" customWidth="1"/>
    <col min="18" max="18" width="20" style="466" customWidth="1"/>
    <col min="19" max="19" width="20" style="468" customWidth="1"/>
    <col min="20" max="20" width="20" style="466" customWidth="1"/>
    <col min="21" max="22" width="20" style="468" customWidth="1"/>
    <col min="23" max="23" width="20" style="466" customWidth="1"/>
    <col min="24" max="24" width="20" style="468" customWidth="1"/>
    <col min="25" max="25" width="20" style="466" customWidth="1"/>
    <col min="26" max="26" width="20" style="468" customWidth="1"/>
    <col min="27" max="31" width="20" style="466" customWidth="1"/>
    <col min="32" max="32" width="20" style="468" customWidth="1"/>
    <col min="33" max="33" width="20" style="466" customWidth="1"/>
    <col min="34" max="34" width="20" style="468" customWidth="1"/>
    <col min="35" max="37" width="20" style="466" customWidth="1"/>
    <col min="38" max="39" width="48.5" style="524" customWidth="1"/>
    <col min="40" max="40" width="31" style="700" customWidth="1"/>
    <col min="41" max="16384" width="20" style="466"/>
  </cols>
  <sheetData>
    <row r="1" spans="1:40" s="467" customFormat="1" ht="129" customHeight="1">
      <c r="A1" s="469" t="s">
        <v>37</v>
      </c>
      <c r="B1" s="469" t="s">
        <v>1418</v>
      </c>
      <c r="C1" s="467" t="s">
        <v>38</v>
      </c>
      <c r="I1" s="469" t="s">
        <v>913</v>
      </c>
      <c r="J1" s="469" t="s">
        <v>914</v>
      </c>
      <c r="K1" s="470" t="s">
        <v>1435</v>
      </c>
      <c r="L1" s="470" t="s">
        <v>2159</v>
      </c>
      <c r="M1" s="470" t="s">
        <v>2160</v>
      </c>
      <c r="N1" s="470" t="s">
        <v>2157</v>
      </c>
      <c r="O1" s="470" t="s">
        <v>2158</v>
      </c>
      <c r="P1" s="469" t="s">
        <v>1419</v>
      </c>
      <c r="Q1" s="470" t="s">
        <v>1420</v>
      </c>
      <c r="R1" s="469" t="s">
        <v>1421</v>
      </c>
      <c r="S1" s="470" t="s">
        <v>1422</v>
      </c>
      <c r="T1" s="469" t="s">
        <v>1423</v>
      </c>
      <c r="U1" s="470" t="s">
        <v>1424</v>
      </c>
      <c r="V1" s="470" t="s">
        <v>1393</v>
      </c>
      <c r="W1" s="469" t="s">
        <v>1425</v>
      </c>
      <c r="X1" s="470" t="s">
        <v>1426</v>
      </c>
      <c r="Y1" s="469" t="s">
        <v>1427</v>
      </c>
      <c r="Z1" s="470" t="s">
        <v>1428</v>
      </c>
      <c r="AA1" s="467" t="s">
        <v>1429</v>
      </c>
      <c r="AC1" s="467" t="s">
        <v>1430</v>
      </c>
      <c r="AE1" s="481" t="s">
        <v>1433</v>
      </c>
      <c r="AF1" s="2296" t="s">
        <v>1431</v>
      </c>
      <c r="AG1" s="2297"/>
      <c r="AH1" s="2297"/>
      <c r="AI1" s="2298"/>
      <c r="AJ1" s="467" t="s">
        <v>1394</v>
      </c>
      <c r="AL1" s="467" t="s">
        <v>1509</v>
      </c>
      <c r="AM1" s="467" t="s">
        <v>1509</v>
      </c>
      <c r="AN1" s="2299" t="s">
        <v>1530</v>
      </c>
    </row>
    <row r="2" spans="1:40" s="467" customFormat="1" ht="52" customHeight="1">
      <c r="A2" s="2289"/>
      <c r="B2" s="2289"/>
      <c r="C2" s="467" t="s">
        <v>39</v>
      </c>
      <c r="E2" s="467" t="s">
        <v>40</v>
      </c>
      <c r="G2" s="2304" t="s">
        <v>40</v>
      </c>
      <c r="H2" s="2304" t="s">
        <v>40</v>
      </c>
      <c r="I2" s="2289"/>
      <c r="J2" s="2289"/>
      <c r="K2" s="2288"/>
      <c r="L2" s="2288"/>
      <c r="M2" s="2288"/>
      <c r="N2" s="2288"/>
      <c r="O2" s="2288"/>
      <c r="P2" s="2289"/>
      <c r="Q2" s="2288"/>
      <c r="R2" s="2289"/>
      <c r="S2" s="2288"/>
      <c r="T2" s="2289"/>
      <c r="U2" s="2288"/>
      <c r="V2" s="2288"/>
      <c r="W2" s="2289"/>
      <c r="X2" s="2288"/>
      <c r="Y2" s="2289"/>
      <c r="Z2" s="2288"/>
      <c r="AA2" s="467" t="s">
        <v>1395</v>
      </c>
      <c r="AB2" s="467" t="s">
        <v>1396</v>
      </c>
      <c r="AC2" s="467" t="s">
        <v>1395</v>
      </c>
      <c r="AD2" s="467" t="s">
        <v>1396</v>
      </c>
      <c r="AE2" s="469" t="s">
        <v>1415</v>
      </c>
      <c r="AF2" s="470" t="s">
        <v>1399</v>
      </c>
      <c r="AG2" s="469" t="s">
        <v>1397</v>
      </c>
      <c r="AH2" s="470" t="s">
        <v>1400</v>
      </c>
      <c r="AI2" s="467" t="s">
        <v>1398</v>
      </c>
      <c r="AJ2" s="469" t="s">
        <v>1434</v>
      </c>
      <c r="AK2" s="469" t="s">
        <v>1432</v>
      </c>
      <c r="AL2" s="470" t="s">
        <v>1537</v>
      </c>
      <c r="AM2" s="470" t="s">
        <v>1508</v>
      </c>
      <c r="AN2" s="2289"/>
    </row>
    <row r="3" spans="1:40" s="467" customFormat="1" ht="52" customHeight="1">
      <c r="A3" s="2289"/>
      <c r="B3" s="2289"/>
      <c r="C3" s="467" t="s">
        <v>915</v>
      </c>
      <c r="D3" s="467" t="s">
        <v>916</v>
      </c>
      <c r="E3" s="467" t="s">
        <v>1444</v>
      </c>
      <c r="G3" s="2303" t="s">
        <v>2156</v>
      </c>
      <c r="H3" s="2303" t="s">
        <v>2156</v>
      </c>
      <c r="I3" s="2289"/>
      <c r="J3" s="2289"/>
      <c r="K3" s="2288"/>
      <c r="L3" s="2288"/>
      <c r="M3" s="2288"/>
      <c r="N3" s="2288"/>
      <c r="O3" s="2288"/>
      <c r="P3" s="2289"/>
      <c r="Q3" s="2288"/>
      <c r="R3" s="2289"/>
      <c r="S3" s="2288"/>
      <c r="T3" s="2289"/>
      <c r="U3" s="2288"/>
      <c r="V3" s="2288"/>
      <c r="W3" s="2289"/>
      <c r="X3" s="2288"/>
      <c r="Y3" s="2289"/>
      <c r="Z3" s="2288"/>
      <c r="AE3" s="2289"/>
      <c r="AF3" s="2288"/>
      <c r="AG3" s="2289"/>
      <c r="AH3" s="2288"/>
      <c r="AJ3" s="2289"/>
      <c r="AK3" s="2289"/>
      <c r="AL3" s="2288"/>
      <c r="AM3" s="2288"/>
      <c r="AN3" s="2289"/>
    </row>
    <row r="4" spans="1:40" s="2300" customFormat="1" ht="68" customHeight="1" thickBot="1">
      <c r="A4" s="2305" t="s">
        <v>2171</v>
      </c>
      <c r="B4" s="2305" t="s">
        <v>2172</v>
      </c>
      <c r="C4" s="2306" t="s">
        <v>2209</v>
      </c>
      <c r="D4" s="2306" t="s">
        <v>2173</v>
      </c>
      <c r="E4" s="2307" t="s">
        <v>2208</v>
      </c>
      <c r="F4" s="2307" t="s">
        <v>2207</v>
      </c>
      <c r="G4" s="2301" t="s">
        <v>2205</v>
      </c>
      <c r="H4" s="2301" t="s">
        <v>2206</v>
      </c>
      <c r="I4" s="2305" t="s">
        <v>2153</v>
      </c>
      <c r="J4" s="2305" t="s">
        <v>2154</v>
      </c>
      <c r="K4" s="2302" t="s">
        <v>2174</v>
      </c>
      <c r="L4" s="2305" t="s">
        <v>2155</v>
      </c>
      <c r="M4" s="2302" t="s">
        <v>2175</v>
      </c>
      <c r="N4" s="2302" t="s">
        <v>2176</v>
      </c>
      <c r="O4" s="2302" t="s">
        <v>2177</v>
      </c>
      <c r="P4" s="2307" t="s">
        <v>2178</v>
      </c>
      <c r="Q4" s="2301" t="s">
        <v>2179</v>
      </c>
      <c r="R4" s="2307" t="s">
        <v>2180</v>
      </c>
      <c r="S4" s="2301" t="s">
        <v>2181</v>
      </c>
      <c r="T4" s="2307" t="s">
        <v>2182</v>
      </c>
      <c r="U4" s="2301" t="s">
        <v>2183</v>
      </c>
      <c r="V4" s="2301" t="s">
        <v>2184</v>
      </c>
      <c r="W4" s="2307" t="s">
        <v>2185</v>
      </c>
      <c r="X4" s="2301" t="s">
        <v>2186</v>
      </c>
      <c r="Y4" s="2307" t="s">
        <v>2187</v>
      </c>
      <c r="Z4" s="2301" t="s">
        <v>2188</v>
      </c>
      <c r="AA4" s="2306" t="s">
        <v>2189</v>
      </c>
      <c r="AB4" s="2306" t="s">
        <v>2190</v>
      </c>
      <c r="AC4" s="2306" t="s">
        <v>2191</v>
      </c>
      <c r="AD4" s="2306" t="s">
        <v>2192</v>
      </c>
      <c r="AE4" s="2305" t="s">
        <v>2193</v>
      </c>
      <c r="AF4" s="2302" t="s">
        <v>2194</v>
      </c>
      <c r="AG4" s="2305" t="s">
        <v>2195</v>
      </c>
      <c r="AH4" s="2302" t="s">
        <v>2196</v>
      </c>
      <c r="AI4" s="2302" t="s">
        <v>2197</v>
      </c>
      <c r="AJ4" s="2305" t="s">
        <v>2198</v>
      </c>
      <c r="AK4" s="2305" t="s">
        <v>2199</v>
      </c>
      <c r="AL4" s="2302" t="s">
        <v>2200</v>
      </c>
      <c r="AM4" s="2302" t="s">
        <v>2201</v>
      </c>
      <c r="AN4" s="2302" t="s">
        <v>2202</v>
      </c>
    </row>
    <row r="5" spans="1:40" s="479" customFormat="1" ht="26" customHeight="1" collapsed="1" thickTop="1" thickBot="1">
      <c r="A5" s="478" t="s">
        <v>917</v>
      </c>
      <c r="K5" s="482"/>
      <c r="L5" s="482"/>
      <c r="M5" s="482"/>
      <c r="N5" s="482"/>
      <c r="O5" s="482"/>
      <c r="P5" s="479" t="s">
        <v>1416</v>
      </c>
      <c r="R5" s="479" t="s">
        <v>1416</v>
      </c>
      <c r="T5" s="479" t="s">
        <v>1416</v>
      </c>
      <c r="W5" s="479" t="s">
        <v>1416</v>
      </c>
      <c r="Y5" s="479" t="s">
        <v>1416</v>
      </c>
      <c r="AL5" s="523"/>
      <c r="AM5" s="523"/>
      <c r="AN5" s="698"/>
    </row>
    <row r="6" spans="1:40" s="471" customFormat="1" ht="25" customHeight="1" outlineLevel="1" thickTop="1">
      <c r="A6" s="475" t="s">
        <v>918</v>
      </c>
      <c r="B6" s="471">
        <v>1040</v>
      </c>
      <c r="C6" s="471">
        <v>-30</v>
      </c>
      <c r="D6" s="471">
        <v>-32</v>
      </c>
      <c r="E6" s="471">
        <v>29</v>
      </c>
      <c r="F6" s="471">
        <v>17</v>
      </c>
      <c r="G6" s="472">
        <v>34</v>
      </c>
      <c r="H6" s="472">
        <v>21</v>
      </c>
      <c r="I6" s="471">
        <v>5030</v>
      </c>
      <c r="J6" s="471">
        <v>4040</v>
      </c>
      <c r="K6" s="472">
        <f>I6-500</f>
        <v>4530</v>
      </c>
      <c r="L6" s="472">
        <v>666</v>
      </c>
      <c r="M6" s="472">
        <v>666</v>
      </c>
      <c r="N6" s="472">
        <v>666</v>
      </c>
      <c r="O6" s="472">
        <v>666</v>
      </c>
      <c r="P6" s="471">
        <v>10</v>
      </c>
      <c r="Q6" s="472">
        <v>13</v>
      </c>
      <c r="R6" s="471">
        <v>48</v>
      </c>
      <c r="S6" s="472">
        <v>61</v>
      </c>
      <c r="T6" s="471">
        <v>300</v>
      </c>
      <c r="U6" s="472">
        <v>450</v>
      </c>
      <c r="V6" s="472">
        <v>0.4</v>
      </c>
      <c r="W6" s="471">
        <v>425</v>
      </c>
      <c r="X6" s="472">
        <v>530</v>
      </c>
      <c r="Y6" s="471">
        <v>60</v>
      </c>
      <c r="Z6" s="472">
        <v>80</v>
      </c>
      <c r="AA6" s="471">
        <v>2.6</v>
      </c>
      <c r="AB6" s="471">
        <v>0.3</v>
      </c>
      <c r="AC6" s="471">
        <v>3.7</v>
      </c>
      <c r="AD6" s="471">
        <v>0.4</v>
      </c>
      <c r="AE6" s="471">
        <v>0.27</v>
      </c>
      <c r="AF6" s="472">
        <v>0.3</v>
      </c>
      <c r="AG6" s="471">
        <v>0.35</v>
      </c>
      <c r="AH6" s="472">
        <v>0.39</v>
      </c>
      <c r="AI6" s="471">
        <v>0.55000000000000004</v>
      </c>
      <c r="AJ6" s="471">
        <v>-7</v>
      </c>
      <c r="AK6" s="471">
        <v>2.8</v>
      </c>
      <c r="AL6" s="490">
        <v>21</v>
      </c>
      <c r="AM6" s="490">
        <v>21</v>
      </c>
      <c r="AN6" s="699"/>
    </row>
    <row r="7" spans="1:40" ht="25" customHeight="1" outlineLevel="1">
      <c r="A7" s="476" t="s">
        <v>919</v>
      </c>
      <c r="B7" s="466">
        <v>70</v>
      </c>
      <c r="C7" s="466">
        <v>-8</v>
      </c>
      <c r="D7" s="466">
        <v>-10</v>
      </c>
      <c r="E7" s="466">
        <v>29</v>
      </c>
      <c r="F7" s="466">
        <v>20</v>
      </c>
      <c r="G7" s="468">
        <v>35</v>
      </c>
      <c r="H7" s="468">
        <v>25</v>
      </c>
      <c r="I7" s="466">
        <v>2860</v>
      </c>
      <c r="J7" s="466">
        <v>2000</v>
      </c>
      <c r="K7" s="472">
        <f t="shared" ref="K7:K70" si="0">I7-500</f>
        <v>2360</v>
      </c>
      <c r="L7" s="472">
        <v>666</v>
      </c>
      <c r="M7" s="472">
        <v>666</v>
      </c>
      <c r="N7" s="472">
        <v>666</v>
      </c>
      <c r="O7" s="472">
        <v>666</v>
      </c>
      <c r="P7" s="466">
        <v>12</v>
      </c>
      <c r="Q7" s="468">
        <v>15</v>
      </c>
      <c r="R7" s="466">
        <v>112</v>
      </c>
      <c r="S7" s="468">
        <v>140</v>
      </c>
      <c r="T7" s="466">
        <v>1525</v>
      </c>
      <c r="U7" s="468">
        <v>1690</v>
      </c>
      <c r="V7" s="468">
        <v>1.6</v>
      </c>
      <c r="W7" s="466">
        <v>1600</v>
      </c>
      <c r="X7" s="468">
        <v>1630</v>
      </c>
      <c r="Y7" s="466">
        <v>160</v>
      </c>
      <c r="Z7" s="468">
        <v>170</v>
      </c>
      <c r="AA7" s="466">
        <v>2</v>
      </c>
      <c r="AB7" s="466">
        <v>0.3</v>
      </c>
      <c r="AC7" s="466">
        <v>3.2</v>
      </c>
      <c r="AD7" s="466">
        <v>0.5</v>
      </c>
      <c r="AE7" s="466">
        <v>0.33</v>
      </c>
      <c r="AF7" s="468">
        <v>0.36</v>
      </c>
      <c r="AG7" s="466">
        <v>0.44</v>
      </c>
      <c r="AH7" s="468">
        <v>0.48</v>
      </c>
      <c r="AI7" s="466">
        <v>0.68</v>
      </c>
      <c r="AJ7" s="466">
        <v>-3</v>
      </c>
      <c r="AK7" s="466">
        <v>3.7</v>
      </c>
      <c r="AL7" s="524">
        <v>25</v>
      </c>
      <c r="AM7" s="524">
        <v>25</v>
      </c>
    </row>
    <row r="8" spans="1:40" ht="25" customHeight="1" outlineLevel="1">
      <c r="A8" s="476" t="s">
        <v>920</v>
      </c>
      <c r="B8" s="466">
        <v>15</v>
      </c>
      <c r="C8" s="466">
        <v>-9</v>
      </c>
      <c r="D8" s="466">
        <v>-11</v>
      </c>
      <c r="E8" s="466">
        <v>31</v>
      </c>
      <c r="F8" s="466">
        <v>21</v>
      </c>
      <c r="G8" s="468">
        <v>37</v>
      </c>
      <c r="H8" s="468">
        <v>26</v>
      </c>
      <c r="I8" s="466">
        <v>2750</v>
      </c>
      <c r="J8" s="466">
        <v>1900</v>
      </c>
      <c r="K8" s="472">
        <f t="shared" si="0"/>
        <v>2250</v>
      </c>
      <c r="L8" s="472">
        <v>666</v>
      </c>
      <c r="M8" s="472">
        <v>666</v>
      </c>
      <c r="N8" s="472">
        <v>666</v>
      </c>
      <c r="O8" s="472">
        <v>666</v>
      </c>
      <c r="P8" s="466">
        <v>8</v>
      </c>
      <c r="Q8" s="468">
        <v>10</v>
      </c>
      <c r="R8" s="466">
        <v>128</v>
      </c>
      <c r="S8" s="468">
        <v>162</v>
      </c>
      <c r="T8" s="466">
        <v>1650</v>
      </c>
      <c r="U8" s="468">
        <v>2100</v>
      </c>
      <c r="V8" s="468">
        <v>1.8</v>
      </c>
      <c r="W8" s="466">
        <v>1700</v>
      </c>
      <c r="X8" s="468">
        <v>1750</v>
      </c>
      <c r="Y8" s="466">
        <v>160</v>
      </c>
      <c r="Z8" s="468">
        <v>180</v>
      </c>
      <c r="AA8" s="466">
        <v>2.4</v>
      </c>
      <c r="AB8" s="466">
        <v>0.7</v>
      </c>
      <c r="AC8" s="466">
        <v>3.8</v>
      </c>
      <c r="AD8" s="466">
        <v>1.1000000000000001</v>
      </c>
      <c r="AE8" s="466">
        <v>0.35</v>
      </c>
      <c r="AF8" s="468">
        <v>0.39</v>
      </c>
      <c r="AG8" s="466">
        <v>0.47</v>
      </c>
      <c r="AH8" s="468">
        <v>0.52</v>
      </c>
      <c r="AI8" s="466">
        <v>0.77</v>
      </c>
      <c r="AJ8" s="466">
        <v>-4</v>
      </c>
      <c r="AK8" s="466">
        <v>5.0999999999999996</v>
      </c>
      <c r="AL8" s="524">
        <v>26</v>
      </c>
      <c r="AM8" s="524">
        <v>26</v>
      </c>
    </row>
    <row r="9" spans="1:40" ht="25" customHeight="1" outlineLevel="1">
      <c r="A9" s="476" t="s">
        <v>921</v>
      </c>
      <c r="B9" s="466">
        <v>12</v>
      </c>
      <c r="C9" s="466">
        <v>-5</v>
      </c>
      <c r="D9" s="466">
        <v>-8</v>
      </c>
      <c r="E9" s="466">
        <v>31</v>
      </c>
      <c r="F9" s="466">
        <v>19</v>
      </c>
      <c r="G9" s="468">
        <v>37</v>
      </c>
      <c r="H9" s="468">
        <v>24</v>
      </c>
      <c r="I9" s="466">
        <v>3100</v>
      </c>
      <c r="J9" s="466">
        <v>2220</v>
      </c>
      <c r="K9" s="472">
        <f t="shared" si="0"/>
        <v>2600</v>
      </c>
      <c r="L9" s="472">
        <v>666</v>
      </c>
      <c r="M9" s="472">
        <v>666</v>
      </c>
      <c r="N9" s="472">
        <v>666</v>
      </c>
      <c r="O9" s="472">
        <v>666</v>
      </c>
      <c r="P9" s="466">
        <v>10</v>
      </c>
      <c r="Q9" s="468">
        <v>12</v>
      </c>
      <c r="R9" s="466">
        <v>144</v>
      </c>
      <c r="S9" s="468">
        <v>178</v>
      </c>
      <c r="T9" s="466">
        <v>1900</v>
      </c>
      <c r="U9" s="468">
        <v>2130</v>
      </c>
      <c r="V9" s="468">
        <v>2.2000000000000002</v>
      </c>
      <c r="W9" s="466">
        <v>2000</v>
      </c>
      <c r="X9" s="468">
        <v>2140</v>
      </c>
      <c r="Y9" s="466">
        <v>220</v>
      </c>
      <c r="Z9" s="468">
        <v>240</v>
      </c>
      <c r="AA9" s="466">
        <v>2.6</v>
      </c>
      <c r="AB9" s="466">
        <v>0.4</v>
      </c>
      <c r="AC9" s="466">
        <v>4.2</v>
      </c>
      <c r="AD9" s="466">
        <v>0.6</v>
      </c>
      <c r="AE9" s="466">
        <v>0.24</v>
      </c>
      <c r="AF9" s="468">
        <v>0.26</v>
      </c>
      <c r="AG9" s="466">
        <v>0.32</v>
      </c>
      <c r="AH9" s="468">
        <v>0.35</v>
      </c>
      <c r="AI9" s="466">
        <v>0.5</v>
      </c>
      <c r="AJ9" s="466">
        <v>-2</v>
      </c>
      <c r="AK9" s="466">
        <v>1</v>
      </c>
      <c r="AL9" s="524">
        <v>24</v>
      </c>
      <c r="AM9" s="524">
        <v>24</v>
      </c>
    </row>
    <row r="10" spans="1:40" ht="25" customHeight="1" outlineLevel="1">
      <c r="A10" s="476" t="s">
        <v>922</v>
      </c>
      <c r="B10" s="466">
        <v>305</v>
      </c>
      <c r="C10" s="466">
        <v>-24</v>
      </c>
      <c r="D10" s="466">
        <v>-27</v>
      </c>
      <c r="E10" s="466">
        <v>34</v>
      </c>
      <c r="F10" s="466">
        <v>20</v>
      </c>
      <c r="G10" s="468">
        <v>39</v>
      </c>
      <c r="H10" s="468">
        <v>24</v>
      </c>
      <c r="I10" s="466">
        <v>3700</v>
      </c>
      <c r="J10" s="466">
        <v>2790</v>
      </c>
      <c r="K10" s="472">
        <f t="shared" si="0"/>
        <v>3200</v>
      </c>
      <c r="L10" s="472">
        <v>666</v>
      </c>
      <c r="M10" s="472">
        <v>666</v>
      </c>
      <c r="N10" s="472">
        <v>666</v>
      </c>
      <c r="O10" s="472">
        <v>666</v>
      </c>
      <c r="P10" s="466">
        <v>10</v>
      </c>
      <c r="Q10" s="468">
        <v>13</v>
      </c>
      <c r="R10" s="466">
        <v>37</v>
      </c>
      <c r="S10" s="468">
        <v>47</v>
      </c>
      <c r="T10" s="466">
        <v>250</v>
      </c>
      <c r="U10" s="468">
        <v>380</v>
      </c>
      <c r="V10" s="468">
        <v>0.3</v>
      </c>
      <c r="W10" s="466">
        <v>300</v>
      </c>
      <c r="X10" s="468">
        <v>370</v>
      </c>
      <c r="Y10" s="466">
        <v>80</v>
      </c>
      <c r="Z10" s="468">
        <v>110</v>
      </c>
      <c r="AA10" s="466">
        <v>1.7</v>
      </c>
      <c r="AB10" s="466">
        <v>0.1</v>
      </c>
      <c r="AC10" s="466">
        <v>2.5</v>
      </c>
      <c r="AD10" s="466">
        <v>0.2</v>
      </c>
      <c r="AE10" s="466">
        <v>0.28999999999999998</v>
      </c>
      <c r="AF10" s="468">
        <v>0.32</v>
      </c>
      <c r="AG10" s="466">
        <v>0.38</v>
      </c>
      <c r="AH10" s="468">
        <v>0.42</v>
      </c>
      <c r="AI10" s="466">
        <v>0.61</v>
      </c>
      <c r="AJ10" s="466">
        <v>-5</v>
      </c>
      <c r="AK10" s="466">
        <v>1.1000000000000001</v>
      </c>
      <c r="AL10" s="524">
        <v>24</v>
      </c>
      <c r="AM10" s="524">
        <v>24</v>
      </c>
    </row>
    <row r="11" spans="1:40" ht="25" customHeight="1" outlineLevel="1">
      <c r="A11" s="476" t="s">
        <v>923</v>
      </c>
      <c r="B11" s="466">
        <v>20</v>
      </c>
      <c r="C11" s="466">
        <v>-2</v>
      </c>
      <c r="D11" s="466">
        <v>-4</v>
      </c>
      <c r="E11" s="466">
        <v>23</v>
      </c>
      <c r="F11" s="466">
        <v>17</v>
      </c>
      <c r="G11" s="468">
        <v>28</v>
      </c>
      <c r="H11" s="468">
        <v>21</v>
      </c>
      <c r="I11" s="466">
        <v>3080</v>
      </c>
      <c r="J11" s="466">
        <v>2060</v>
      </c>
      <c r="K11" s="472">
        <f t="shared" si="0"/>
        <v>2580</v>
      </c>
      <c r="L11" s="472">
        <v>666</v>
      </c>
      <c r="M11" s="472">
        <v>666</v>
      </c>
      <c r="N11" s="472">
        <v>666</v>
      </c>
      <c r="O11" s="472">
        <v>666</v>
      </c>
      <c r="P11" s="466">
        <v>13</v>
      </c>
      <c r="Q11" s="468">
        <v>16</v>
      </c>
      <c r="R11" s="466">
        <v>170</v>
      </c>
      <c r="S11" s="468">
        <v>208</v>
      </c>
      <c r="T11" s="466">
        <v>2870</v>
      </c>
      <c r="U11" s="468">
        <v>3060</v>
      </c>
      <c r="V11" s="468">
        <v>3.2</v>
      </c>
      <c r="W11" s="466">
        <v>2890</v>
      </c>
      <c r="X11" s="468">
        <v>3010</v>
      </c>
      <c r="Y11" s="466">
        <v>280</v>
      </c>
      <c r="Z11" s="468">
        <v>300</v>
      </c>
      <c r="AA11" s="466">
        <v>1</v>
      </c>
      <c r="AB11" s="466">
        <v>0.4</v>
      </c>
      <c r="AC11" s="466">
        <v>1.6</v>
      </c>
      <c r="AD11" s="466">
        <v>0.7</v>
      </c>
      <c r="AE11" s="466">
        <v>0.38</v>
      </c>
      <c r="AF11" s="468">
        <v>0.42</v>
      </c>
      <c r="AG11" s="466">
        <v>0.5</v>
      </c>
      <c r="AH11" s="468">
        <v>0.55000000000000004</v>
      </c>
      <c r="AI11" s="466">
        <v>0.77</v>
      </c>
      <c r="AJ11" s="466">
        <v>-2</v>
      </c>
      <c r="AK11" s="466">
        <v>2</v>
      </c>
      <c r="AL11" s="524">
        <v>21</v>
      </c>
      <c r="AM11" s="524">
        <v>21</v>
      </c>
    </row>
    <row r="12" spans="1:40" ht="25" customHeight="1" outlineLevel="1">
      <c r="A12" s="476" t="s">
        <v>925</v>
      </c>
      <c r="B12" s="466">
        <v>840</v>
      </c>
      <c r="C12" s="466">
        <v>-37</v>
      </c>
      <c r="D12" s="466">
        <v>-39</v>
      </c>
      <c r="E12" s="466">
        <v>26</v>
      </c>
      <c r="F12" s="466">
        <v>18</v>
      </c>
      <c r="G12" s="468">
        <v>31</v>
      </c>
      <c r="H12" s="468">
        <v>22</v>
      </c>
      <c r="I12" s="466">
        <v>6300</v>
      </c>
      <c r="J12" s="466">
        <v>5230</v>
      </c>
      <c r="K12" s="472">
        <f t="shared" si="0"/>
        <v>5800</v>
      </c>
      <c r="L12" s="472">
        <v>666</v>
      </c>
      <c r="M12" s="472">
        <v>666</v>
      </c>
      <c r="N12" s="472">
        <v>666</v>
      </c>
      <c r="O12" s="472">
        <v>666</v>
      </c>
      <c r="P12" s="466">
        <v>15</v>
      </c>
      <c r="Q12" s="468">
        <v>19</v>
      </c>
      <c r="R12" s="466">
        <v>64</v>
      </c>
      <c r="S12" s="468">
        <v>81</v>
      </c>
      <c r="T12" s="466">
        <v>330</v>
      </c>
      <c r="U12" s="468">
        <v>430</v>
      </c>
      <c r="V12" s="468">
        <v>0.5</v>
      </c>
      <c r="W12" s="466">
        <v>450</v>
      </c>
      <c r="X12" s="468">
        <v>540</v>
      </c>
      <c r="Y12" s="466">
        <v>80</v>
      </c>
      <c r="Z12" s="468">
        <v>90</v>
      </c>
      <c r="AA12" s="466">
        <v>3.3</v>
      </c>
      <c r="AB12" s="466">
        <v>0.1</v>
      </c>
      <c r="AC12" s="466">
        <v>4.5999999999999996</v>
      </c>
      <c r="AD12" s="466">
        <v>0.1</v>
      </c>
      <c r="AE12" s="466">
        <v>0.23</v>
      </c>
      <c r="AF12" s="468">
        <v>0.25</v>
      </c>
      <c r="AG12" s="466">
        <v>0.3</v>
      </c>
      <c r="AH12" s="468">
        <v>0.33</v>
      </c>
      <c r="AI12" s="466">
        <v>0.47</v>
      </c>
      <c r="AJ12" s="466">
        <v>-12</v>
      </c>
      <c r="AK12" s="466">
        <v>2.5</v>
      </c>
      <c r="AL12" s="524">
        <v>22</v>
      </c>
      <c r="AM12" s="524">
        <v>22</v>
      </c>
    </row>
    <row r="13" spans="1:40" ht="25" customHeight="1" outlineLevel="1">
      <c r="A13" s="476" t="s">
        <v>926</v>
      </c>
      <c r="B13" s="466">
        <v>25</v>
      </c>
      <c r="C13" s="466">
        <v>-5</v>
      </c>
      <c r="D13" s="466">
        <v>-7</v>
      </c>
      <c r="E13" s="466">
        <v>23</v>
      </c>
      <c r="F13" s="466">
        <v>18</v>
      </c>
      <c r="G13" s="468">
        <v>28</v>
      </c>
      <c r="H13" s="468">
        <v>22</v>
      </c>
      <c r="I13" s="466">
        <v>3180</v>
      </c>
      <c r="J13" s="466">
        <v>2150</v>
      </c>
      <c r="K13" s="472">
        <f t="shared" si="0"/>
        <v>2680</v>
      </c>
      <c r="L13" s="472">
        <v>666</v>
      </c>
      <c r="M13" s="472">
        <v>666</v>
      </c>
      <c r="N13" s="472">
        <v>666</v>
      </c>
      <c r="O13" s="472">
        <v>666</v>
      </c>
      <c r="P13" s="466">
        <v>13</v>
      </c>
      <c r="Q13" s="468">
        <v>16</v>
      </c>
      <c r="R13" s="466">
        <v>145</v>
      </c>
      <c r="S13" s="468">
        <v>180</v>
      </c>
      <c r="T13" s="466">
        <v>2715</v>
      </c>
      <c r="U13" s="468">
        <v>2990</v>
      </c>
      <c r="V13" s="468">
        <v>3.4</v>
      </c>
      <c r="W13" s="466">
        <v>2800</v>
      </c>
      <c r="X13" s="468">
        <v>2910</v>
      </c>
      <c r="Y13" s="466">
        <v>350</v>
      </c>
      <c r="Z13" s="468">
        <v>380</v>
      </c>
      <c r="AA13" s="466">
        <v>2.6</v>
      </c>
      <c r="AB13" s="466">
        <v>0.8</v>
      </c>
      <c r="AC13" s="466">
        <v>4.2</v>
      </c>
      <c r="AD13" s="466">
        <v>1.3</v>
      </c>
      <c r="AE13" s="466">
        <v>0.4</v>
      </c>
      <c r="AF13" s="468">
        <v>0.44</v>
      </c>
      <c r="AG13" s="466">
        <v>0.5</v>
      </c>
      <c r="AH13" s="468">
        <v>0.55000000000000004</v>
      </c>
      <c r="AI13" s="466">
        <v>0.73</v>
      </c>
      <c r="AJ13" s="466">
        <v>-2</v>
      </c>
      <c r="AK13" s="466">
        <v>2.5</v>
      </c>
      <c r="AL13" s="524">
        <v>22</v>
      </c>
      <c r="AM13" s="524">
        <v>22</v>
      </c>
    </row>
    <row r="14" spans="1:40" ht="25" customHeight="1" outlineLevel="1">
      <c r="A14" s="476" t="s">
        <v>927</v>
      </c>
      <c r="B14" s="466">
        <v>40</v>
      </c>
      <c r="C14" s="466">
        <v>-14</v>
      </c>
      <c r="D14" s="466">
        <v>-18</v>
      </c>
      <c r="E14" s="466">
        <v>27</v>
      </c>
      <c r="F14" s="466">
        <v>19</v>
      </c>
      <c r="G14" s="468">
        <v>33</v>
      </c>
      <c r="H14" s="468">
        <v>24</v>
      </c>
      <c r="I14" s="466">
        <v>3560</v>
      </c>
      <c r="J14" s="466">
        <v>2660</v>
      </c>
      <c r="K14" s="472">
        <f t="shared" si="0"/>
        <v>3060</v>
      </c>
      <c r="L14" s="472">
        <v>666</v>
      </c>
      <c r="M14" s="472">
        <v>666</v>
      </c>
      <c r="N14" s="472">
        <v>666</v>
      </c>
      <c r="O14" s="472">
        <v>666</v>
      </c>
      <c r="P14" s="466">
        <v>10</v>
      </c>
      <c r="Q14" s="468">
        <v>13</v>
      </c>
      <c r="R14" s="466">
        <v>140</v>
      </c>
      <c r="S14" s="468">
        <v>183</v>
      </c>
      <c r="T14" s="466">
        <v>1500</v>
      </c>
      <c r="U14" s="468">
        <v>2240</v>
      </c>
      <c r="V14" s="468">
        <v>2.2999999999999998</v>
      </c>
      <c r="W14" s="466">
        <v>1700</v>
      </c>
      <c r="X14" s="468">
        <v>1810</v>
      </c>
      <c r="Y14" s="466">
        <v>350</v>
      </c>
      <c r="Z14" s="468">
        <v>420</v>
      </c>
      <c r="AA14" s="466">
        <v>4.5</v>
      </c>
      <c r="AB14" s="466">
        <v>0.8</v>
      </c>
      <c r="AC14" s="466">
        <v>7</v>
      </c>
      <c r="AD14" s="466">
        <v>1.2</v>
      </c>
      <c r="AE14" s="466">
        <v>0.28999999999999998</v>
      </c>
      <c r="AF14" s="468">
        <v>0.32</v>
      </c>
      <c r="AG14" s="466">
        <v>0.39</v>
      </c>
      <c r="AH14" s="468">
        <v>0.43</v>
      </c>
      <c r="AI14" s="466">
        <v>0.61</v>
      </c>
      <c r="AJ14" s="466">
        <v>-3</v>
      </c>
      <c r="AK14" s="466">
        <v>2.1</v>
      </c>
      <c r="AL14" s="524">
        <v>24</v>
      </c>
      <c r="AM14" s="524">
        <v>24</v>
      </c>
    </row>
    <row r="15" spans="1:40" ht="25" customHeight="1" outlineLevel="1">
      <c r="A15" s="476" t="s">
        <v>928</v>
      </c>
      <c r="B15" s="466">
        <v>755</v>
      </c>
      <c r="C15" s="466">
        <v>-31</v>
      </c>
      <c r="D15" s="466">
        <v>-34</v>
      </c>
      <c r="E15" s="466">
        <v>26</v>
      </c>
      <c r="F15" s="466">
        <v>17</v>
      </c>
      <c r="G15" s="468">
        <v>32</v>
      </c>
      <c r="H15" s="468">
        <v>22</v>
      </c>
      <c r="I15" s="466">
        <v>5450</v>
      </c>
      <c r="J15" s="466">
        <v>4430</v>
      </c>
      <c r="K15" s="472">
        <f t="shared" si="0"/>
        <v>4950</v>
      </c>
      <c r="L15" s="472">
        <v>666</v>
      </c>
      <c r="M15" s="472">
        <v>666</v>
      </c>
      <c r="N15" s="472">
        <v>666</v>
      </c>
      <c r="O15" s="472">
        <v>666</v>
      </c>
      <c r="P15" s="466">
        <v>12</v>
      </c>
      <c r="Q15" s="468">
        <v>15</v>
      </c>
      <c r="R15" s="466">
        <v>54</v>
      </c>
      <c r="S15" s="468">
        <v>69</v>
      </c>
      <c r="T15" s="466">
        <v>300</v>
      </c>
      <c r="U15" s="468">
        <v>460</v>
      </c>
      <c r="V15" s="468">
        <v>0.6</v>
      </c>
      <c r="W15" s="466">
        <v>450</v>
      </c>
      <c r="X15" s="468">
        <v>550</v>
      </c>
      <c r="Y15" s="466">
        <v>100</v>
      </c>
      <c r="Z15" s="468">
        <v>120</v>
      </c>
      <c r="AA15" s="466">
        <v>3.4</v>
      </c>
      <c r="AB15" s="466">
        <v>0.2</v>
      </c>
      <c r="AC15" s="466">
        <v>4.8</v>
      </c>
      <c r="AD15" s="466">
        <v>0.3</v>
      </c>
      <c r="AE15" s="466">
        <v>0.28999999999999998</v>
      </c>
      <c r="AF15" s="468">
        <v>0.32</v>
      </c>
      <c r="AG15" s="466">
        <v>0.39</v>
      </c>
      <c r="AH15" s="468">
        <v>0.43</v>
      </c>
      <c r="AI15" s="466">
        <v>0.64</v>
      </c>
      <c r="AJ15" s="466">
        <v>-8</v>
      </c>
      <c r="AK15" s="466">
        <v>1</v>
      </c>
      <c r="AL15" s="524">
        <v>22</v>
      </c>
      <c r="AM15" s="524">
        <v>22</v>
      </c>
    </row>
    <row r="16" spans="1:40" ht="25" customHeight="1" outlineLevel="1">
      <c r="A16" s="476" t="s">
        <v>929</v>
      </c>
      <c r="B16" s="466">
        <v>455</v>
      </c>
      <c r="C16" s="466">
        <v>-24</v>
      </c>
      <c r="D16" s="466">
        <v>-27</v>
      </c>
      <c r="E16" s="466">
        <v>34</v>
      </c>
      <c r="F16" s="466">
        <v>20</v>
      </c>
      <c r="G16" s="468">
        <v>39</v>
      </c>
      <c r="H16" s="468">
        <v>24</v>
      </c>
      <c r="I16" s="466">
        <v>3700</v>
      </c>
      <c r="J16" s="466">
        <v>2790</v>
      </c>
      <c r="K16" s="472">
        <f t="shared" si="0"/>
        <v>3200</v>
      </c>
      <c r="L16" s="472">
        <v>666</v>
      </c>
      <c r="M16" s="472">
        <v>666</v>
      </c>
      <c r="N16" s="472">
        <v>666</v>
      </c>
      <c r="O16" s="472">
        <v>666</v>
      </c>
      <c r="P16" s="466">
        <v>10</v>
      </c>
      <c r="Q16" s="468">
        <v>13</v>
      </c>
      <c r="R16" s="466">
        <v>37</v>
      </c>
      <c r="S16" s="468">
        <v>47</v>
      </c>
      <c r="T16" s="466">
        <v>250</v>
      </c>
      <c r="U16" s="468">
        <v>370</v>
      </c>
      <c r="V16" s="468">
        <v>0.3</v>
      </c>
      <c r="W16" s="466">
        <v>300</v>
      </c>
      <c r="X16" s="468">
        <v>380</v>
      </c>
      <c r="Y16" s="466">
        <v>80</v>
      </c>
      <c r="Z16" s="468">
        <v>110</v>
      </c>
      <c r="AA16" s="466">
        <v>1.7</v>
      </c>
      <c r="AB16" s="466">
        <v>0.2</v>
      </c>
      <c r="AC16" s="466">
        <v>2.5</v>
      </c>
      <c r="AD16" s="466">
        <v>0.3</v>
      </c>
      <c r="AE16" s="466">
        <v>0.28999999999999998</v>
      </c>
      <c r="AF16" s="468">
        <v>0.32</v>
      </c>
      <c r="AG16" s="466">
        <v>0.39</v>
      </c>
      <c r="AH16" s="468">
        <v>0.43</v>
      </c>
      <c r="AI16" s="466">
        <v>0.64</v>
      </c>
      <c r="AJ16" s="466">
        <v>-5</v>
      </c>
      <c r="AK16" s="466">
        <v>1.1000000000000001</v>
      </c>
      <c r="AL16" s="524">
        <v>24</v>
      </c>
      <c r="AM16" s="524">
        <v>24</v>
      </c>
    </row>
    <row r="17" spans="1:39" ht="25" customHeight="1" outlineLevel="1">
      <c r="A17" s="476" t="s">
        <v>930</v>
      </c>
      <c r="B17" s="466">
        <v>20</v>
      </c>
      <c r="C17" s="466">
        <v>-5</v>
      </c>
      <c r="D17" s="466">
        <v>-7</v>
      </c>
      <c r="E17" s="466">
        <v>26</v>
      </c>
      <c r="F17" s="466">
        <v>18</v>
      </c>
      <c r="G17" s="468">
        <v>32</v>
      </c>
      <c r="H17" s="468">
        <v>23</v>
      </c>
      <c r="I17" s="466">
        <v>3000</v>
      </c>
      <c r="J17" s="466">
        <v>2130</v>
      </c>
      <c r="K17" s="472">
        <f t="shared" si="0"/>
        <v>2500</v>
      </c>
      <c r="L17" s="472">
        <v>666</v>
      </c>
      <c r="M17" s="472">
        <v>666</v>
      </c>
      <c r="N17" s="472">
        <v>666</v>
      </c>
      <c r="O17" s="472">
        <v>666</v>
      </c>
      <c r="P17" s="466">
        <v>10</v>
      </c>
      <c r="Q17" s="468">
        <v>13</v>
      </c>
      <c r="R17" s="466">
        <v>116</v>
      </c>
      <c r="S17" s="468">
        <v>145</v>
      </c>
      <c r="T17" s="466">
        <v>1500</v>
      </c>
      <c r="U17" s="468">
        <v>1800</v>
      </c>
      <c r="V17" s="468">
        <v>1.7</v>
      </c>
      <c r="W17" s="466">
        <v>1600</v>
      </c>
      <c r="X17" s="468">
        <v>1740</v>
      </c>
      <c r="Y17" s="466">
        <v>260</v>
      </c>
      <c r="Z17" s="468">
        <v>280</v>
      </c>
      <c r="AA17" s="466">
        <v>2.8</v>
      </c>
      <c r="AB17" s="466">
        <v>0.4</v>
      </c>
      <c r="AC17" s="466">
        <v>4.5</v>
      </c>
      <c r="AD17" s="466">
        <v>0.7</v>
      </c>
      <c r="AE17" s="466">
        <v>0.41</v>
      </c>
      <c r="AF17" s="468">
        <v>0.45</v>
      </c>
      <c r="AG17" s="466">
        <v>0.48</v>
      </c>
      <c r="AH17" s="468">
        <v>0.53</v>
      </c>
      <c r="AI17" s="466">
        <v>0.65</v>
      </c>
      <c r="AJ17" s="466">
        <v>-3</v>
      </c>
      <c r="AK17" s="466">
        <v>2</v>
      </c>
      <c r="AL17" s="524">
        <v>23</v>
      </c>
      <c r="AM17" s="524">
        <v>23</v>
      </c>
    </row>
    <row r="18" spans="1:39" ht="25" customHeight="1" outlineLevel="1">
      <c r="A18" s="476" t="s">
        <v>932</v>
      </c>
      <c r="B18" s="466">
        <v>845</v>
      </c>
      <c r="C18" s="466">
        <v>-24</v>
      </c>
      <c r="D18" s="466">
        <v>-26</v>
      </c>
      <c r="E18" s="466">
        <v>31</v>
      </c>
      <c r="F18" s="466">
        <v>19</v>
      </c>
      <c r="G18" s="468">
        <v>36</v>
      </c>
      <c r="H18" s="468">
        <v>23</v>
      </c>
      <c r="I18" s="466">
        <v>4750</v>
      </c>
      <c r="J18" s="466">
        <v>3770</v>
      </c>
      <c r="K18" s="472">
        <f t="shared" si="0"/>
        <v>4250</v>
      </c>
      <c r="L18" s="472">
        <v>666</v>
      </c>
      <c r="M18" s="472">
        <v>666</v>
      </c>
      <c r="N18" s="472">
        <v>666</v>
      </c>
      <c r="O18" s="472">
        <v>666</v>
      </c>
      <c r="P18" s="466">
        <v>10</v>
      </c>
      <c r="Q18" s="468">
        <v>13</v>
      </c>
      <c r="R18" s="466">
        <v>64</v>
      </c>
      <c r="S18" s="468">
        <v>81</v>
      </c>
      <c r="T18" s="466">
        <v>325</v>
      </c>
      <c r="U18" s="468">
        <v>490</v>
      </c>
      <c r="V18" s="468">
        <v>0.5</v>
      </c>
      <c r="W18" s="466">
        <v>550</v>
      </c>
      <c r="X18" s="468">
        <v>660</v>
      </c>
      <c r="Y18" s="466">
        <v>60</v>
      </c>
      <c r="Z18" s="468">
        <v>80</v>
      </c>
      <c r="AA18" s="466">
        <v>3.6</v>
      </c>
      <c r="AB18" s="466">
        <v>0.2</v>
      </c>
      <c r="AC18" s="466">
        <v>5.2</v>
      </c>
      <c r="AD18" s="466">
        <v>0.3</v>
      </c>
      <c r="AE18" s="466">
        <v>0.28999999999999998</v>
      </c>
      <c r="AF18" s="468">
        <v>0.3</v>
      </c>
      <c r="AG18" s="466">
        <v>0.38</v>
      </c>
      <c r="AH18" s="468">
        <v>0.4</v>
      </c>
      <c r="AI18" s="466">
        <v>0.57999999999999996</v>
      </c>
      <c r="AJ18" s="466">
        <v>-4</v>
      </c>
      <c r="AK18" s="466">
        <v>2.5</v>
      </c>
      <c r="AL18" s="524">
        <v>23</v>
      </c>
      <c r="AM18" s="524">
        <v>23</v>
      </c>
    </row>
    <row r="19" spans="1:39" ht="25" customHeight="1" outlineLevel="1">
      <c r="A19" s="476" t="s">
        <v>933</v>
      </c>
      <c r="B19" s="466">
        <v>430</v>
      </c>
      <c r="C19" s="466">
        <v>-18</v>
      </c>
      <c r="D19" s="466">
        <v>-20</v>
      </c>
      <c r="E19" s="466">
        <v>32</v>
      </c>
      <c r="F19" s="466">
        <v>20</v>
      </c>
      <c r="G19" s="468">
        <v>37</v>
      </c>
      <c r="H19" s="468">
        <v>24</v>
      </c>
      <c r="I19" s="466">
        <v>3580</v>
      </c>
      <c r="J19" s="466">
        <v>2680</v>
      </c>
      <c r="K19" s="472">
        <f t="shared" si="0"/>
        <v>3080</v>
      </c>
      <c r="L19" s="472">
        <v>666</v>
      </c>
      <c r="M19" s="472">
        <v>666</v>
      </c>
      <c r="N19" s="472">
        <v>666</v>
      </c>
      <c r="O19" s="472">
        <v>666</v>
      </c>
      <c r="P19" s="466">
        <v>10</v>
      </c>
      <c r="Q19" s="468">
        <v>13</v>
      </c>
      <c r="R19" s="466">
        <v>54</v>
      </c>
      <c r="S19" s="468">
        <v>69</v>
      </c>
      <c r="T19" s="466">
        <v>560</v>
      </c>
      <c r="U19" s="468">
        <v>820</v>
      </c>
      <c r="V19" s="468">
        <v>0.8</v>
      </c>
      <c r="W19" s="466">
        <v>700</v>
      </c>
      <c r="X19" s="468">
        <v>780</v>
      </c>
      <c r="Y19" s="466">
        <v>60</v>
      </c>
      <c r="Z19" s="468">
        <v>70</v>
      </c>
      <c r="AA19" s="466">
        <v>4.2</v>
      </c>
      <c r="AB19" s="466">
        <v>0.1</v>
      </c>
      <c r="AC19" s="466">
        <v>6</v>
      </c>
      <c r="AD19" s="466">
        <v>0.1</v>
      </c>
      <c r="AE19" s="466">
        <v>0.26</v>
      </c>
      <c r="AF19" s="468">
        <v>0.27</v>
      </c>
      <c r="AG19" s="466">
        <v>0.34</v>
      </c>
      <c r="AH19" s="468">
        <v>0.36</v>
      </c>
      <c r="AI19" s="466">
        <v>0.52</v>
      </c>
      <c r="AJ19" s="466">
        <v>-4</v>
      </c>
      <c r="AK19" s="466">
        <v>2</v>
      </c>
      <c r="AL19" s="524">
        <v>24</v>
      </c>
      <c r="AM19" s="524">
        <v>24</v>
      </c>
    </row>
    <row r="20" spans="1:39" ht="25" customHeight="1" outlineLevel="1">
      <c r="A20" s="476" t="s">
        <v>934</v>
      </c>
      <c r="B20" s="466">
        <v>605</v>
      </c>
      <c r="C20" s="466">
        <v>-35</v>
      </c>
      <c r="D20" s="466">
        <v>-38</v>
      </c>
      <c r="E20" s="466">
        <v>27</v>
      </c>
      <c r="F20" s="466">
        <v>18</v>
      </c>
      <c r="G20" s="468">
        <v>33</v>
      </c>
      <c r="H20" s="468">
        <v>22</v>
      </c>
      <c r="I20" s="466">
        <v>5500</v>
      </c>
      <c r="J20" s="466">
        <v>4480</v>
      </c>
      <c r="K20" s="472">
        <f t="shared" si="0"/>
        <v>5000</v>
      </c>
      <c r="L20" s="472">
        <v>666</v>
      </c>
      <c r="M20" s="472">
        <v>666</v>
      </c>
      <c r="N20" s="472">
        <v>666</v>
      </c>
      <c r="O20" s="472">
        <v>666</v>
      </c>
      <c r="P20" s="466">
        <v>15</v>
      </c>
      <c r="Q20" s="468">
        <v>19</v>
      </c>
      <c r="R20" s="466">
        <v>70</v>
      </c>
      <c r="S20" s="468">
        <v>88</v>
      </c>
      <c r="T20" s="466">
        <v>400</v>
      </c>
      <c r="U20" s="468">
        <v>520</v>
      </c>
      <c r="V20" s="468">
        <v>0.6</v>
      </c>
      <c r="W20" s="466">
        <v>625</v>
      </c>
      <c r="X20" s="468">
        <v>740</v>
      </c>
      <c r="Y20" s="466">
        <v>60</v>
      </c>
      <c r="Z20" s="468">
        <v>70</v>
      </c>
      <c r="AA20" s="466">
        <v>2.4</v>
      </c>
      <c r="AB20" s="466">
        <v>0.2</v>
      </c>
      <c r="AC20" s="466">
        <v>3.5</v>
      </c>
      <c r="AD20" s="466">
        <v>0.3</v>
      </c>
      <c r="AE20" s="466">
        <v>0.3</v>
      </c>
      <c r="AF20" s="468">
        <v>0.33</v>
      </c>
      <c r="AG20" s="466">
        <v>0.4</v>
      </c>
      <c r="AH20" s="468">
        <v>0.44</v>
      </c>
      <c r="AI20" s="466">
        <v>0.65</v>
      </c>
      <c r="AJ20" s="466">
        <v>-9</v>
      </c>
      <c r="AK20" s="466">
        <v>2.2000000000000002</v>
      </c>
      <c r="AL20" s="524">
        <v>22</v>
      </c>
      <c r="AM20" s="524">
        <v>22</v>
      </c>
    </row>
    <row r="21" spans="1:39" ht="25" customHeight="1" outlineLevel="1">
      <c r="A21" s="476" t="s">
        <v>935</v>
      </c>
      <c r="B21" s="466">
        <v>10</v>
      </c>
      <c r="C21" s="466">
        <v>-9</v>
      </c>
      <c r="D21" s="466">
        <v>-11</v>
      </c>
      <c r="E21" s="466">
        <v>30</v>
      </c>
      <c r="F21" s="466">
        <v>20</v>
      </c>
      <c r="G21" s="468">
        <v>36</v>
      </c>
      <c r="H21" s="468">
        <v>25</v>
      </c>
      <c r="I21" s="466">
        <v>2780</v>
      </c>
      <c r="J21" s="466">
        <v>1920</v>
      </c>
      <c r="K21" s="472">
        <f t="shared" si="0"/>
        <v>2280</v>
      </c>
      <c r="L21" s="472">
        <v>666</v>
      </c>
      <c r="M21" s="472">
        <v>666</v>
      </c>
      <c r="N21" s="472">
        <v>666</v>
      </c>
      <c r="O21" s="472">
        <v>666</v>
      </c>
      <c r="P21" s="466">
        <v>8</v>
      </c>
      <c r="Q21" s="468">
        <v>10</v>
      </c>
      <c r="R21" s="466">
        <v>139</v>
      </c>
      <c r="S21" s="468">
        <v>175</v>
      </c>
      <c r="T21" s="466">
        <v>1625</v>
      </c>
      <c r="U21" s="468">
        <v>1970</v>
      </c>
      <c r="V21" s="468">
        <v>1.8</v>
      </c>
      <c r="W21" s="466">
        <v>1700</v>
      </c>
      <c r="X21" s="468">
        <v>1750</v>
      </c>
      <c r="Y21" s="466">
        <v>160</v>
      </c>
      <c r="Z21" s="468">
        <v>180</v>
      </c>
      <c r="AA21" s="466">
        <v>2.2000000000000002</v>
      </c>
      <c r="AB21" s="466">
        <v>0.3</v>
      </c>
      <c r="AC21" s="466">
        <v>3.5</v>
      </c>
      <c r="AD21" s="466">
        <v>0.5</v>
      </c>
      <c r="AE21" s="466">
        <v>0.35</v>
      </c>
      <c r="AF21" s="468">
        <v>0.39</v>
      </c>
      <c r="AG21" s="466">
        <v>0.47</v>
      </c>
      <c r="AH21" s="468">
        <v>0.52</v>
      </c>
      <c r="AI21" s="466">
        <v>0.74</v>
      </c>
      <c r="AJ21" s="466">
        <v>-4</v>
      </c>
      <c r="AK21" s="466">
        <v>4.5</v>
      </c>
      <c r="AL21" s="524">
        <v>25</v>
      </c>
      <c r="AM21" s="524">
        <v>25</v>
      </c>
    </row>
    <row r="22" spans="1:39" ht="25" customHeight="1" outlineLevel="1">
      <c r="A22" s="476" t="s">
        <v>936</v>
      </c>
      <c r="B22" s="466">
        <v>15</v>
      </c>
      <c r="C22" s="466">
        <v>-7</v>
      </c>
      <c r="D22" s="466">
        <v>-9</v>
      </c>
      <c r="E22" s="466">
        <v>27</v>
      </c>
      <c r="F22" s="466">
        <v>18</v>
      </c>
      <c r="G22" s="468">
        <v>33</v>
      </c>
      <c r="H22" s="468">
        <v>23</v>
      </c>
      <c r="I22" s="466">
        <v>2930</v>
      </c>
      <c r="J22" s="466">
        <v>2220</v>
      </c>
      <c r="K22" s="472">
        <f t="shared" si="0"/>
        <v>2430</v>
      </c>
      <c r="L22" s="484">
        <v>65.3</v>
      </c>
      <c r="M22" s="484">
        <v>119.9</v>
      </c>
      <c r="N22" s="484">
        <v>119.9</v>
      </c>
      <c r="O22" s="484">
        <v>119.9</v>
      </c>
      <c r="P22" s="466">
        <v>10</v>
      </c>
      <c r="Q22" s="468">
        <v>13</v>
      </c>
      <c r="R22" s="466">
        <v>106</v>
      </c>
      <c r="S22" s="468">
        <v>133</v>
      </c>
      <c r="T22" s="466">
        <v>1175</v>
      </c>
      <c r="U22" s="468">
        <v>1360</v>
      </c>
      <c r="V22" s="468">
        <v>1.4</v>
      </c>
      <c r="W22" s="466">
        <v>1200</v>
      </c>
      <c r="X22" s="468">
        <v>1290</v>
      </c>
      <c r="Y22" s="466">
        <v>260</v>
      </c>
      <c r="Z22" s="468">
        <v>290</v>
      </c>
      <c r="AA22" s="466">
        <v>2.4</v>
      </c>
      <c r="AB22" s="466">
        <v>0.4</v>
      </c>
      <c r="AC22" s="466">
        <v>3.8</v>
      </c>
      <c r="AD22" s="466">
        <v>0.6</v>
      </c>
      <c r="AE22" s="466">
        <v>0.41</v>
      </c>
      <c r="AF22" s="468">
        <v>0.45</v>
      </c>
      <c r="AG22" s="466">
        <v>0.48</v>
      </c>
      <c r="AH22" s="468">
        <v>0.53</v>
      </c>
      <c r="AI22" s="466">
        <v>0.65</v>
      </c>
      <c r="AJ22" s="466">
        <v>-2</v>
      </c>
      <c r="AK22" s="466">
        <v>2.1</v>
      </c>
      <c r="AL22" s="524">
        <v>23</v>
      </c>
      <c r="AM22" s="524">
        <v>23</v>
      </c>
    </row>
    <row r="23" spans="1:39" ht="25" customHeight="1" outlineLevel="1">
      <c r="A23" s="476" t="s">
        <v>937</v>
      </c>
      <c r="B23" s="466">
        <v>10</v>
      </c>
      <c r="C23" s="466">
        <v>-7</v>
      </c>
      <c r="D23" s="466">
        <v>-9</v>
      </c>
      <c r="E23" s="466">
        <v>28</v>
      </c>
      <c r="F23" s="466">
        <v>18</v>
      </c>
      <c r="G23" s="468">
        <v>34</v>
      </c>
      <c r="H23" s="468">
        <v>23</v>
      </c>
      <c r="I23" s="466">
        <v>2930</v>
      </c>
      <c r="J23" s="466">
        <v>2220</v>
      </c>
      <c r="K23" s="472">
        <f t="shared" si="0"/>
        <v>2430</v>
      </c>
      <c r="L23" s="472">
        <v>666</v>
      </c>
      <c r="M23" s="472">
        <v>666</v>
      </c>
      <c r="N23" s="472">
        <v>666</v>
      </c>
      <c r="O23" s="472">
        <v>666</v>
      </c>
      <c r="P23" s="466">
        <v>10</v>
      </c>
      <c r="Q23" s="468">
        <v>13</v>
      </c>
      <c r="R23" s="466">
        <v>106</v>
      </c>
      <c r="S23" s="468">
        <v>133</v>
      </c>
      <c r="T23" s="466">
        <v>1400</v>
      </c>
      <c r="U23" s="468">
        <v>1630</v>
      </c>
      <c r="V23" s="468">
        <v>1.6</v>
      </c>
      <c r="W23" s="466">
        <v>1450</v>
      </c>
      <c r="X23" s="468">
        <v>1560</v>
      </c>
      <c r="Y23" s="466">
        <v>260</v>
      </c>
      <c r="Z23" s="468">
        <v>290</v>
      </c>
      <c r="AA23" s="466">
        <v>2.4</v>
      </c>
      <c r="AB23" s="466">
        <v>0.4</v>
      </c>
      <c r="AC23" s="466">
        <v>3.8</v>
      </c>
      <c r="AD23" s="466">
        <v>0.6</v>
      </c>
      <c r="AE23" s="466">
        <v>0.41</v>
      </c>
      <c r="AF23" s="468">
        <v>0.45</v>
      </c>
      <c r="AG23" s="466">
        <v>0.48</v>
      </c>
      <c r="AH23" s="468">
        <v>0.53</v>
      </c>
      <c r="AI23" s="466">
        <v>0.65</v>
      </c>
      <c r="AJ23" s="466">
        <v>-2</v>
      </c>
      <c r="AK23" s="466">
        <v>2.1</v>
      </c>
      <c r="AL23" s="524">
        <v>23</v>
      </c>
      <c r="AM23" s="524">
        <v>23</v>
      </c>
    </row>
    <row r="24" spans="1:39" ht="25" customHeight="1" outlineLevel="1">
      <c r="A24" s="476" t="s">
        <v>939</v>
      </c>
      <c r="B24" s="466">
        <v>910</v>
      </c>
      <c r="C24" s="466">
        <v>-26</v>
      </c>
      <c r="D24" s="466">
        <v>-28</v>
      </c>
      <c r="E24" s="466">
        <v>32</v>
      </c>
      <c r="F24" s="466">
        <v>18</v>
      </c>
      <c r="G24" s="468">
        <v>37</v>
      </c>
      <c r="H24" s="468">
        <v>22</v>
      </c>
      <c r="I24" s="466">
        <v>4400</v>
      </c>
      <c r="J24" s="466">
        <v>3450</v>
      </c>
      <c r="K24" s="472">
        <f t="shared" si="0"/>
        <v>3900</v>
      </c>
      <c r="L24" s="472">
        <v>666</v>
      </c>
      <c r="M24" s="472">
        <v>666</v>
      </c>
      <c r="N24" s="472">
        <v>666</v>
      </c>
      <c r="O24" s="472">
        <v>666</v>
      </c>
      <c r="P24" s="466">
        <v>12</v>
      </c>
      <c r="Q24" s="468">
        <v>15</v>
      </c>
      <c r="R24" s="466">
        <v>59</v>
      </c>
      <c r="S24" s="468">
        <v>75</v>
      </c>
      <c r="T24" s="466">
        <v>275</v>
      </c>
      <c r="U24" s="468">
        <v>380</v>
      </c>
      <c r="V24" s="468">
        <v>0.3</v>
      </c>
      <c r="W24" s="466">
        <v>400</v>
      </c>
      <c r="X24" s="468">
        <v>440</v>
      </c>
      <c r="Y24" s="466">
        <v>100</v>
      </c>
      <c r="Z24" s="468">
        <v>120</v>
      </c>
      <c r="AA24" s="466">
        <v>3</v>
      </c>
      <c r="AB24" s="466">
        <v>0.2</v>
      </c>
      <c r="AC24" s="466">
        <v>4.4000000000000004</v>
      </c>
      <c r="AD24" s="466">
        <v>0.3</v>
      </c>
      <c r="AE24" s="466">
        <v>0.25</v>
      </c>
      <c r="AF24" s="468">
        <v>0.26</v>
      </c>
      <c r="AG24" s="466">
        <v>0.33</v>
      </c>
      <c r="AH24" s="468">
        <v>0.35</v>
      </c>
      <c r="AI24" s="466">
        <v>0.53</v>
      </c>
      <c r="AJ24" s="466">
        <v>-7</v>
      </c>
      <c r="AK24" s="466">
        <v>1.6</v>
      </c>
      <c r="AL24" s="524">
        <v>22</v>
      </c>
      <c r="AM24" s="524">
        <v>22</v>
      </c>
    </row>
    <row r="25" spans="1:39" ht="25" customHeight="1" outlineLevel="1">
      <c r="A25" s="476" t="s">
        <v>940</v>
      </c>
      <c r="B25" s="466">
        <v>585</v>
      </c>
      <c r="C25" s="466">
        <v>-18</v>
      </c>
      <c r="D25" s="466">
        <v>-20</v>
      </c>
      <c r="E25" s="466">
        <v>31</v>
      </c>
      <c r="F25" s="466">
        <v>20</v>
      </c>
      <c r="G25" s="468">
        <v>36</v>
      </c>
      <c r="H25" s="468">
        <v>24</v>
      </c>
      <c r="I25" s="466">
        <v>3650</v>
      </c>
      <c r="J25" s="466">
        <v>2740</v>
      </c>
      <c r="K25" s="472">
        <f t="shared" si="0"/>
        <v>3150</v>
      </c>
      <c r="L25" s="472">
        <v>666</v>
      </c>
      <c r="M25" s="472">
        <v>666</v>
      </c>
      <c r="N25" s="472">
        <v>666</v>
      </c>
      <c r="O25" s="472">
        <v>666</v>
      </c>
      <c r="P25" s="466">
        <v>10</v>
      </c>
      <c r="Q25" s="468">
        <v>13</v>
      </c>
      <c r="R25" s="466">
        <v>54</v>
      </c>
      <c r="S25" s="468">
        <v>69</v>
      </c>
      <c r="T25" s="466">
        <v>675</v>
      </c>
      <c r="U25" s="468">
        <v>990</v>
      </c>
      <c r="V25" s="468">
        <v>1</v>
      </c>
      <c r="W25" s="466">
        <v>850</v>
      </c>
      <c r="X25" s="468">
        <v>940</v>
      </c>
      <c r="Y25" s="466">
        <v>80</v>
      </c>
      <c r="Z25" s="468">
        <v>100</v>
      </c>
      <c r="AA25" s="466">
        <v>4.2</v>
      </c>
      <c r="AB25" s="466">
        <v>0.1</v>
      </c>
      <c r="AC25" s="466">
        <v>6</v>
      </c>
      <c r="AD25" s="466">
        <v>0.1</v>
      </c>
      <c r="AE25" s="466">
        <v>0.25</v>
      </c>
      <c r="AF25" s="468">
        <v>0.26</v>
      </c>
      <c r="AG25" s="466">
        <v>0.33</v>
      </c>
      <c r="AH25" s="468">
        <v>0.35</v>
      </c>
      <c r="AI25" s="466">
        <v>0.51</v>
      </c>
      <c r="AJ25" s="466">
        <v>-4</v>
      </c>
      <c r="AK25" s="466">
        <v>2.2000000000000002</v>
      </c>
      <c r="AL25" s="524">
        <v>24</v>
      </c>
      <c r="AM25" s="524">
        <v>24</v>
      </c>
    </row>
    <row r="26" spans="1:39" ht="25" customHeight="1" outlineLevel="1">
      <c r="A26" s="476" t="s">
        <v>941</v>
      </c>
      <c r="B26" s="466">
        <v>5</v>
      </c>
      <c r="C26" s="466">
        <v>-4</v>
      </c>
      <c r="D26" s="466">
        <v>-6</v>
      </c>
      <c r="E26" s="466">
        <v>28</v>
      </c>
      <c r="F26" s="466">
        <v>19</v>
      </c>
      <c r="G26" s="468">
        <v>34</v>
      </c>
      <c r="H26" s="468">
        <v>24</v>
      </c>
      <c r="I26" s="466">
        <v>2880</v>
      </c>
      <c r="J26" s="466">
        <v>2020</v>
      </c>
      <c r="K26" s="472">
        <f t="shared" si="0"/>
        <v>2380</v>
      </c>
      <c r="L26" s="472">
        <v>666</v>
      </c>
      <c r="M26" s="472">
        <v>666</v>
      </c>
      <c r="N26" s="472">
        <v>666</v>
      </c>
      <c r="O26" s="472">
        <v>666</v>
      </c>
      <c r="P26" s="466">
        <v>8</v>
      </c>
      <c r="Q26" s="468">
        <v>10</v>
      </c>
      <c r="R26" s="466">
        <v>86</v>
      </c>
      <c r="S26" s="468">
        <v>106</v>
      </c>
      <c r="T26" s="466">
        <v>925</v>
      </c>
      <c r="U26" s="468">
        <v>1000</v>
      </c>
      <c r="V26" s="468">
        <v>1.2</v>
      </c>
      <c r="W26" s="466">
        <v>950</v>
      </c>
      <c r="X26" s="468">
        <v>990</v>
      </c>
      <c r="Y26" s="466">
        <v>160</v>
      </c>
      <c r="Z26" s="468">
        <v>180</v>
      </c>
      <c r="AA26" s="466">
        <v>1.8</v>
      </c>
      <c r="AB26" s="466">
        <v>0.2</v>
      </c>
      <c r="AC26" s="466">
        <v>2.9</v>
      </c>
      <c r="AD26" s="466">
        <v>0.3</v>
      </c>
      <c r="AE26" s="466">
        <v>0.32</v>
      </c>
      <c r="AF26" s="468">
        <v>0.35</v>
      </c>
      <c r="AG26" s="466">
        <v>0.4</v>
      </c>
      <c r="AH26" s="468">
        <v>0.44</v>
      </c>
      <c r="AI26" s="466">
        <v>0.57999999999999996</v>
      </c>
      <c r="AJ26" s="466">
        <v>-2</v>
      </c>
      <c r="AK26" s="466">
        <v>1</v>
      </c>
      <c r="AL26" s="524">
        <v>24</v>
      </c>
      <c r="AM26" s="524">
        <v>24</v>
      </c>
    </row>
    <row r="27" spans="1:39" ht="25" customHeight="1" outlineLevel="1">
      <c r="A27" s="476" t="s">
        <v>942</v>
      </c>
      <c r="B27" s="466">
        <v>665</v>
      </c>
      <c r="C27" s="466">
        <v>-38</v>
      </c>
      <c r="D27" s="466">
        <v>-40</v>
      </c>
      <c r="E27" s="466">
        <v>27</v>
      </c>
      <c r="F27" s="466">
        <v>18</v>
      </c>
      <c r="G27" s="468">
        <v>32</v>
      </c>
      <c r="H27" s="468">
        <v>22</v>
      </c>
      <c r="I27" s="466">
        <v>5900</v>
      </c>
      <c r="J27" s="466">
        <v>4860</v>
      </c>
      <c r="K27" s="472">
        <f t="shared" si="0"/>
        <v>5400</v>
      </c>
      <c r="L27" s="472">
        <v>666</v>
      </c>
      <c r="M27" s="472">
        <v>666</v>
      </c>
      <c r="N27" s="472">
        <v>666</v>
      </c>
      <c r="O27" s="472">
        <v>666</v>
      </c>
      <c r="P27" s="466">
        <v>18</v>
      </c>
      <c r="Q27" s="468">
        <v>23</v>
      </c>
      <c r="R27" s="466">
        <v>75</v>
      </c>
      <c r="S27" s="468">
        <v>95</v>
      </c>
      <c r="T27" s="466">
        <v>325</v>
      </c>
      <c r="U27" s="468">
        <v>420</v>
      </c>
      <c r="V27" s="468">
        <v>0.5</v>
      </c>
      <c r="W27" s="466">
        <v>475</v>
      </c>
      <c r="X27" s="468">
        <v>570</v>
      </c>
      <c r="Y27" s="466">
        <v>100</v>
      </c>
      <c r="Z27" s="468">
        <v>110</v>
      </c>
      <c r="AA27" s="466">
        <v>2.5</v>
      </c>
      <c r="AB27" s="466">
        <v>0.2</v>
      </c>
      <c r="AC27" s="466">
        <v>3.6</v>
      </c>
      <c r="AD27" s="466">
        <v>0.3</v>
      </c>
      <c r="AE27" s="466">
        <v>0.3</v>
      </c>
      <c r="AF27" s="468">
        <v>0.33</v>
      </c>
      <c r="AG27" s="466">
        <v>0.4</v>
      </c>
      <c r="AH27" s="468">
        <v>0.44</v>
      </c>
      <c r="AI27" s="466">
        <v>0.65</v>
      </c>
      <c r="AJ27" s="466">
        <v>-11</v>
      </c>
      <c r="AK27" s="466">
        <v>2.2000000000000002</v>
      </c>
      <c r="AL27" s="524">
        <v>22</v>
      </c>
      <c r="AM27" s="524">
        <v>22</v>
      </c>
    </row>
    <row r="28" spans="1:39" ht="25" customHeight="1" outlineLevel="1">
      <c r="A28" s="476" t="s">
        <v>943</v>
      </c>
      <c r="B28" s="466">
        <v>800</v>
      </c>
      <c r="C28" s="466">
        <v>-37</v>
      </c>
      <c r="D28" s="466">
        <v>-40</v>
      </c>
      <c r="E28" s="466">
        <v>24</v>
      </c>
      <c r="F28" s="466">
        <v>15</v>
      </c>
      <c r="G28" s="468">
        <v>29</v>
      </c>
      <c r="H28" s="468">
        <v>19</v>
      </c>
      <c r="I28" s="466">
        <v>6730</v>
      </c>
      <c r="J28" s="466">
        <v>5630</v>
      </c>
      <c r="K28" s="472">
        <f t="shared" si="0"/>
        <v>6230</v>
      </c>
      <c r="L28" s="472">
        <v>666</v>
      </c>
      <c r="M28" s="472">
        <v>666</v>
      </c>
      <c r="N28" s="472">
        <v>666</v>
      </c>
      <c r="O28" s="472">
        <v>666</v>
      </c>
      <c r="P28" s="466">
        <v>10</v>
      </c>
      <c r="Q28" s="468">
        <v>13</v>
      </c>
      <c r="R28" s="466">
        <v>45</v>
      </c>
      <c r="S28" s="468">
        <v>58</v>
      </c>
      <c r="T28" s="466">
        <v>265</v>
      </c>
      <c r="U28" s="468">
        <v>390</v>
      </c>
      <c r="V28" s="468">
        <v>0.6</v>
      </c>
      <c r="W28" s="466">
        <v>425</v>
      </c>
      <c r="X28" s="468">
        <v>490</v>
      </c>
      <c r="Y28" s="466">
        <v>50</v>
      </c>
      <c r="Z28" s="468">
        <v>60</v>
      </c>
      <c r="AA28" s="466">
        <v>2.8</v>
      </c>
      <c r="AB28" s="466">
        <v>0.1</v>
      </c>
      <c r="AC28" s="466">
        <v>3.9</v>
      </c>
      <c r="AD28" s="466">
        <v>0.1</v>
      </c>
      <c r="AE28" s="466">
        <v>0.23</v>
      </c>
      <c r="AF28" s="468">
        <v>0.25</v>
      </c>
      <c r="AG28" s="466">
        <v>0.3</v>
      </c>
      <c r="AH28" s="468">
        <v>0.33</v>
      </c>
      <c r="AI28" s="466">
        <v>0.45</v>
      </c>
      <c r="AJ28" s="466">
        <v>-11</v>
      </c>
      <c r="AK28" s="466">
        <v>1.9</v>
      </c>
      <c r="AL28" s="524">
        <v>19</v>
      </c>
      <c r="AM28" s="524">
        <v>19</v>
      </c>
    </row>
    <row r="29" spans="1:39" ht="25" customHeight="1" outlineLevel="1">
      <c r="A29" s="476" t="s">
        <v>944</v>
      </c>
      <c r="B29" s="466">
        <v>450</v>
      </c>
      <c r="C29" s="466">
        <v>-28</v>
      </c>
      <c r="D29" s="466">
        <v>-30</v>
      </c>
      <c r="E29" s="466">
        <v>29</v>
      </c>
      <c r="F29" s="466">
        <v>17</v>
      </c>
      <c r="G29" s="468">
        <v>34</v>
      </c>
      <c r="H29" s="468">
        <v>21</v>
      </c>
      <c r="I29" s="466">
        <v>4800</v>
      </c>
      <c r="J29" s="466">
        <v>3820</v>
      </c>
      <c r="K29" s="472">
        <f t="shared" si="0"/>
        <v>4300</v>
      </c>
      <c r="L29" s="472">
        <v>666</v>
      </c>
      <c r="M29" s="472">
        <v>666</v>
      </c>
      <c r="N29" s="472">
        <v>666</v>
      </c>
      <c r="O29" s="472">
        <v>666</v>
      </c>
      <c r="P29" s="466">
        <v>10</v>
      </c>
      <c r="Q29" s="468">
        <v>12</v>
      </c>
      <c r="R29" s="466">
        <v>48</v>
      </c>
      <c r="S29" s="468">
        <v>60</v>
      </c>
      <c r="T29" s="466">
        <v>275</v>
      </c>
      <c r="U29" s="468">
        <v>400</v>
      </c>
      <c r="V29" s="468">
        <v>0.4</v>
      </c>
      <c r="W29" s="466">
        <v>375</v>
      </c>
      <c r="X29" s="468">
        <v>480</v>
      </c>
      <c r="Y29" s="466">
        <v>100</v>
      </c>
      <c r="Z29" s="468">
        <v>140</v>
      </c>
      <c r="AA29" s="466">
        <v>1.8</v>
      </c>
      <c r="AB29" s="466">
        <v>0.2</v>
      </c>
      <c r="AC29" s="466">
        <v>2.7</v>
      </c>
      <c r="AD29" s="466">
        <v>0.3</v>
      </c>
      <c r="AE29" s="466">
        <v>0.27</v>
      </c>
      <c r="AF29" s="468">
        <v>0.3</v>
      </c>
      <c r="AG29" s="466">
        <v>0.35</v>
      </c>
      <c r="AH29" s="468">
        <v>0.39</v>
      </c>
      <c r="AI29" s="466">
        <v>0.55000000000000004</v>
      </c>
      <c r="AJ29" s="466">
        <v>-7</v>
      </c>
      <c r="AK29" s="466">
        <v>2.9</v>
      </c>
      <c r="AL29" s="524">
        <v>21</v>
      </c>
      <c r="AM29" s="524">
        <v>21</v>
      </c>
    </row>
    <row r="30" spans="1:39" ht="25" customHeight="1" outlineLevel="1">
      <c r="A30" s="476" t="s">
        <v>945</v>
      </c>
      <c r="B30" s="466">
        <v>10</v>
      </c>
      <c r="C30" s="466">
        <v>-6</v>
      </c>
      <c r="D30" s="466">
        <v>-8</v>
      </c>
      <c r="E30" s="466">
        <v>28</v>
      </c>
      <c r="F30" s="466">
        <v>19</v>
      </c>
      <c r="G30" s="468">
        <v>33</v>
      </c>
      <c r="H30" s="468">
        <v>24</v>
      </c>
      <c r="I30" s="466">
        <v>2980</v>
      </c>
      <c r="J30" s="466">
        <v>2110</v>
      </c>
      <c r="K30" s="472">
        <f t="shared" si="0"/>
        <v>2480</v>
      </c>
      <c r="L30" s="472">
        <v>666</v>
      </c>
      <c r="M30" s="472">
        <v>666</v>
      </c>
      <c r="N30" s="472">
        <v>666</v>
      </c>
      <c r="O30" s="472">
        <v>666</v>
      </c>
      <c r="P30" s="466">
        <v>8</v>
      </c>
      <c r="Q30" s="468">
        <v>10</v>
      </c>
      <c r="R30" s="466">
        <v>103</v>
      </c>
      <c r="S30" s="468">
        <v>126</v>
      </c>
      <c r="T30" s="466">
        <v>1000</v>
      </c>
      <c r="U30" s="468">
        <v>1100</v>
      </c>
      <c r="V30" s="468">
        <v>1.2</v>
      </c>
      <c r="W30" s="466">
        <v>1050</v>
      </c>
      <c r="X30" s="468">
        <v>1120</v>
      </c>
      <c r="Y30" s="466">
        <v>180</v>
      </c>
      <c r="Z30" s="468">
        <v>200</v>
      </c>
      <c r="AA30" s="466">
        <v>1.8</v>
      </c>
      <c r="AB30" s="466">
        <v>0.4</v>
      </c>
      <c r="AC30" s="466">
        <v>2.9</v>
      </c>
      <c r="AD30" s="466">
        <v>0.6</v>
      </c>
      <c r="AE30" s="466">
        <v>0.31</v>
      </c>
      <c r="AF30" s="468">
        <v>0.34</v>
      </c>
      <c r="AG30" s="466">
        <v>0.39</v>
      </c>
      <c r="AH30" s="468">
        <v>0.43</v>
      </c>
      <c r="AI30" s="466">
        <v>0.56999999999999995</v>
      </c>
      <c r="AJ30" s="466">
        <v>-2</v>
      </c>
      <c r="AK30" s="466">
        <v>1</v>
      </c>
      <c r="AL30" s="524">
        <v>24</v>
      </c>
      <c r="AM30" s="524">
        <v>24</v>
      </c>
    </row>
    <row r="31" spans="1:39" ht="25" customHeight="1" outlineLevel="1">
      <c r="A31" s="476" t="s">
        <v>946</v>
      </c>
      <c r="B31" s="466">
        <v>1065</v>
      </c>
      <c r="C31" s="466">
        <v>-28</v>
      </c>
      <c r="D31" s="466">
        <v>-31</v>
      </c>
      <c r="E31" s="466">
        <v>30</v>
      </c>
      <c r="F31" s="466">
        <v>19</v>
      </c>
      <c r="G31" s="468">
        <v>35</v>
      </c>
      <c r="H31" s="468">
        <v>23</v>
      </c>
      <c r="I31" s="466">
        <v>4600</v>
      </c>
      <c r="J31" s="466">
        <v>3630</v>
      </c>
      <c r="K31" s="472">
        <f t="shared" si="0"/>
        <v>4100</v>
      </c>
      <c r="L31" s="472">
        <v>666</v>
      </c>
      <c r="M31" s="472">
        <v>666</v>
      </c>
      <c r="N31" s="472">
        <v>666</v>
      </c>
      <c r="O31" s="472">
        <v>666</v>
      </c>
      <c r="P31" s="466">
        <v>13</v>
      </c>
      <c r="Q31" s="468">
        <v>17</v>
      </c>
      <c r="R31" s="466">
        <v>64</v>
      </c>
      <c r="S31" s="468">
        <v>81</v>
      </c>
      <c r="T31" s="466">
        <v>440</v>
      </c>
      <c r="U31" s="468">
        <v>590</v>
      </c>
      <c r="V31" s="468">
        <v>0.5</v>
      </c>
      <c r="W31" s="466">
        <v>650</v>
      </c>
      <c r="X31" s="468">
        <v>710</v>
      </c>
      <c r="Y31" s="466">
        <v>100</v>
      </c>
      <c r="Z31" s="468">
        <v>120</v>
      </c>
      <c r="AA31" s="466">
        <v>3.6</v>
      </c>
      <c r="AB31" s="466">
        <v>0.2</v>
      </c>
      <c r="AC31" s="466">
        <v>5.3</v>
      </c>
      <c r="AD31" s="466">
        <v>0.3</v>
      </c>
      <c r="AE31" s="466">
        <v>0.3</v>
      </c>
      <c r="AF31" s="468">
        <v>0.32</v>
      </c>
      <c r="AG31" s="466">
        <v>0.4</v>
      </c>
      <c r="AH31" s="468">
        <v>0.42</v>
      </c>
      <c r="AI31" s="466">
        <v>0.62</v>
      </c>
      <c r="AJ31" s="466">
        <v>-8</v>
      </c>
      <c r="AK31" s="466">
        <v>2</v>
      </c>
      <c r="AL31" s="524">
        <v>23</v>
      </c>
      <c r="AM31" s="524">
        <v>23</v>
      </c>
    </row>
    <row r="32" spans="1:39" ht="25" customHeight="1" outlineLevel="1">
      <c r="A32" s="476" t="s">
        <v>947</v>
      </c>
      <c r="B32" s="466">
        <v>1010</v>
      </c>
      <c r="C32" s="466">
        <v>-27</v>
      </c>
      <c r="D32" s="466">
        <v>-30</v>
      </c>
      <c r="E32" s="466">
        <v>30</v>
      </c>
      <c r="F32" s="466">
        <v>19</v>
      </c>
      <c r="G32" s="468">
        <v>35</v>
      </c>
      <c r="H32" s="468">
        <v>23</v>
      </c>
      <c r="I32" s="466">
        <v>4750</v>
      </c>
      <c r="J32" s="466">
        <v>3770</v>
      </c>
      <c r="K32" s="472">
        <f t="shared" si="0"/>
        <v>4250</v>
      </c>
      <c r="L32" s="472">
        <v>666</v>
      </c>
      <c r="M32" s="472">
        <v>666</v>
      </c>
      <c r="N32" s="472">
        <v>666</v>
      </c>
      <c r="O32" s="472">
        <v>666</v>
      </c>
      <c r="P32" s="466">
        <v>13</v>
      </c>
      <c r="Q32" s="468">
        <v>16</v>
      </c>
      <c r="R32" s="466">
        <v>118</v>
      </c>
      <c r="S32" s="468">
        <v>150</v>
      </c>
      <c r="T32" s="466">
        <v>860</v>
      </c>
      <c r="U32" s="468">
        <v>1140</v>
      </c>
      <c r="V32" s="468">
        <v>0.9</v>
      </c>
      <c r="W32" s="466">
        <v>1175</v>
      </c>
      <c r="X32" s="468">
        <v>1290</v>
      </c>
      <c r="Y32" s="466">
        <v>100</v>
      </c>
      <c r="Z32" s="468">
        <v>120</v>
      </c>
      <c r="AA32" s="466">
        <v>4.5</v>
      </c>
      <c r="AB32" s="466">
        <v>0.2</v>
      </c>
      <c r="AC32" s="466">
        <v>6.5</v>
      </c>
      <c r="AD32" s="466">
        <v>0.3</v>
      </c>
      <c r="AE32" s="466">
        <v>0.3</v>
      </c>
      <c r="AF32" s="468">
        <v>0.32</v>
      </c>
      <c r="AG32" s="466">
        <v>0.4</v>
      </c>
      <c r="AH32" s="468">
        <v>0.42</v>
      </c>
      <c r="AI32" s="466">
        <v>0.65</v>
      </c>
      <c r="AJ32" s="466">
        <v>-8</v>
      </c>
      <c r="AK32" s="466">
        <v>2.2000000000000002</v>
      </c>
      <c r="AL32" s="524">
        <v>23</v>
      </c>
      <c r="AM32" s="524">
        <v>23</v>
      </c>
    </row>
    <row r="33" spans="1:39" ht="25" customHeight="1" outlineLevel="1">
      <c r="A33" s="476" t="s">
        <v>948</v>
      </c>
      <c r="B33" s="466">
        <v>465</v>
      </c>
      <c r="C33" s="466">
        <v>-39</v>
      </c>
      <c r="D33" s="466">
        <v>-42</v>
      </c>
      <c r="E33" s="466">
        <v>28</v>
      </c>
      <c r="F33" s="466">
        <v>18</v>
      </c>
      <c r="G33" s="468">
        <v>32</v>
      </c>
      <c r="H33" s="468">
        <v>22</v>
      </c>
      <c r="I33" s="466">
        <v>6710</v>
      </c>
      <c r="J33" s="466">
        <v>5740</v>
      </c>
      <c r="K33" s="472">
        <f t="shared" si="0"/>
        <v>6210</v>
      </c>
      <c r="L33" s="472">
        <v>666</v>
      </c>
      <c r="M33" s="472">
        <v>666</v>
      </c>
      <c r="N33" s="472">
        <v>666</v>
      </c>
      <c r="O33" s="472">
        <v>666</v>
      </c>
      <c r="P33" s="466">
        <v>15</v>
      </c>
      <c r="Q33" s="468">
        <v>19</v>
      </c>
      <c r="R33" s="466">
        <v>70</v>
      </c>
      <c r="S33" s="468">
        <v>90</v>
      </c>
      <c r="T33" s="466">
        <v>325</v>
      </c>
      <c r="U33" s="468">
        <v>430</v>
      </c>
      <c r="V33" s="468">
        <v>0.6</v>
      </c>
      <c r="W33" s="466">
        <v>450</v>
      </c>
      <c r="X33" s="468">
        <v>550</v>
      </c>
      <c r="Y33" s="466">
        <v>80</v>
      </c>
      <c r="Z33" s="468">
        <v>90</v>
      </c>
      <c r="AA33" s="466">
        <v>2.4</v>
      </c>
      <c r="AB33" s="466">
        <v>0.1</v>
      </c>
      <c r="AC33" s="466">
        <v>3.3</v>
      </c>
      <c r="AD33" s="466">
        <v>0.1</v>
      </c>
      <c r="AE33" s="466">
        <v>0.23</v>
      </c>
      <c r="AF33" s="468">
        <v>0.25</v>
      </c>
      <c r="AG33" s="466">
        <v>0.3</v>
      </c>
      <c r="AH33" s="468">
        <v>0.33</v>
      </c>
      <c r="AI33" s="466">
        <v>0.47</v>
      </c>
      <c r="AJ33" s="466">
        <v>-13</v>
      </c>
      <c r="AK33" s="466">
        <v>1.8</v>
      </c>
      <c r="AL33" s="524">
        <v>22</v>
      </c>
      <c r="AM33" s="524">
        <v>22</v>
      </c>
    </row>
    <row r="34" spans="1:39" ht="25" customHeight="1" outlineLevel="1">
      <c r="A34" s="476" t="s">
        <v>949</v>
      </c>
      <c r="B34" s="466">
        <v>685</v>
      </c>
      <c r="C34" s="466">
        <v>-35</v>
      </c>
      <c r="D34" s="466">
        <v>-37</v>
      </c>
      <c r="E34" s="466">
        <v>26</v>
      </c>
      <c r="F34" s="466">
        <v>18</v>
      </c>
      <c r="G34" s="468">
        <v>31</v>
      </c>
      <c r="H34" s="468">
        <v>22</v>
      </c>
      <c r="I34" s="466">
        <v>5750</v>
      </c>
      <c r="J34" s="466">
        <v>4710</v>
      </c>
      <c r="K34" s="472">
        <f t="shared" si="0"/>
        <v>5250</v>
      </c>
      <c r="L34" s="472">
        <v>666</v>
      </c>
      <c r="M34" s="472">
        <v>666</v>
      </c>
      <c r="N34" s="472">
        <v>666</v>
      </c>
      <c r="O34" s="472">
        <v>666</v>
      </c>
      <c r="P34" s="466">
        <v>15</v>
      </c>
      <c r="Q34" s="468">
        <v>19</v>
      </c>
      <c r="R34" s="466">
        <v>72</v>
      </c>
      <c r="S34" s="468">
        <v>91</v>
      </c>
      <c r="T34" s="466">
        <v>320</v>
      </c>
      <c r="U34" s="468">
        <v>420</v>
      </c>
      <c r="V34" s="468">
        <v>0.5</v>
      </c>
      <c r="W34" s="466">
        <v>475</v>
      </c>
      <c r="X34" s="468">
        <v>580</v>
      </c>
      <c r="Y34" s="466">
        <v>100</v>
      </c>
      <c r="Z34" s="468">
        <v>110</v>
      </c>
      <c r="AA34" s="466">
        <v>2.8</v>
      </c>
      <c r="AB34" s="466">
        <v>0.1</v>
      </c>
      <c r="AC34" s="466">
        <v>4.0999999999999996</v>
      </c>
      <c r="AD34" s="466">
        <v>0.1</v>
      </c>
      <c r="AE34" s="466">
        <v>0.28999999999999998</v>
      </c>
      <c r="AF34" s="468">
        <v>0.32</v>
      </c>
      <c r="AG34" s="466">
        <v>0.39</v>
      </c>
      <c r="AH34" s="468">
        <v>0.43</v>
      </c>
      <c r="AI34" s="466">
        <v>0.64</v>
      </c>
      <c r="AJ34" s="466">
        <v>-11</v>
      </c>
      <c r="AK34" s="466">
        <v>3.9</v>
      </c>
      <c r="AL34" s="524">
        <v>22</v>
      </c>
      <c r="AM34" s="524">
        <v>22</v>
      </c>
    </row>
    <row r="35" spans="1:39" ht="25" customHeight="1" outlineLevel="1">
      <c r="A35" s="476" t="s">
        <v>950</v>
      </c>
      <c r="B35" s="466">
        <v>1145</v>
      </c>
      <c r="C35" s="466">
        <v>-27</v>
      </c>
      <c r="D35" s="466">
        <v>-30</v>
      </c>
      <c r="E35" s="466">
        <v>27</v>
      </c>
      <c r="F35" s="466">
        <v>17</v>
      </c>
      <c r="G35" s="468">
        <v>33</v>
      </c>
      <c r="H35" s="468">
        <v>22</v>
      </c>
      <c r="I35" s="466">
        <v>5800</v>
      </c>
      <c r="J35" s="466">
        <v>4760</v>
      </c>
      <c r="K35" s="472">
        <f t="shared" si="0"/>
        <v>5300</v>
      </c>
      <c r="L35" s="472">
        <v>666</v>
      </c>
      <c r="M35" s="472">
        <v>666</v>
      </c>
      <c r="N35" s="472">
        <v>666</v>
      </c>
      <c r="O35" s="472">
        <v>666</v>
      </c>
      <c r="P35" s="466">
        <v>10</v>
      </c>
      <c r="Q35" s="468">
        <v>13</v>
      </c>
      <c r="R35" s="466">
        <v>70</v>
      </c>
      <c r="S35" s="468">
        <v>91</v>
      </c>
      <c r="T35" s="466">
        <v>625</v>
      </c>
      <c r="U35" s="468">
        <v>900</v>
      </c>
      <c r="V35" s="468">
        <v>0.9</v>
      </c>
      <c r="W35" s="466">
        <v>1500</v>
      </c>
      <c r="X35" s="468">
        <v>1620</v>
      </c>
      <c r="Y35" s="466">
        <v>80</v>
      </c>
      <c r="Z35" s="468">
        <v>100</v>
      </c>
      <c r="AA35" s="466">
        <v>9.4</v>
      </c>
      <c r="AB35" s="466">
        <v>0.2</v>
      </c>
      <c r="AC35" s="466">
        <v>12.3</v>
      </c>
      <c r="AD35" s="466">
        <v>0.3</v>
      </c>
      <c r="AE35" s="466">
        <v>0.24</v>
      </c>
      <c r="AF35" s="468">
        <v>0.25</v>
      </c>
      <c r="AG35" s="466">
        <v>0.32</v>
      </c>
      <c r="AH35" s="468">
        <v>0.34</v>
      </c>
      <c r="AI35" s="466">
        <v>0.52</v>
      </c>
      <c r="AJ35" s="466">
        <v>-7</v>
      </c>
      <c r="AK35" s="466">
        <v>1.7</v>
      </c>
      <c r="AL35" s="524">
        <v>22</v>
      </c>
      <c r="AM35" s="524">
        <v>22</v>
      </c>
    </row>
    <row r="36" spans="1:39" ht="25" customHeight="1" outlineLevel="1">
      <c r="A36" s="476" t="s">
        <v>951</v>
      </c>
      <c r="B36" s="466">
        <v>790</v>
      </c>
      <c r="C36" s="466">
        <v>-27</v>
      </c>
      <c r="D36" s="466">
        <v>-30</v>
      </c>
      <c r="E36" s="466">
        <v>30</v>
      </c>
      <c r="F36" s="466">
        <v>17</v>
      </c>
      <c r="G36" s="468">
        <v>36</v>
      </c>
      <c r="H36" s="468">
        <v>22</v>
      </c>
      <c r="I36" s="466">
        <v>4750</v>
      </c>
      <c r="J36" s="466">
        <v>3770</v>
      </c>
      <c r="K36" s="472">
        <f t="shared" si="0"/>
        <v>4250</v>
      </c>
      <c r="L36" s="472">
        <v>666</v>
      </c>
      <c r="M36" s="472">
        <v>666</v>
      </c>
      <c r="N36" s="472">
        <v>666</v>
      </c>
      <c r="O36" s="472">
        <v>666</v>
      </c>
      <c r="P36" s="466">
        <v>10</v>
      </c>
      <c r="Q36" s="468">
        <v>13</v>
      </c>
      <c r="R36" s="466">
        <v>55</v>
      </c>
      <c r="S36" s="468">
        <v>71</v>
      </c>
      <c r="T36" s="466">
        <v>325</v>
      </c>
      <c r="U36" s="468">
        <v>450</v>
      </c>
      <c r="V36" s="468">
        <v>0.6</v>
      </c>
      <c r="W36" s="466">
        <v>500</v>
      </c>
      <c r="X36" s="468">
        <v>540</v>
      </c>
      <c r="Y36" s="466">
        <v>100</v>
      </c>
      <c r="Z36" s="468">
        <v>130</v>
      </c>
      <c r="AA36" s="466">
        <v>3.7</v>
      </c>
      <c r="AB36" s="466">
        <v>0.2</v>
      </c>
      <c r="AC36" s="466">
        <v>5</v>
      </c>
      <c r="AD36" s="466">
        <v>0.3</v>
      </c>
      <c r="AE36" s="466">
        <v>0.26</v>
      </c>
      <c r="AF36" s="468">
        <v>0.27</v>
      </c>
      <c r="AG36" s="466">
        <v>0.35</v>
      </c>
      <c r="AH36" s="468">
        <v>0.37</v>
      </c>
      <c r="AI36" s="466">
        <v>0.57999999999999996</v>
      </c>
      <c r="AJ36" s="466">
        <v>-7</v>
      </c>
      <c r="AK36" s="466">
        <v>1.4</v>
      </c>
      <c r="AL36" s="524">
        <v>22</v>
      </c>
      <c r="AM36" s="524">
        <v>22</v>
      </c>
    </row>
    <row r="37" spans="1:39" ht="25" customHeight="1" outlineLevel="1">
      <c r="A37" s="476" t="s">
        <v>952</v>
      </c>
      <c r="B37" s="466">
        <v>120</v>
      </c>
      <c r="C37" s="466">
        <v>-8</v>
      </c>
      <c r="D37" s="466">
        <v>-11</v>
      </c>
      <c r="E37" s="466">
        <v>31</v>
      </c>
      <c r="F37" s="466">
        <v>18</v>
      </c>
      <c r="G37" s="468">
        <v>37</v>
      </c>
      <c r="H37" s="468">
        <v>23</v>
      </c>
      <c r="I37" s="466">
        <v>3230</v>
      </c>
      <c r="J37" s="466">
        <v>2350</v>
      </c>
      <c r="K37" s="472">
        <f t="shared" si="0"/>
        <v>2730</v>
      </c>
      <c r="L37" s="472">
        <v>666</v>
      </c>
      <c r="M37" s="472">
        <v>666</v>
      </c>
      <c r="N37" s="472">
        <v>666</v>
      </c>
      <c r="O37" s="472">
        <v>666</v>
      </c>
      <c r="P37" s="466">
        <v>13</v>
      </c>
      <c r="Q37" s="468">
        <v>16</v>
      </c>
      <c r="R37" s="466">
        <v>200</v>
      </c>
      <c r="S37" s="468">
        <v>248</v>
      </c>
      <c r="T37" s="466">
        <v>2730</v>
      </c>
      <c r="U37" s="468">
        <v>3100</v>
      </c>
      <c r="V37" s="468">
        <v>3.1</v>
      </c>
      <c r="W37" s="466">
        <v>2850</v>
      </c>
      <c r="X37" s="468">
        <v>3030</v>
      </c>
      <c r="Y37" s="466">
        <v>250</v>
      </c>
      <c r="Z37" s="468">
        <v>270</v>
      </c>
      <c r="AA37" s="466">
        <v>2.8</v>
      </c>
      <c r="AB37" s="466">
        <v>0.6</v>
      </c>
      <c r="AC37" s="466">
        <v>4.7</v>
      </c>
      <c r="AD37" s="466">
        <v>1</v>
      </c>
      <c r="AE37" s="466">
        <v>0.24</v>
      </c>
      <c r="AF37" s="468">
        <v>0.26</v>
      </c>
      <c r="AG37" s="466">
        <v>0.32</v>
      </c>
      <c r="AH37" s="468">
        <v>0.35</v>
      </c>
      <c r="AI37" s="466">
        <v>0.5</v>
      </c>
      <c r="AJ37" s="466">
        <v>-2</v>
      </c>
      <c r="AK37" s="466">
        <v>1.8</v>
      </c>
      <c r="AL37" s="524">
        <v>23</v>
      </c>
      <c r="AM37" s="524">
        <v>23</v>
      </c>
    </row>
    <row r="38" spans="1:39" ht="25" customHeight="1" outlineLevel="1">
      <c r="A38" s="476" t="s">
        <v>953</v>
      </c>
      <c r="B38" s="466">
        <v>565</v>
      </c>
      <c r="C38" s="466">
        <v>-19</v>
      </c>
      <c r="D38" s="466">
        <v>-22</v>
      </c>
      <c r="E38" s="466">
        <v>34</v>
      </c>
      <c r="F38" s="466">
        <v>20</v>
      </c>
      <c r="G38" s="468">
        <v>39</v>
      </c>
      <c r="H38" s="468">
        <v>24</v>
      </c>
      <c r="I38" s="466">
        <v>3820</v>
      </c>
      <c r="J38" s="466">
        <v>2900</v>
      </c>
      <c r="K38" s="472">
        <f t="shared" si="0"/>
        <v>3320</v>
      </c>
      <c r="L38" s="472">
        <v>666</v>
      </c>
      <c r="M38" s="472">
        <v>666</v>
      </c>
      <c r="N38" s="472">
        <v>666</v>
      </c>
      <c r="O38" s="472">
        <v>666</v>
      </c>
      <c r="P38" s="466">
        <v>10</v>
      </c>
      <c r="Q38" s="468">
        <v>13</v>
      </c>
      <c r="R38" s="466">
        <v>48</v>
      </c>
      <c r="S38" s="468">
        <v>61</v>
      </c>
      <c r="T38" s="466">
        <v>390</v>
      </c>
      <c r="U38" s="468">
        <v>570</v>
      </c>
      <c r="V38" s="468">
        <v>0.6</v>
      </c>
      <c r="W38" s="466">
        <v>475</v>
      </c>
      <c r="X38" s="468">
        <v>560</v>
      </c>
      <c r="Y38" s="466">
        <v>80</v>
      </c>
      <c r="Z38" s="468">
        <v>90</v>
      </c>
      <c r="AA38" s="466">
        <v>2.8</v>
      </c>
      <c r="AB38" s="466">
        <v>0.1</v>
      </c>
      <c r="AC38" s="466">
        <v>4</v>
      </c>
      <c r="AD38" s="466">
        <v>0.1</v>
      </c>
      <c r="AE38" s="466">
        <v>0.3</v>
      </c>
      <c r="AF38" s="468">
        <v>0.32</v>
      </c>
      <c r="AG38" s="466">
        <v>0.4</v>
      </c>
      <c r="AH38" s="468">
        <v>0.42</v>
      </c>
      <c r="AI38" s="466">
        <v>0.62</v>
      </c>
      <c r="AJ38" s="466">
        <v>-4</v>
      </c>
      <c r="AK38" s="466">
        <v>2</v>
      </c>
      <c r="AL38" s="524">
        <v>24</v>
      </c>
      <c r="AM38" s="524">
        <v>24</v>
      </c>
    </row>
    <row r="39" spans="1:39" ht="25" customHeight="1" outlineLevel="1">
      <c r="A39" s="476" t="s">
        <v>954</v>
      </c>
      <c r="B39" s="466">
        <v>745</v>
      </c>
      <c r="C39" s="466">
        <v>-20</v>
      </c>
      <c r="D39" s="466">
        <v>-23</v>
      </c>
      <c r="E39" s="466">
        <v>34</v>
      </c>
      <c r="F39" s="466">
        <v>20</v>
      </c>
      <c r="G39" s="468">
        <v>39</v>
      </c>
      <c r="H39" s="468">
        <v>24</v>
      </c>
      <c r="I39" s="466">
        <v>4100</v>
      </c>
      <c r="J39" s="466">
        <v>3160</v>
      </c>
      <c r="K39" s="472">
        <f t="shared" si="0"/>
        <v>3600</v>
      </c>
      <c r="L39" s="472">
        <v>666</v>
      </c>
      <c r="M39" s="472">
        <v>666</v>
      </c>
      <c r="N39" s="472">
        <v>666</v>
      </c>
      <c r="O39" s="472">
        <v>666</v>
      </c>
      <c r="P39" s="466">
        <v>10</v>
      </c>
      <c r="Q39" s="468">
        <v>13</v>
      </c>
      <c r="R39" s="466">
        <v>64</v>
      </c>
      <c r="S39" s="468">
        <v>81</v>
      </c>
      <c r="T39" s="466">
        <v>430</v>
      </c>
      <c r="U39" s="468">
        <v>640</v>
      </c>
      <c r="V39" s="468">
        <v>0.6</v>
      </c>
      <c r="W39" s="466">
        <v>550</v>
      </c>
      <c r="X39" s="468">
        <v>650</v>
      </c>
      <c r="Y39" s="466">
        <v>80</v>
      </c>
      <c r="Z39" s="468">
        <v>100</v>
      </c>
      <c r="AA39" s="466">
        <v>3.6</v>
      </c>
      <c r="AB39" s="466">
        <v>0.1</v>
      </c>
      <c r="AC39" s="466">
        <v>5.2</v>
      </c>
      <c r="AD39" s="466">
        <v>0.1</v>
      </c>
      <c r="AE39" s="466">
        <v>0.3</v>
      </c>
      <c r="AF39" s="468">
        <v>0.32</v>
      </c>
      <c r="AG39" s="466">
        <v>0.4</v>
      </c>
      <c r="AH39" s="468">
        <v>0.42</v>
      </c>
      <c r="AI39" s="466">
        <v>0.62</v>
      </c>
      <c r="AJ39" s="466">
        <v>-4</v>
      </c>
      <c r="AK39" s="466">
        <v>2</v>
      </c>
      <c r="AL39" s="524">
        <v>24</v>
      </c>
      <c r="AM39" s="524">
        <v>24</v>
      </c>
    </row>
    <row r="40" spans="1:39" ht="25" customHeight="1" outlineLevel="1">
      <c r="A40" s="476" t="s">
        <v>955</v>
      </c>
      <c r="B40" s="466">
        <v>40</v>
      </c>
      <c r="C40" s="466">
        <v>-13</v>
      </c>
      <c r="D40" s="466">
        <v>-15</v>
      </c>
      <c r="E40" s="466">
        <v>31</v>
      </c>
      <c r="F40" s="466">
        <v>20</v>
      </c>
      <c r="G40" s="468">
        <v>37</v>
      </c>
      <c r="H40" s="468">
        <v>25</v>
      </c>
      <c r="I40" s="466">
        <v>2820</v>
      </c>
      <c r="J40" s="466">
        <v>2130</v>
      </c>
      <c r="K40" s="472">
        <f t="shared" si="0"/>
        <v>2320</v>
      </c>
      <c r="L40" s="472">
        <v>666</v>
      </c>
      <c r="M40" s="472">
        <v>666</v>
      </c>
      <c r="N40" s="472">
        <v>666</v>
      </c>
      <c r="O40" s="472">
        <v>666</v>
      </c>
      <c r="P40" s="466">
        <v>8</v>
      </c>
      <c r="Q40" s="468">
        <v>10</v>
      </c>
      <c r="R40" s="466">
        <v>139</v>
      </c>
      <c r="S40" s="468">
        <v>177</v>
      </c>
      <c r="T40" s="466">
        <v>1825</v>
      </c>
      <c r="U40" s="468">
        <v>2510</v>
      </c>
      <c r="V40" s="468">
        <v>2</v>
      </c>
      <c r="W40" s="466">
        <v>1900</v>
      </c>
      <c r="X40" s="468">
        <v>1980</v>
      </c>
      <c r="Y40" s="466">
        <v>140</v>
      </c>
      <c r="Z40" s="468">
        <v>160</v>
      </c>
      <c r="AA40" s="466">
        <v>2.8</v>
      </c>
      <c r="AB40" s="466">
        <v>0.7</v>
      </c>
      <c r="AC40" s="466">
        <v>4.4000000000000004</v>
      </c>
      <c r="AD40" s="466">
        <v>1.1000000000000001</v>
      </c>
      <c r="AE40" s="466">
        <v>0.47</v>
      </c>
      <c r="AF40" s="468">
        <v>0.52</v>
      </c>
      <c r="AG40" s="466">
        <v>0.63</v>
      </c>
      <c r="AH40" s="468">
        <v>0.69</v>
      </c>
      <c r="AI40" s="466">
        <v>1.03</v>
      </c>
      <c r="AJ40" s="466">
        <v>-4</v>
      </c>
      <c r="AK40" s="466">
        <v>6</v>
      </c>
      <c r="AL40" s="524">
        <v>25</v>
      </c>
      <c r="AM40" s="524">
        <v>25</v>
      </c>
    </row>
    <row r="41" spans="1:39" ht="25" customHeight="1" outlineLevel="1">
      <c r="A41" s="476" t="s">
        <v>957</v>
      </c>
      <c r="B41" s="466">
        <v>20</v>
      </c>
      <c r="C41" s="466">
        <v>-1</v>
      </c>
      <c r="D41" s="466">
        <v>-3</v>
      </c>
      <c r="E41" s="466">
        <v>22</v>
      </c>
      <c r="F41" s="466">
        <v>17</v>
      </c>
      <c r="G41" s="468">
        <v>27</v>
      </c>
      <c r="H41" s="468">
        <v>22</v>
      </c>
      <c r="I41" s="466">
        <v>2900</v>
      </c>
      <c r="J41" s="466">
        <v>1900</v>
      </c>
      <c r="K41" s="472">
        <f t="shared" si="0"/>
        <v>2400</v>
      </c>
      <c r="L41" s="472">
        <v>666</v>
      </c>
      <c r="M41" s="472">
        <v>666</v>
      </c>
      <c r="N41" s="472">
        <v>666</v>
      </c>
      <c r="O41" s="472">
        <v>666</v>
      </c>
      <c r="P41" s="466">
        <v>12</v>
      </c>
      <c r="Q41" s="468">
        <v>15</v>
      </c>
      <c r="R41" s="466">
        <v>170</v>
      </c>
      <c r="S41" s="468">
        <v>208</v>
      </c>
      <c r="T41" s="466">
        <v>2300</v>
      </c>
      <c r="U41" s="468">
        <v>2520</v>
      </c>
      <c r="V41" s="468">
        <v>2.6</v>
      </c>
      <c r="W41" s="466">
        <v>2370</v>
      </c>
      <c r="X41" s="468">
        <v>2510</v>
      </c>
      <c r="Y41" s="466">
        <v>250</v>
      </c>
      <c r="Z41" s="468">
        <v>270</v>
      </c>
      <c r="AA41" s="466">
        <v>1.2</v>
      </c>
      <c r="AB41" s="466">
        <v>0.4</v>
      </c>
      <c r="AC41" s="466">
        <v>2</v>
      </c>
      <c r="AD41" s="466">
        <v>0.7</v>
      </c>
      <c r="AE41" s="466">
        <v>0.44</v>
      </c>
      <c r="AF41" s="468">
        <v>0.48</v>
      </c>
      <c r="AG41" s="466">
        <v>0.55000000000000004</v>
      </c>
      <c r="AH41" s="468">
        <v>0.61</v>
      </c>
      <c r="AI41" s="466">
        <v>0.79</v>
      </c>
      <c r="AJ41" s="466">
        <v>-2</v>
      </c>
      <c r="AK41" s="466">
        <v>2</v>
      </c>
      <c r="AL41" s="524">
        <v>22</v>
      </c>
      <c r="AM41" s="524">
        <v>22</v>
      </c>
    </row>
    <row r="42" spans="1:39" ht="25" customHeight="1" outlineLevel="1">
      <c r="A42" s="476" t="s">
        <v>958</v>
      </c>
      <c r="B42" s="466">
        <v>355</v>
      </c>
      <c r="C42" s="466">
        <v>-23</v>
      </c>
      <c r="D42" s="466">
        <v>-25</v>
      </c>
      <c r="E42" s="466">
        <v>34</v>
      </c>
      <c r="F42" s="466">
        <v>20</v>
      </c>
      <c r="G42" s="468">
        <v>38</v>
      </c>
      <c r="H42" s="468">
        <v>24</v>
      </c>
      <c r="I42" s="466">
        <v>3450</v>
      </c>
      <c r="J42" s="466">
        <v>2670</v>
      </c>
      <c r="K42" s="472">
        <f t="shared" si="0"/>
        <v>2950</v>
      </c>
      <c r="L42" s="472">
        <v>666</v>
      </c>
      <c r="M42" s="472">
        <v>666</v>
      </c>
      <c r="N42" s="472">
        <v>666</v>
      </c>
      <c r="O42" s="472">
        <v>666</v>
      </c>
      <c r="P42" s="466">
        <v>13</v>
      </c>
      <c r="Q42" s="468">
        <v>17</v>
      </c>
      <c r="R42" s="466">
        <v>42</v>
      </c>
      <c r="S42" s="468">
        <v>53</v>
      </c>
      <c r="T42" s="466">
        <v>225</v>
      </c>
      <c r="U42" s="468">
        <v>340</v>
      </c>
      <c r="V42" s="468">
        <v>0.2</v>
      </c>
      <c r="W42" s="466">
        <v>275</v>
      </c>
      <c r="X42" s="468">
        <v>340</v>
      </c>
      <c r="Y42" s="466">
        <v>80</v>
      </c>
      <c r="Z42" s="468">
        <v>100</v>
      </c>
      <c r="AA42" s="466">
        <v>1.8</v>
      </c>
      <c r="AB42" s="466">
        <v>0.2</v>
      </c>
      <c r="AC42" s="466">
        <v>2.6</v>
      </c>
      <c r="AD42" s="466">
        <v>0.3</v>
      </c>
      <c r="AE42" s="466">
        <v>0.3</v>
      </c>
      <c r="AF42" s="468">
        <v>0.33</v>
      </c>
      <c r="AG42" s="466">
        <v>0.4</v>
      </c>
      <c r="AH42" s="468">
        <v>0.44</v>
      </c>
      <c r="AI42" s="466">
        <v>0.65</v>
      </c>
      <c r="AJ42" s="466">
        <v>-6</v>
      </c>
      <c r="AK42" s="466">
        <v>2.9</v>
      </c>
      <c r="AL42" s="524">
        <v>24</v>
      </c>
      <c r="AM42" s="524">
        <v>24</v>
      </c>
    </row>
    <row r="43" spans="1:39" ht="25" customHeight="1" outlineLevel="1">
      <c r="A43" s="476" t="s">
        <v>959</v>
      </c>
      <c r="B43" s="466">
        <v>545</v>
      </c>
      <c r="C43" s="466">
        <v>-17</v>
      </c>
      <c r="D43" s="466">
        <v>-20</v>
      </c>
      <c r="E43" s="466">
        <v>30</v>
      </c>
      <c r="F43" s="466">
        <v>19</v>
      </c>
      <c r="G43" s="468">
        <v>35</v>
      </c>
      <c r="H43" s="468">
        <v>23</v>
      </c>
      <c r="I43" s="466">
        <v>3830</v>
      </c>
      <c r="J43" s="466">
        <v>2910</v>
      </c>
      <c r="K43" s="472">
        <f t="shared" si="0"/>
        <v>3330</v>
      </c>
      <c r="L43" s="472">
        <v>666</v>
      </c>
      <c r="M43" s="472">
        <v>666</v>
      </c>
      <c r="N43" s="472">
        <v>666</v>
      </c>
      <c r="O43" s="472">
        <v>666</v>
      </c>
      <c r="P43" s="466">
        <v>10</v>
      </c>
      <c r="Q43" s="468">
        <v>13</v>
      </c>
      <c r="R43" s="466">
        <v>55</v>
      </c>
      <c r="S43" s="468">
        <v>70</v>
      </c>
      <c r="T43" s="466">
        <v>660</v>
      </c>
      <c r="U43" s="468">
        <v>950</v>
      </c>
      <c r="V43" s="468">
        <v>0.9</v>
      </c>
      <c r="W43" s="466">
        <v>850</v>
      </c>
      <c r="X43" s="468">
        <v>930</v>
      </c>
      <c r="Y43" s="466">
        <v>80</v>
      </c>
      <c r="Z43" s="468">
        <v>100</v>
      </c>
      <c r="AA43" s="466">
        <v>2.8</v>
      </c>
      <c r="AB43" s="466">
        <v>0.1</v>
      </c>
      <c r="AC43" s="466">
        <v>4</v>
      </c>
      <c r="AD43" s="466">
        <v>0.1</v>
      </c>
      <c r="AE43" s="466">
        <v>0.23</v>
      </c>
      <c r="AF43" s="468">
        <v>0.24</v>
      </c>
      <c r="AG43" s="466">
        <v>0.31</v>
      </c>
      <c r="AH43" s="468">
        <v>0.33</v>
      </c>
      <c r="AI43" s="466">
        <v>0.51</v>
      </c>
      <c r="AJ43" s="466">
        <v>-5</v>
      </c>
      <c r="AK43" s="466">
        <v>1.8</v>
      </c>
      <c r="AL43" s="524">
        <v>23</v>
      </c>
      <c r="AM43" s="524">
        <v>23</v>
      </c>
    </row>
    <row r="44" spans="1:39" ht="25" customHeight="1" outlineLevel="1">
      <c r="A44" s="476" t="s">
        <v>960</v>
      </c>
      <c r="B44" s="466">
        <v>350</v>
      </c>
      <c r="C44" s="466">
        <v>-17</v>
      </c>
      <c r="D44" s="466">
        <v>-20</v>
      </c>
      <c r="E44" s="466">
        <v>33</v>
      </c>
      <c r="F44" s="466">
        <v>20</v>
      </c>
      <c r="G44" s="468">
        <v>38</v>
      </c>
      <c r="H44" s="468">
        <v>24</v>
      </c>
      <c r="I44" s="466">
        <v>3400</v>
      </c>
      <c r="J44" s="466">
        <v>2510</v>
      </c>
      <c r="K44" s="472">
        <f t="shared" si="0"/>
        <v>2900</v>
      </c>
      <c r="L44" s="472">
        <v>666</v>
      </c>
      <c r="M44" s="472">
        <v>666</v>
      </c>
      <c r="N44" s="472">
        <v>666</v>
      </c>
      <c r="O44" s="472">
        <v>666</v>
      </c>
      <c r="P44" s="466">
        <v>12</v>
      </c>
      <c r="Q44" s="468">
        <v>15</v>
      </c>
      <c r="R44" s="466">
        <v>43</v>
      </c>
      <c r="S44" s="468">
        <v>54</v>
      </c>
      <c r="T44" s="466">
        <v>260</v>
      </c>
      <c r="U44" s="468">
        <v>390</v>
      </c>
      <c r="V44" s="468">
        <v>0.3</v>
      </c>
      <c r="W44" s="466">
        <v>325</v>
      </c>
      <c r="X44" s="468">
        <v>390</v>
      </c>
      <c r="Y44" s="466">
        <v>80</v>
      </c>
      <c r="Z44" s="468">
        <v>120</v>
      </c>
      <c r="AA44" s="466">
        <v>1.7</v>
      </c>
      <c r="AB44" s="466">
        <v>0.1</v>
      </c>
      <c r="AC44" s="466">
        <v>2.5</v>
      </c>
      <c r="AD44" s="466">
        <v>0.2</v>
      </c>
      <c r="AE44" s="466">
        <v>0.3</v>
      </c>
      <c r="AF44" s="468">
        <v>0.32</v>
      </c>
      <c r="AG44" s="466">
        <v>0.4</v>
      </c>
      <c r="AH44" s="468">
        <v>0.42</v>
      </c>
      <c r="AI44" s="466">
        <v>0.62</v>
      </c>
      <c r="AJ44" s="466">
        <v>-5</v>
      </c>
      <c r="AK44" s="466">
        <v>1.6</v>
      </c>
      <c r="AL44" s="524">
        <v>24</v>
      </c>
      <c r="AM44" s="524">
        <v>24</v>
      </c>
    </row>
    <row r="45" spans="1:39" ht="25" customHeight="1" outlineLevel="1">
      <c r="A45" s="476" t="s">
        <v>961</v>
      </c>
      <c r="B45" s="466">
        <v>1090</v>
      </c>
      <c r="C45" s="466">
        <v>-25</v>
      </c>
      <c r="D45" s="466">
        <v>-27</v>
      </c>
      <c r="E45" s="466">
        <v>31</v>
      </c>
      <c r="F45" s="466">
        <v>18</v>
      </c>
      <c r="G45" s="468">
        <v>36</v>
      </c>
      <c r="H45" s="468">
        <v>22</v>
      </c>
      <c r="I45" s="466">
        <v>4650</v>
      </c>
      <c r="J45" s="466">
        <v>3680</v>
      </c>
      <c r="K45" s="472">
        <f t="shared" si="0"/>
        <v>4150</v>
      </c>
      <c r="L45" s="472">
        <v>666</v>
      </c>
      <c r="M45" s="472">
        <v>666</v>
      </c>
      <c r="N45" s="472">
        <v>666</v>
      </c>
      <c r="O45" s="472">
        <v>666</v>
      </c>
      <c r="P45" s="466">
        <v>12</v>
      </c>
      <c r="Q45" s="468">
        <v>15</v>
      </c>
      <c r="R45" s="466">
        <v>59</v>
      </c>
      <c r="S45" s="468">
        <v>75</v>
      </c>
      <c r="T45" s="466">
        <v>350</v>
      </c>
      <c r="U45" s="468">
        <v>480</v>
      </c>
      <c r="V45" s="468">
        <v>0.4</v>
      </c>
      <c r="W45" s="466">
        <v>500</v>
      </c>
      <c r="X45" s="468">
        <v>550</v>
      </c>
      <c r="Y45" s="466">
        <v>100</v>
      </c>
      <c r="Z45" s="468">
        <v>130</v>
      </c>
      <c r="AA45" s="466">
        <v>3</v>
      </c>
      <c r="AB45" s="466">
        <v>0.2</v>
      </c>
      <c r="AC45" s="466">
        <v>4.3</v>
      </c>
      <c r="AD45" s="466">
        <v>0.3</v>
      </c>
      <c r="AE45" s="466">
        <v>0.25</v>
      </c>
      <c r="AF45" s="468">
        <v>0.26</v>
      </c>
      <c r="AG45" s="466">
        <v>0.33</v>
      </c>
      <c r="AH45" s="468">
        <v>0.35</v>
      </c>
      <c r="AI45" s="466">
        <v>0.53</v>
      </c>
      <c r="AJ45" s="466">
        <v>-7</v>
      </c>
      <c r="AK45" s="466">
        <v>1.6</v>
      </c>
      <c r="AL45" s="524">
        <v>22</v>
      </c>
      <c r="AM45" s="524">
        <v>22</v>
      </c>
    </row>
    <row r="46" spans="1:39" ht="25" customHeight="1" outlineLevel="1">
      <c r="A46" s="476" t="s">
        <v>962</v>
      </c>
      <c r="B46" s="466">
        <v>15</v>
      </c>
      <c r="C46" s="466">
        <v>-16</v>
      </c>
      <c r="D46" s="466">
        <v>-18</v>
      </c>
      <c r="E46" s="466">
        <v>25</v>
      </c>
      <c r="F46" s="466">
        <v>16</v>
      </c>
      <c r="G46" s="468">
        <v>31</v>
      </c>
      <c r="H46" s="468">
        <v>21</v>
      </c>
      <c r="I46" s="466">
        <v>3750</v>
      </c>
      <c r="J46" s="466">
        <v>2830</v>
      </c>
      <c r="K46" s="472">
        <f t="shared" si="0"/>
        <v>3250</v>
      </c>
      <c r="L46" s="472">
        <v>666</v>
      </c>
      <c r="M46" s="472">
        <v>666</v>
      </c>
      <c r="N46" s="472">
        <v>666</v>
      </c>
      <c r="O46" s="472">
        <v>666</v>
      </c>
      <c r="P46" s="466">
        <v>13</v>
      </c>
      <c r="Q46" s="468">
        <v>17</v>
      </c>
      <c r="R46" s="466">
        <v>193</v>
      </c>
      <c r="S46" s="468">
        <v>250</v>
      </c>
      <c r="T46" s="466">
        <v>2100</v>
      </c>
      <c r="U46" s="468">
        <v>2900</v>
      </c>
      <c r="V46" s="468">
        <v>2.7</v>
      </c>
      <c r="W46" s="466">
        <v>2500</v>
      </c>
      <c r="X46" s="468">
        <v>2680</v>
      </c>
      <c r="Y46" s="466">
        <v>220</v>
      </c>
      <c r="Z46" s="468">
        <v>260</v>
      </c>
      <c r="AA46" s="466">
        <v>5.5</v>
      </c>
      <c r="AB46" s="466">
        <v>0.8</v>
      </c>
      <c r="AC46" s="466">
        <v>8.4</v>
      </c>
      <c r="AD46" s="466">
        <v>1.2</v>
      </c>
      <c r="AE46" s="466">
        <v>0.36</v>
      </c>
      <c r="AF46" s="468">
        <v>0.4</v>
      </c>
      <c r="AG46" s="466">
        <v>0.48</v>
      </c>
      <c r="AH46" s="468">
        <v>0.53</v>
      </c>
      <c r="AI46" s="466">
        <v>0.75</v>
      </c>
      <c r="AJ46" s="466">
        <v>-5</v>
      </c>
      <c r="AK46" s="466">
        <v>5</v>
      </c>
      <c r="AL46" s="524">
        <v>21</v>
      </c>
      <c r="AM46" s="524">
        <v>21</v>
      </c>
    </row>
    <row r="47" spans="1:39" ht="25" customHeight="1" outlineLevel="1">
      <c r="A47" s="476" t="s">
        <v>963</v>
      </c>
      <c r="B47" s="466">
        <v>130</v>
      </c>
      <c r="C47" s="466">
        <v>-16</v>
      </c>
      <c r="D47" s="466">
        <v>-18</v>
      </c>
      <c r="E47" s="466">
        <v>24</v>
      </c>
      <c r="F47" s="466">
        <v>16</v>
      </c>
      <c r="G47" s="468">
        <v>30</v>
      </c>
      <c r="H47" s="468">
        <v>21</v>
      </c>
      <c r="I47" s="466">
        <v>3900</v>
      </c>
      <c r="J47" s="466">
        <v>2980</v>
      </c>
      <c r="K47" s="472">
        <f t="shared" si="0"/>
        <v>3400</v>
      </c>
      <c r="L47" s="472">
        <v>666</v>
      </c>
      <c r="M47" s="472">
        <v>666</v>
      </c>
      <c r="N47" s="472">
        <v>666</v>
      </c>
      <c r="O47" s="472">
        <v>666</v>
      </c>
      <c r="P47" s="466">
        <v>13</v>
      </c>
      <c r="Q47" s="468">
        <v>17</v>
      </c>
      <c r="R47" s="466">
        <v>171</v>
      </c>
      <c r="S47" s="468">
        <v>221</v>
      </c>
      <c r="T47" s="466">
        <v>1900</v>
      </c>
      <c r="U47" s="468">
        <v>2620</v>
      </c>
      <c r="V47" s="468">
        <v>2.4</v>
      </c>
      <c r="W47" s="466">
        <v>2300</v>
      </c>
      <c r="X47" s="468">
        <v>2460</v>
      </c>
      <c r="Y47" s="466">
        <v>220</v>
      </c>
      <c r="Z47" s="468">
        <v>260</v>
      </c>
      <c r="AA47" s="466">
        <v>6.5</v>
      </c>
      <c r="AB47" s="466">
        <v>0.8</v>
      </c>
      <c r="AC47" s="466">
        <v>9.8000000000000007</v>
      </c>
      <c r="AD47" s="466">
        <v>1.2</v>
      </c>
      <c r="AE47" s="466">
        <v>0.36</v>
      </c>
      <c r="AF47" s="468">
        <v>0.4</v>
      </c>
      <c r="AG47" s="466">
        <v>0.48</v>
      </c>
      <c r="AH47" s="468">
        <v>0.53</v>
      </c>
      <c r="AI47" s="466">
        <v>0.75</v>
      </c>
      <c r="AJ47" s="466">
        <v>-5</v>
      </c>
      <c r="AK47" s="466">
        <v>5</v>
      </c>
      <c r="AL47" s="524">
        <v>21</v>
      </c>
      <c r="AM47" s="524">
        <v>21</v>
      </c>
    </row>
    <row r="48" spans="1:39" ht="25" customHeight="1" outlineLevel="1">
      <c r="A48" s="476" t="s">
        <v>964</v>
      </c>
      <c r="B48" s="466">
        <v>80</v>
      </c>
      <c r="C48" s="466">
        <v>-7</v>
      </c>
      <c r="D48" s="466">
        <v>-9</v>
      </c>
      <c r="E48" s="466">
        <v>27</v>
      </c>
      <c r="F48" s="466">
        <v>19</v>
      </c>
      <c r="G48" s="468">
        <v>32</v>
      </c>
      <c r="H48" s="468">
        <v>24</v>
      </c>
      <c r="I48" s="466">
        <v>2920</v>
      </c>
      <c r="J48" s="466">
        <v>2130</v>
      </c>
      <c r="K48" s="472">
        <f t="shared" si="0"/>
        <v>2420</v>
      </c>
      <c r="L48" s="472">
        <v>666</v>
      </c>
      <c r="M48" s="472">
        <v>666</v>
      </c>
      <c r="N48" s="472">
        <v>666</v>
      </c>
      <c r="O48" s="472">
        <v>666</v>
      </c>
      <c r="P48" s="466">
        <v>8</v>
      </c>
      <c r="Q48" s="468">
        <v>10</v>
      </c>
      <c r="R48" s="466">
        <v>97</v>
      </c>
      <c r="S48" s="468">
        <v>119</v>
      </c>
      <c r="T48" s="466">
        <v>1075</v>
      </c>
      <c r="U48" s="468">
        <v>1180</v>
      </c>
      <c r="V48" s="468">
        <v>1.3</v>
      </c>
      <c r="W48" s="466">
        <v>1160</v>
      </c>
      <c r="X48" s="468">
        <v>1220</v>
      </c>
      <c r="Y48" s="466">
        <v>180</v>
      </c>
      <c r="Z48" s="468">
        <v>200</v>
      </c>
      <c r="AA48" s="466">
        <v>2.4</v>
      </c>
      <c r="AB48" s="466">
        <v>0.4</v>
      </c>
      <c r="AC48" s="466">
        <v>3.9</v>
      </c>
      <c r="AD48" s="466">
        <v>0.7</v>
      </c>
      <c r="AE48" s="466">
        <v>0.32</v>
      </c>
      <c r="AF48" s="468">
        <v>0.35</v>
      </c>
      <c r="AG48" s="466">
        <v>0.4</v>
      </c>
      <c r="AH48" s="468">
        <v>0.44</v>
      </c>
      <c r="AI48" s="466">
        <v>0.57999999999999996</v>
      </c>
      <c r="AJ48" s="466">
        <v>-2</v>
      </c>
      <c r="AK48" s="466">
        <v>1.5</v>
      </c>
      <c r="AL48" s="524">
        <v>24</v>
      </c>
      <c r="AM48" s="524">
        <v>24</v>
      </c>
    </row>
    <row r="49" spans="1:39" ht="25" customHeight="1" outlineLevel="1">
      <c r="A49" s="476" t="s">
        <v>965</v>
      </c>
      <c r="B49" s="466">
        <v>80</v>
      </c>
      <c r="C49" s="466">
        <v>-4</v>
      </c>
      <c r="D49" s="466">
        <v>-6</v>
      </c>
      <c r="E49" s="466">
        <v>27</v>
      </c>
      <c r="F49" s="466">
        <v>19</v>
      </c>
      <c r="G49" s="468">
        <v>33</v>
      </c>
      <c r="H49" s="468">
        <v>23</v>
      </c>
      <c r="I49" s="466">
        <v>2750</v>
      </c>
      <c r="J49" s="466">
        <v>1770</v>
      </c>
      <c r="K49" s="472">
        <f t="shared" si="0"/>
        <v>2250</v>
      </c>
      <c r="L49" s="472">
        <v>666</v>
      </c>
      <c r="M49" s="472">
        <v>666</v>
      </c>
      <c r="N49" s="472">
        <v>666</v>
      </c>
      <c r="O49" s="472">
        <v>666</v>
      </c>
      <c r="P49" s="466">
        <v>9</v>
      </c>
      <c r="Q49" s="468">
        <v>11</v>
      </c>
      <c r="R49" s="466">
        <v>135</v>
      </c>
      <c r="S49" s="468">
        <v>166</v>
      </c>
      <c r="T49" s="466">
        <v>1095</v>
      </c>
      <c r="U49" s="468">
        <v>1250</v>
      </c>
      <c r="V49" s="468">
        <v>1.3</v>
      </c>
      <c r="W49" s="466">
        <v>1125</v>
      </c>
      <c r="X49" s="468">
        <v>1240</v>
      </c>
      <c r="Y49" s="466">
        <v>220</v>
      </c>
      <c r="Z49" s="468">
        <v>250</v>
      </c>
      <c r="AA49" s="466">
        <v>1.8</v>
      </c>
      <c r="AB49" s="466">
        <v>0.3</v>
      </c>
      <c r="AC49" s="466">
        <v>3</v>
      </c>
      <c r="AD49" s="466">
        <v>0.5</v>
      </c>
      <c r="AE49" s="466">
        <v>0.32</v>
      </c>
      <c r="AF49" s="468">
        <v>0.35</v>
      </c>
      <c r="AG49" s="466">
        <v>0.4</v>
      </c>
      <c r="AH49" s="468">
        <v>0.44</v>
      </c>
      <c r="AI49" s="466">
        <v>0.57999999999999996</v>
      </c>
      <c r="AJ49" s="466">
        <v>-2</v>
      </c>
      <c r="AK49" s="466">
        <v>3.3</v>
      </c>
      <c r="AL49" s="524">
        <v>23</v>
      </c>
      <c r="AM49" s="524">
        <v>23</v>
      </c>
    </row>
    <row r="50" spans="1:39" ht="25" customHeight="1" outlineLevel="1">
      <c r="A50" s="476" t="s">
        <v>966</v>
      </c>
      <c r="B50" s="466">
        <v>245</v>
      </c>
      <c r="C50" s="466">
        <v>-21</v>
      </c>
      <c r="D50" s="466">
        <v>-23</v>
      </c>
      <c r="E50" s="466">
        <v>34</v>
      </c>
      <c r="F50" s="466">
        <v>20</v>
      </c>
      <c r="G50" s="468">
        <v>39</v>
      </c>
      <c r="H50" s="468">
        <v>24</v>
      </c>
      <c r="I50" s="466">
        <v>3400</v>
      </c>
      <c r="J50" s="466">
        <v>2610</v>
      </c>
      <c r="K50" s="472">
        <f t="shared" si="0"/>
        <v>2900</v>
      </c>
      <c r="L50" s="472">
        <v>666</v>
      </c>
      <c r="M50" s="472">
        <v>666</v>
      </c>
      <c r="N50" s="472">
        <v>666</v>
      </c>
      <c r="O50" s="472">
        <v>666</v>
      </c>
      <c r="P50" s="466">
        <v>10</v>
      </c>
      <c r="Q50" s="468">
        <v>13</v>
      </c>
      <c r="R50" s="466">
        <v>70</v>
      </c>
      <c r="S50" s="468">
        <v>89</v>
      </c>
      <c r="T50" s="466">
        <v>300</v>
      </c>
      <c r="U50" s="468">
        <v>470</v>
      </c>
      <c r="V50" s="468">
        <v>0.3</v>
      </c>
      <c r="W50" s="466">
        <v>350</v>
      </c>
      <c r="X50" s="468">
        <v>420</v>
      </c>
      <c r="Y50" s="466">
        <v>100</v>
      </c>
      <c r="Z50" s="468">
        <v>150</v>
      </c>
      <c r="AA50" s="466">
        <v>2.1</v>
      </c>
      <c r="AB50" s="466">
        <v>0.1</v>
      </c>
      <c r="AC50" s="466">
        <v>3.2</v>
      </c>
      <c r="AD50" s="466">
        <v>0.2</v>
      </c>
      <c r="AE50" s="466">
        <v>0.33</v>
      </c>
      <c r="AF50" s="468">
        <v>0.36</v>
      </c>
      <c r="AG50" s="466">
        <v>0.44</v>
      </c>
      <c r="AH50" s="468">
        <v>0.48</v>
      </c>
      <c r="AI50" s="466">
        <v>0.72</v>
      </c>
      <c r="AJ50" s="466">
        <v>-5</v>
      </c>
      <c r="AK50" s="466">
        <v>2</v>
      </c>
      <c r="AL50" s="524">
        <v>24</v>
      </c>
      <c r="AM50" s="524">
        <v>24</v>
      </c>
    </row>
    <row r="51" spans="1:39" ht="25" customHeight="1" outlineLevel="1">
      <c r="A51" s="476" t="s">
        <v>967</v>
      </c>
      <c r="B51" s="466">
        <v>325</v>
      </c>
      <c r="C51" s="466">
        <v>-17</v>
      </c>
      <c r="D51" s="466">
        <v>-20</v>
      </c>
      <c r="E51" s="466">
        <v>35</v>
      </c>
      <c r="F51" s="466">
        <v>20</v>
      </c>
      <c r="G51" s="468">
        <v>40</v>
      </c>
      <c r="H51" s="468">
        <v>24</v>
      </c>
      <c r="I51" s="466">
        <v>3300</v>
      </c>
      <c r="J51" s="466">
        <v>2410</v>
      </c>
      <c r="K51" s="472">
        <f t="shared" si="0"/>
        <v>2800</v>
      </c>
      <c r="L51" s="472">
        <v>666</v>
      </c>
      <c r="M51" s="472">
        <v>666</v>
      </c>
      <c r="N51" s="472">
        <v>666</v>
      </c>
      <c r="O51" s="472">
        <v>666</v>
      </c>
      <c r="P51" s="466">
        <v>10</v>
      </c>
      <c r="Q51" s="468">
        <v>13</v>
      </c>
      <c r="R51" s="466">
        <v>70</v>
      </c>
      <c r="S51" s="468">
        <v>89</v>
      </c>
      <c r="T51" s="466">
        <v>330</v>
      </c>
      <c r="U51" s="468">
        <v>510</v>
      </c>
      <c r="V51" s="468">
        <v>0.3</v>
      </c>
      <c r="W51" s="466">
        <v>425</v>
      </c>
      <c r="X51" s="468">
        <v>490</v>
      </c>
      <c r="Y51" s="466">
        <v>80</v>
      </c>
      <c r="Z51" s="468">
        <v>110</v>
      </c>
      <c r="AA51" s="466">
        <v>2.8</v>
      </c>
      <c r="AB51" s="466">
        <v>0.3</v>
      </c>
      <c r="AC51" s="466">
        <v>4.3</v>
      </c>
      <c r="AD51" s="466">
        <v>0.5</v>
      </c>
      <c r="AE51" s="466">
        <v>0.32</v>
      </c>
      <c r="AF51" s="468">
        <v>0.35</v>
      </c>
      <c r="AG51" s="466">
        <v>0.43</v>
      </c>
      <c r="AH51" s="468">
        <v>0.47</v>
      </c>
      <c r="AI51" s="466">
        <v>0.7</v>
      </c>
      <c r="AJ51" s="466">
        <v>-5</v>
      </c>
      <c r="AK51" s="466">
        <v>1.7</v>
      </c>
      <c r="AL51" s="524">
        <v>24</v>
      </c>
      <c r="AM51" s="524">
        <v>24</v>
      </c>
    </row>
    <row r="52" spans="1:39" ht="25" customHeight="1" outlineLevel="1">
      <c r="A52" s="476" t="s">
        <v>968</v>
      </c>
      <c r="B52" s="466">
        <v>765</v>
      </c>
      <c r="C52" s="466">
        <v>-34</v>
      </c>
      <c r="D52" s="466">
        <v>-38</v>
      </c>
      <c r="E52" s="466">
        <v>27</v>
      </c>
      <c r="F52" s="466">
        <v>17</v>
      </c>
      <c r="G52" s="468">
        <v>33</v>
      </c>
      <c r="H52" s="468">
        <v>21</v>
      </c>
      <c r="I52" s="466">
        <v>5550</v>
      </c>
      <c r="J52" s="466">
        <v>4530</v>
      </c>
      <c r="K52" s="472">
        <f t="shared" si="0"/>
        <v>5050</v>
      </c>
      <c r="L52" s="472">
        <v>666</v>
      </c>
      <c r="M52" s="472">
        <v>666</v>
      </c>
      <c r="N52" s="472">
        <v>666</v>
      </c>
      <c r="O52" s="472">
        <v>666</v>
      </c>
      <c r="P52" s="466">
        <v>10</v>
      </c>
      <c r="Q52" s="468">
        <v>13</v>
      </c>
      <c r="R52" s="466">
        <v>50</v>
      </c>
      <c r="S52" s="468">
        <v>64</v>
      </c>
      <c r="T52" s="466">
        <v>350</v>
      </c>
      <c r="U52" s="468">
        <v>490</v>
      </c>
      <c r="V52" s="468">
        <v>0.5</v>
      </c>
      <c r="W52" s="466">
        <v>650</v>
      </c>
      <c r="X52" s="468">
        <v>720</v>
      </c>
      <c r="Y52" s="466">
        <v>60</v>
      </c>
      <c r="Z52" s="468">
        <v>70</v>
      </c>
      <c r="AA52" s="466">
        <v>5.0999999999999996</v>
      </c>
      <c r="AB52" s="466">
        <v>0.2</v>
      </c>
      <c r="AC52" s="466">
        <v>7.1</v>
      </c>
      <c r="AD52" s="466">
        <v>0.3</v>
      </c>
      <c r="AE52" s="466">
        <v>0.25</v>
      </c>
      <c r="AF52" s="468">
        <v>0.28000000000000003</v>
      </c>
      <c r="AG52" s="466">
        <v>0.32</v>
      </c>
      <c r="AH52" s="468">
        <v>0.35</v>
      </c>
      <c r="AI52" s="466">
        <v>0.5</v>
      </c>
      <c r="AJ52" s="466">
        <v>-8</v>
      </c>
      <c r="AK52" s="466">
        <v>1.6</v>
      </c>
      <c r="AL52" s="524">
        <v>21</v>
      </c>
      <c r="AM52" s="524">
        <v>21</v>
      </c>
    </row>
    <row r="53" spans="1:39" ht="25" customHeight="1" outlineLevel="1">
      <c r="A53" s="476" t="s">
        <v>969</v>
      </c>
      <c r="B53" s="466">
        <v>10</v>
      </c>
      <c r="C53" s="466">
        <v>-5</v>
      </c>
      <c r="D53" s="466">
        <v>-7</v>
      </c>
      <c r="E53" s="466">
        <v>17</v>
      </c>
      <c r="F53" s="466">
        <v>15</v>
      </c>
      <c r="G53" s="468">
        <v>21</v>
      </c>
      <c r="H53" s="468">
        <v>18</v>
      </c>
      <c r="I53" s="466">
        <v>3700</v>
      </c>
      <c r="J53" s="466">
        <v>2600</v>
      </c>
      <c r="K53" s="472">
        <f t="shared" si="0"/>
        <v>3200</v>
      </c>
      <c r="L53" s="472">
        <v>666</v>
      </c>
      <c r="M53" s="472">
        <v>666</v>
      </c>
      <c r="N53" s="472">
        <v>666</v>
      </c>
      <c r="O53" s="472">
        <v>666</v>
      </c>
      <c r="P53" s="466">
        <v>13</v>
      </c>
      <c r="Q53" s="468">
        <v>16</v>
      </c>
      <c r="R53" s="466">
        <v>80</v>
      </c>
      <c r="S53" s="468">
        <v>98</v>
      </c>
      <c r="T53" s="466">
        <v>1350</v>
      </c>
      <c r="U53" s="468">
        <v>1510</v>
      </c>
      <c r="V53" s="468">
        <v>1.6</v>
      </c>
      <c r="W53" s="466">
        <v>1400</v>
      </c>
      <c r="X53" s="468">
        <v>1530</v>
      </c>
      <c r="Y53" s="466">
        <v>400</v>
      </c>
      <c r="Z53" s="468">
        <v>430</v>
      </c>
      <c r="AA53" s="466">
        <v>1.8</v>
      </c>
      <c r="AB53" s="466">
        <v>0.4</v>
      </c>
      <c r="AC53" s="466">
        <v>2.9</v>
      </c>
      <c r="AD53" s="466">
        <v>0.6</v>
      </c>
      <c r="AE53" s="466">
        <v>0.5</v>
      </c>
      <c r="AF53" s="468">
        <v>0.55000000000000004</v>
      </c>
      <c r="AG53" s="466">
        <v>0.61</v>
      </c>
      <c r="AH53" s="468">
        <v>0.67</v>
      </c>
      <c r="AI53" s="466">
        <v>0.86</v>
      </c>
      <c r="AJ53" s="466">
        <v>-2</v>
      </c>
      <c r="AK53" s="466">
        <v>1.7</v>
      </c>
      <c r="AL53" s="524">
        <v>18</v>
      </c>
      <c r="AM53" s="524">
        <v>18</v>
      </c>
    </row>
    <row r="54" spans="1:39" ht="25" customHeight="1" outlineLevel="1">
      <c r="A54" s="476" t="s">
        <v>970</v>
      </c>
      <c r="B54" s="466">
        <v>730</v>
      </c>
      <c r="C54" s="466">
        <v>-29</v>
      </c>
      <c r="D54" s="466">
        <v>-32</v>
      </c>
      <c r="E54" s="466">
        <v>29</v>
      </c>
      <c r="F54" s="466">
        <v>18</v>
      </c>
      <c r="G54" s="468">
        <v>36</v>
      </c>
      <c r="H54" s="468">
        <v>23</v>
      </c>
      <c r="I54" s="466">
        <v>4980</v>
      </c>
      <c r="J54" s="466">
        <v>3990</v>
      </c>
      <c r="K54" s="472">
        <f t="shared" si="0"/>
        <v>4480</v>
      </c>
      <c r="L54" s="472">
        <v>666</v>
      </c>
      <c r="M54" s="472">
        <v>666</v>
      </c>
      <c r="N54" s="472">
        <v>666</v>
      </c>
      <c r="O54" s="472">
        <v>666</v>
      </c>
      <c r="P54" s="466">
        <v>13</v>
      </c>
      <c r="Q54" s="468">
        <v>17</v>
      </c>
      <c r="R54" s="466">
        <v>54</v>
      </c>
      <c r="S54" s="468">
        <v>69</v>
      </c>
      <c r="T54" s="466">
        <v>475</v>
      </c>
      <c r="U54" s="468">
        <v>670</v>
      </c>
      <c r="V54" s="468">
        <v>0.6</v>
      </c>
      <c r="W54" s="466">
        <v>650</v>
      </c>
      <c r="X54" s="468">
        <v>700</v>
      </c>
      <c r="Y54" s="466">
        <v>60</v>
      </c>
      <c r="Z54" s="468">
        <v>70</v>
      </c>
      <c r="AA54" s="466">
        <v>4.3</v>
      </c>
      <c r="AB54" s="466">
        <v>0.2</v>
      </c>
      <c r="AC54" s="466">
        <v>6.2</v>
      </c>
      <c r="AD54" s="466">
        <v>0.3</v>
      </c>
      <c r="AE54" s="466">
        <v>0.27</v>
      </c>
      <c r="AF54" s="468">
        <v>0.3</v>
      </c>
      <c r="AG54" s="466">
        <v>0.35</v>
      </c>
      <c r="AH54" s="468">
        <v>0.39</v>
      </c>
      <c r="AI54" s="466">
        <v>0.57999999999999996</v>
      </c>
      <c r="AJ54" s="466">
        <v>-9</v>
      </c>
      <c r="AK54" s="466">
        <v>2</v>
      </c>
      <c r="AL54" s="524">
        <v>23</v>
      </c>
      <c r="AM54" s="524">
        <v>23</v>
      </c>
    </row>
    <row r="55" spans="1:39" ht="25" customHeight="1" outlineLevel="1">
      <c r="A55" s="476" t="s">
        <v>971</v>
      </c>
      <c r="B55" s="466">
        <v>695</v>
      </c>
      <c r="C55" s="466">
        <v>-35</v>
      </c>
      <c r="D55" s="466">
        <v>-37</v>
      </c>
      <c r="E55" s="466">
        <v>27</v>
      </c>
      <c r="F55" s="466">
        <v>17</v>
      </c>
      <c r="G55" s="468">
        <v>33</v>
      </c>
      <c r="H55" s="468">
        <v>21</v>
      </c>
      <c r="I55" s="466">
        <v>5450</v>
      </c>
      <c r="J55" s="466">
        <v>4430</v>
      </c>
      <c r="K55" s="472">
        <f t="shared" si="0"/>
        <v>4950</v>
      </c>
      <c r="L55" s="472">
        <v>666</v>
      </c>
      <c r="M55" s="472">
        <v>666</v>
      </c>
      <c r="N55" s="472">
        <v>666</v>
      </c>
      <c r="O55" s="472">
        <v>666</v>
      </c>
      <c r="P55" s="466">
        <v>10</v>
      </c>
      <c r="Q55" s="468">
        <v>13</v>
      </c>
      <c r="R55" s="466">
        <v>50</v>
      </c>
      <c r="S55" s="468">
        <v>64</v>
      </c>
      <c r="T55" s="466">
        <v>350</v>
      </c>
      <c r="U55" s="468">
        <v>490</v>
      </c>
      <c r="V55" s="468">
        <v>0.5</v>
      </c>
      <c r="W55" s="466">
        <v>650</v>
      </c>
      <c r="X55" s="468">
        <v>720</v>
      </c>
      <c r="Y55" s="466">
        <v>60</v>
      </c>
      <c r="Z55" s="468">
        <v>70</v>
      </c>
      <c r="AA55" s="466">
        <v>4.0999999999999996</v>
      </c>
      <c r="AB55" s="466">
        <v>0.2</v>
      </c>
      <c r="AC55" s="466">
        <v>5.7</v>
      </c>
      <c r="AD55" s="466">
        <v>0.3</v>
      </c>
      <c r="AE55" s="466">
        <v>0.25</v>
      </c>
      <c r="AF55" s="468">
        <v>0.28000000000000003</v>
      </c>
      <c r="AG55" s="466">
        <v>0.32</v>
      </c>
      <c r="AH55" s="468">
        <v>0.35</v>
      </c>
      <c r="AI55" s="466">
        <v>0.5</v>
      </c>
      <c r="AJ55" s="466">
        <v>-8</v>
      </c>
      <c r="AK55" s="466">
        <v>2</v>
      </c>
      <c r="AL55" s="524">
        <v>21</v>
      </c>
      <c r="AM55" s="524">
        <v>21</v>
      </c>
    </row>
    <row r="56" spans="1:39" ht="25" customHeight="1" outlineLevel="1">
      <c r="A56" s="476" t="s">
        <v>972</v>
      </c>
      <c r="B56" s="466">
        <v>570</v>
      </c>
      <c r="C56" s="466">
        <v>-24</v>
      </c>
      <c r="D56" s="466">
        <v>-27</v>
      </c>
      <c r="E56" s="466">
        <v>34</v>
      </c>
      <c r="F56" s="466">
        <v>20</v>
      </c>
      <c r="G56" s="468">
        <v>39</v>
      </c>
      <c r="H56" s="468">
        <v>24</v>
      </c>
      <c r="I56" s="466">
        <v>3900</v>
      </c>
      <c r="J56" s="466">
        <v>2980</v>
      </c>
      <c r="K56" s="472">
        <f t="shared" si="0"/>
        <v>3400</v>
      </c>
      <c r="L56" s="472">
        <v>666</v>
      </c>
      <c r="M56" s="472">
        <v>666</v>
      </c>
      <c r="N56" s="472">
        <v>666</v>
      </c>
      <c r="O56" s="472">
        <v>666</v>
      </c>
      <c r="P56" s="466">
        <v>8</v>
      </c>
      <c r="Q56" s="468">
        <v>10</v>
      </c>
      <c r="R56" s="466">
        <v>54</v>
      </c>
      <c r="S56" s="468">
        <v>68</v>
      </c>
      <c r="T56" s="466">
        <v>240</v>
      </c>
      <c r="U56" s="468">
        <v>370</v>
      </c>
      <c r="V56" s="468">
        <v>0.2</v>
      </c>
      <c r="W56" s="466">
        <v>310</v>
      </c>
      <c r="X56" s="468">
        <v>370</v>
      </c>
      <c r="Y56" s="466">
        <v>80</v>
      </c>
      <c r="Z56" s="468">
        <v>110</v>
      </c>
      <c r="AA56" s="466">
        <v>1.8</v>
      </c>
      <c r="AB56" s="466">
        <v>0.3</v>
      </c>
      <c r="AC56" s="466">
        <v>2.7</v>
      </c>
      <c r="AD56" s="466">
        <v>0.4</v>
      </c>
      <c r="AE56" s="466">
        <v>0.33</v>
      </c>
      <c r="AF56" s="468">
        <v>0.36</v>
      </c>
      <c r="AG56" s="466">
        <v>0.44</v>
      </c>
      <c r="AH56" s="468">
        <v>0.48</v>
      </c>
      <c r="AI56" s="466">
        <v>0.72</v>
      </c>
      <c r="AJ56" s="466">
        <v>-6</v>
      </c>
      <c r="AK56" s="466">
        <v>1.1000000000000001</v>
      </c>
      <c r="AL56" s="524">
        <v>24</v>
      </c>
      <c r="AM56" s="524">
        <v>24</v>
      </c>
    </row>
    <row r="57" spans="1:39" ht="25" customHeight="1" outlineLevel="1">
      <c r="A57" s="476" t="s">
        <v>973</v>
      </c>
      <c r="B57" s="466">
        <v>45</v>
      </c>
      <c r="C57" s="466">
        <v>-9</v>
      </c>
      <c r="D57" s="466">
        <v>-11</v>
      </c>
      <c r="E57" s="466">
        <v>30</v>
      </c>
      <c r="F57" s="466">
        <v>20</v>
      </c>
      <c r="G57" s="468">
        <v>36</v>
      </c>
      <c r="H57" s="468">
        <v>25</v>
      </c>
      <c r="I57" s="466">
        <v>2850</v>
      </c>
      <c r="J57" s="466">
        <v>1990</v>
      </c>
      <c r="K57" s="472">
        <f t="shared" si="0"/>
        <v>2350</v>
      </c>
      <c r="L57" s="472">
        <v>666</v>
      </c>
      <c r="M57" s="472">
        <v>666</v>
      </c>
      <c r="N57" s="472">
        <v>666</v>
      </c>
      <c r="O57" s="472">
        <v>666</v>
      </c>
      <c r="P57" s="466">
        <v>13</v>
      </c>
      <c r="Q57" s="468">
        <v>16</v>
      </c>
      <c r="R57" s="466">
        <v>123</v>
      </c>
      <c r="S57" s="468">
        <v>154</v>
      </c>
      <c r="T57" s="466">
        <v>1650</v>
      </c>
      <c r="U57" s="468">
        <v>1850</v>
      </c>
      <c r="V57" s="468">
        <v>1.7</v>
      </c>
      <c r="W57" s="466">
        <v>1700</v>
      </c>
      <c r="X57" s="468">
        <v>1730</v>
      </c>
      <c r="Y57" s="466">
        <v>160</v>
      </c>
      <c r="Z57" s="468">
        <v>180</v>
      </c>
      <c r="AA57" s="466">
        <v>2.4</v>
      </c>
      <c r="AB57" s="466">
        <v>0.3</v>
      </c>
      <c r="AC57" s="466">
        <v>3.8</v>
      </c>
      <c r="AD57" s="466">
        <v>0.5</v>
      </c>
      <c r="AE57" s="466">
        <v>0.32</v>
      </c>
      <c r="AF57" s="468">
        <v>0.35</v>
      </c>
      <c r="AG57" s="466">
        <v>0.43</v>
      </c>
      <c r="AH57" s="468">
        <v>0.47</v>
      </c>
      <c r="AI57" s="466">
        <v>0.67</v>
      </c>
      <c r="AJ57" s="466">
        <v>-3</v>
      </c>
      <c r="AK57" s="466">
        <v>4</v>
      </c>
      <c r="AL57" s="524">
        <v>25</v>
      </c>
      <c r="AM57" s="524">
        <v>25</v>
      </c>
    </row>
    <row r="58" spans="1:39" ht="25" customHeight="1" outlineLevel="1">
      <c r="A58" s="476" t="s">
        <v>974</v>
      </c>
      <c r="B58" s="466">
        <v>615</v>
      </c>
      <c r="C58" s="466">
        <v>-16</v>
      </c>
      <c r="D58" s="466">
        <v>-18</v>
      </c>
      <c r="E58" s="466">
        <v>32</v>
      </c>
      <c r="F58" s="466">
        <v>20</v>
      </c>
      <c r="G58" s="468">
        <v>37</v>
      </c>
      <c r="H58" s="468">
        <v>24</v>
      </c>
      <c r="I58" s="466">
        <v>3600</v>
      </c>
      <c r="J58" s="466">
        <v>2690</v>
      </c>
      <c r="K58" s="472">
        <f t="shared" si="0"/>
        <v>3100</v>
      </c>
      <c r="L58" s="472">
        <v>666</v>
      </c>
      <c r="M58" s="472">
        <v>666</v>
      </c>
      <c r="N58" s="472">
        <v>666</v>
      </c>
      <c r="O58" s="472">
        <v>666</v>
      </c>
      <c r="P58" s="466">
        <v>10</v>
      </c>
      <c r="Q58" s="468">
        <v>13</v>
      </c>
      <c r="R58" s="466">
        <v>54</v>
      </c>
      <c r="S58" s="468">
        <v>69</v>
      </c>
      <c r="T58" s="466">
        <v>480</v>
      </c>
      <c r="U58" s="468">
        <v>690</v>
      </c>
      <c r="V58" s="468">
        <v>0.8</v>
      </c>
      <c r="W58" s="466">
        <v>700</v>
      </c>
      <c r="X58" s="468">
        <v>780</v>
      </c>
      <c r="Y58" s="466">
        <v>60</v>
      </c>
      <c r="Z58" s="468">
        <v>70</v>
      </c>
      <c r="AA58" s="466">
        <v>4.0999999999999996</v>
      </c>
      <c r="AB58" s="466">
        <v>0.1</v>
      </c>
      <c r="AC58" s="466">
        <v>5.8</v>
      </c>
      <c r="AD58" s="466">
        <v>0.1</v>
      </c>
      <c r="AE58" s="466">
        <v>0.26</v>
      </c>
      <c r="AF58" s="468">
        <v>0.27</v>
      </c>
      <c r="AG58" s="466">
        <v>0.35</v>
      </c>
      <c r="AH58" s="468">
        <v>0.37</v>
      </c>
      <c r="AI58" s="466">
        <v>0.55000000000000004</v>
      </c>
      <c r="AJ58" s="466">
        <v>-4</v>
      </c>
      <c r="AK58" s="466">
        <v>1.5</v>
      </c>
      <c r="AL58" s="524">
        <v>24</v>
      </c>
      <c r="AM58" s="524">
        <v>24</v>
      </c>
    </row>
    <row r="59" spans="1:39" ht="25" customHeight="1" outlineLevel="1">
      <c r="A59" s="476" t="s">
        <v>975</v>
      </c>
      <c r="B59" s="466">
        <v>445</v>
      </c>
      <c r="C59" s="466">
        <v>-20</v>
      </c>
      <c r="D59" s="466">
        <v>-22</v>
      </c>
      <c r="E59" s="466">
        <v>31</v>
      </c>
      <c r="F59" s="466">
        <v>20</v>
      </c>
      <c r="G59" s="468">
        <v>36</v>
      </c>
      <c r="H59" s="468">
        <v>24</v>
      </c>
      <c r="I59" s="466">
        <v>3560</v>
      </c>
      <c r="J59" s="466">
        <v>2660</v>
      </c>
      <c r="K59" s="472">
        <f t="shared" si="0"/>
        <v>3060</v>
      </c>
      <c r="L59" s="472">
        <v>666</v>
      </c>
      <c r="M59" s="472">
        <v>666</v>
      </c>
      <c r="N59" s="472">
        <v>666</v>
      </c>
      <c r="O59" s="472">
        <v>666</v>
      </c>
      <c r="P59" s="466">
        <v>10</v>
      </c>
      <c r="Q59" s="468">
        <v>13</v>
      </c>
      <c r="R59" s="466">
        <v>60</v>
      </c>
      <c r="S59" s="468">
        <v>77</v>
      </c>
      <c r="T59" s="466">
        <v>650</v>
      </c>
      <c r="U59" s="468">
        <v>940</v>
      </c>
      <c r="V59" s="468">
        <v>1</v>
      </c>
      <c r="W59" s="466">
        <v>850</v>
      </c>
      <c r="X59" s="468">
        <v>940</v>
      </c>
      <c r="Y59" s="466">
        <v>60</v>
      </c>
      <c r="Z59" s="468">
        <v>80</v>
      </c>
      <c r="AA59" s="466">
        <v>4.4000000000000004</v>
      </c>
      <c r="AB59" s="466">
        <v>0.1</v>
      </c>
      <c r="AC59" s="466">
        <v>6.2</v>
      </c>
      <c r="AD59" s="466">
        <v>0.1</v>
      </c>
      <c r="AE59" s="466">
        <v>0.25</v>
      </c>
      <c r="AF59" s="468">
        <v>0.26</v>
      </c>
      <c r="AG59" s="466">
        <v>0.33</v>
      </c>
      <c r="AH59" s="468">
        <v>0.35</v>
      </c>
      <c r="AI59" s="466">
        <v>0.51</v>
      </c>
      <c r="AJ59" s="466">
        <v>-4</v>
      </c>
      <c r="AK59" s="466">
        <v>1.2</v>
      </c>
      <c r="AL59" s="524">
        <v>24</v>
      </c>
      <c r="AM59" s="524">
        <v>24</v>
      </c>
    </row>
    <row r="60" spans="1:39" ht="25" customHeight="1" outlineLevel="1">
      <c r="A60" s="476" t="s">
        <v>976</v>
      </c>
      <c r="B60" s="466">
        <v>15</v>
      </c>
      <c r="C60" s="466">
        <v>-6</v>
      </c>
      <c r="D60" s="466">
        <v>-8</v>
      </c>
      <c r="E60" s="466">
        <v>27</v>
      </c>
      <c r="F60" s="466">
        <v>19</v>
      </c>
      <c r="G60" s="468">
        <v>33</v>
      </c>
      <c r="H60" s="468">
        <v>24</v>
      </c>
      <c r="I60" s="466">
        <v>2920</v>
      </c>
      <c r="J60" s="466">
        <v>2130</v>
      </c>
      <c r="K60" s="472">
        <f t="shared" si="0"/>
        <v>2420</v>
      </c>
      <c r="L60" s="472">
        <v>666</v>
      </c>
      <c r="M60" s="472">
        <v>666</v>
      </c>
      <c r="N60" s="472">
        <v>666</v>
      </c>
      <c r="O60" s="472">
        <v>666</v>
      </c>
      <c r="P60" s="466">
        <v>10</v>
      </c>
      <c r="Q60" s="468">
        <v>12</v>
      </c>
      <c r="R60" s="466">
        <v>91</v>
      </c>
      <c r="S60" s="468">
        <v>113</v>
      </c>
      <c r="T60" s="466">
        <v>1000</v>
      </c>
      <c r="U60" s="468">
        <v>1110</v>
      </c>
      <c r="V60" s="468">
        <v>1.2</v>
      </c>
      <c r="W60" s="466">
        <v>1050</v>
      </c>
      <c r="X60" s="468">
        <v>1120</v>
      </c>
      <c r="Y60" s="466">
        <v>200</v>
      </c>
      <c r="Z60" s="468">
        <v>220</v>
      </c>
      <c r="AA60" s="466">
        <v>2.1</v>
      </c>
      <c r="AB60" s="466">
        <v>0.4</v>
      </c>
      <c r="AC60" s="466">
        <v>3.5</v>
      </c>
      <c r="AD60" s="466">
        <v>0.7</v>
      </c>
      <c r="AE60" s="466">
        <v>0.38</v>
      </c>
      <c r="AF60" s="468">
        <v>0.42</v>
      </c>
      <c r="AG60" s="466">
        <v>0.48</v>
      </c>
      <c r="AH60" s="468">
        <v>0.53</v>
      </c>
      <c r="AI60" s="466">
        <v>0.7</v>
      </c>
      <c r="AJ60" s="466">
        <v>-2</v>
      </c>
      <c r="AK60" s="466">
        <v>3</v>
      </c>
      <c r="AL60" s="524">
        <v>24</v>
      </c>
      <c r="AM60" s="524">
        <v>24</v>
      </c>
    </row>
    <row r="61" spans="1:39" ht="25" customHeight="1" outlineLevel="1">
      <c r="A61" s="476" t="s">
        <v>977</v>
      </c>
      <c r="B61" s="466">
        <v>600</v>
      </c>
      <c r="C61" s="466">
        <v>-18</v>
      </c>
      <c r="D61" s="466">
        <v>-20</v>
      </c>
      <c r="E61" s="466">
        <v>31</v>
      </c>
      <c r="F61" s="466">
        <v>20</v>
      </c>
      <c r="G61" s="468">
        <v>36</v>
      </c>
      <c r="H61" s="468">
        <v>24</v>
      </c>
      <c r="I61" s="466">
        <v>3500</v>
      </c>
      <c r="J61" s="466">
        <v>2600</v>
      </c>
      <c r="K61" s="472">
        <f t="shared" si="0"/>
        <v>3000</v>
      </c>
      <c r="L61" s="472">
        <v>666</v>
      </c>
      <c r="M61" s="472">
        <v>666</v>
      </c>
      <c r="N61" s="472">
        <v>666</v>
      </c>
      <c r="O61" s="472">
        <v>666</v>
      </c>
      <c r="P61" s="466">
        <v>10</v>
      </c>
      <c r="Q61" s="468">
        <v>13</v>
      </c>
      <c r="R61" s="466">
        <v>59</v>
      </c>
      <c r="S61" s="468">
        <v>75</v>
      </c>
      <c r="T61" s="466">
        <v>460</v>
      </c>
      <c r="U61" s="468">
        <v>670</v>
      </c>
      <c r="V61" s="468">
        <v>0.8</v>
      </c>
      <c r="W61" s="466">
        <v>700</v>
      </c>
      <c r="X61" s="468">
        <v>770</v>
      </c>
      <c r="Y61" s="466">
        <v>60</v>
      </c>
      <c r="Z61" s="468">
        <v>70</v>
      </c>
      <c r="AA61" s="466">
        <v>4.2</v>
      </c>
      <c r="AB61" s="466">
        <v>0.1</v>
      </c>
      <c r="AC61" s="466">
        <v>5.9</v>
      </c>
      <c r="AD61" s="466">
        <v>0.1</v>
      </c>
      <c r="AE61" s="466">
        <v>0.25</v>
      </c>
      <c r="AF61" s="468">
        <v>0.26</v>
      </c>
      <c r="AG61" s="466">
        <v>0.33</v>
      </c>
      <c r="AH61" s="468">
        <v>0.35</v>
      </c>
      <c r="AI61" s="466">
        <v>0.51</v>
      </c>
      <c r="AJ61" s="466">
        <v>-4</v>
      </c>
      <c r="AK61" s="466">
        <v>2.2999999999999998</v>
      </c>
      <c r="AL61" s="524">
        <v>24</v>
      </c>
      <c r="AM61" s="524">
        <v>24</v>
      </c>
    </row>
    <row r="62" spans="1:39" ht="25" customHeight="1" outlineLevel="1">
      <c r="A62" s="476" t="s">
        <v>978</v>
      </c>
      <c r="B62" s="466">
        <v>10</v>
      </c>
      <c r="C62" s="466">
        <v>-10</v>
      </c>
      <c r="D62" s="466">
        <v>-12</v>
      </c>
      <c r="E62" s="466">
        <v>23</v>
      </c>
      <c r="F62" s="466">
        <v>17</v>
      </c>
      <c r="G62" s="468">
        <v>28</v>
      </c>
      <c r="H62" s="468">
        <v>22</v>
      </c>
      <c r="I62" s="466">
        <v>3400</v>
      </c>
      <c r="J62" s="466">
        <v>2510</v>
      </c>
      <c r="K62" s="472">
        <f t="shared" si="0"/>
        <v>2900</v>
      </c>
      <c r="L62" s="472">
        <v>666</v>
      </c>
      <c r="M62" s="472">
        <v>666</v>
      </c>
      <c r="N62" s="472">
        <v>666</v>
      </c>
      <c r="O62" s="472">
        <v>666</v>
      </c>
      <c r="P62" s="466">
        <v>13</v>
      </c>
      <c r="Q62" s="468">
        <v>16</v>
      </c>
      <c r="R62" s="466">
        <v>260</v>
      </c>
      <c r="S62" s="468">
        <v>327</v>
      </c>
      <c r="T62" s="466">
        <v>4150</v>
      </c>
      <c r="U62" s="468">
        <v>4830</v>
      </c>
      <c r="V62" s="468">
        <v>5.4</v>
      </c>
      <c r="W62" s="466">
        <v>4300</v>
      </c>
      <c r="X62" s="468">
        <v>4460</v>
      </c>
      <c r="Y62" s="466">
        <v>350</v>
      </c>
      <c r="Z62" s="468">
        <v>380</v>
      </c>
      <c r="AA62" s="466">
        <v>3.9</v>
      </c>
      <c r="AB62" s="466">
        <v>0.8</v>
      </c>
      <c r="AC62" s="466">
        <v>6.2</v>
      </c>
      <c r="AD62" s="466">
        <v>1.3</v>
      </c>
      <c r="AE62" s="466">
        <v>0.44</v>
      </c>
      <c r="AF62" s="468">
        <v>0.48</v>
      </c>
      <c r="AG62" s="466">
        <v>0.59</v>
      </c>
      <c r="AH62" s="468">
        <v>0.65</v>
      </c>
      <c r="AI62" s="466">
        <v>0.92</v>
      </c>
      <c r="AJ62" s="466">
        <v>-3</v>
      </c>
      <c r="AK62" s="466">
        <v>2.1</v>
      </c>
      <c r="AL62" s="524">
        <v>22</v>
      </c>
      <c r="AM62" s="524">
        <v>22</v>
      </c>
    </row>
    <row r="63" spans="1:39" ht="25" customHeight="1" outlineLevel="1">
      <c r="A63" s="476" t="s">
        <v>979</v>
      </c>
      <c r="B63" s="466">
        <v>285</v>
      </c>
      <c r="C63" s="466">
        <v>-14</v>
      </c>
      <c r="D63" s="466">
        <v>-17</v>
      </c>
      <c r="E63" s="466">
        <v>35</v>
      </c>
      <c r="F63" s="466">
        <v>21</v>
      </c>
      <c r="G63" s="468">
        <v>40</v>
      </c>
      <c r="H63" s="468">
        <v>25</v>
      </c>
      <c r="I63" s="466">
        <v>3100</v>
      </c>
      <c r="J63" s="466">
        <v>2220</v>
      </c>
      <c r="K63" s="472">
        <f t="shared" si="0"/>
        <v>2600</v>
      </c>
      <c r="L63" s="472">
        <v>666</v>
      </c>
      <c r="M63" s="472">
        <v>666</v>
      </c>
      <c r="N63" s="472">
        <v>666</v>
      </c>
      <c r="O63" s="472">
        <v>666</v>
      </c>
      <c r="P63" s="466">
        <v>10</v>
      </c>
      <c r="Q63" s="468">
        <v>13</v>
      </c>
      <c r="R63" s="466">
        <v>48</v>
      </c>
      <c r="S63" s="468">
        <v>61</v>
      </c>
      <c r="T63" s="466">
        <v>275</v>
      </c>
      <c r="U63" s="468">
        <v>420</v>
      </c>
      <c r="V63" s="468">
        <v>0.3</v>
      </c>
      <c r="W63" s="466">
        <v>310</v>
      </c>
      <c r="X63" s="468">
        <v>380</v>
      </c>
      <c r="Y63" s="466">
        <v>60</v>
      </c>
      <c r="Z63" s="468">
        <v>80</v>
      </c>
      <c r="AA63" s="466">
        <v>1.1000000000000001</v>
      </c>
      <c r="AB63" s="466">
        <v>0.1</v>
      </c>
      <c r="AC63" s="466">
        <v>1.6</v>
      </c>
      <c r="AD63" s="466">
        <v>0.2</v>
      </c>
      <c r="AE63" s="466">
        <v>0.3</v>
      </c>
      <c r="AF63" s="468">
        <v>0.32</v>
      </c>
      <c r="AG63" s="466">
        <v>0.4</v>
      </c>
      <c r="AH63" s="468">
        <v>0.42</v>
      </c>
      <c r="AI63" s="466">
        <v>0.62</v>
      </c>
      <c r="AJ63" s="466">
        <v>-4</v>
      </c>
      <c r="AK63" s="466">
        <v>1.8</v>
      </c>
      <c r="AL63" s="524">
        <v>25</v>
      </c>
      <c r="AM63" s="524">
        <v>25</v>
      </c>
    </row>
    <row r="64" spans="1:39" ht="25" customHeight="1" outlineLevel="1">
      <c r="A64" s="476" t="s">
        <v>980</v>
      </c>
      <c r="B64" s="466">
        <v>40</v>
      </c>
      <c r="C64" s="466">
        <v>-6</v>
      </c>
      <c r="D64" s="466">
        <v>-8</v>
      </c>
      <c r="E64" s="466">
        <v>26</v>
      </c>
      <c r="F64" s="466">
        <v>19</v>
      </c>
      <c r="G64" s="468">
        <v>32</v>
      </c>
      <c r="H64" s="468">
        <v>24</v>
      </c>
      <c r="I64" s="466">
        <v>2990</v>
      </c>
      <c r="J64" s="466">
        <v>2320</v>
      </c>
      <c r="K64" s="472">
        <f t="shared" si="0"/>
        <v>2490</v>
      </c>
      <c r="L64" s="472">
        <v>666</v>
      </c>
      <c r="M64" s="472">
        <v>666</v>
      </c>
      <c r="N64" s="472">
        <v>666</v>
      </c>
      <c r="O64" s="472">
        <v>666</v>
      </c>
      <c r="P64" s="466">
        <v>10</v>
      </c>
      <c r="Q64" s="468">
        <v>12</v>
      </c>
      <c r="R64" s="466">
        <v>91</v>
      </c>
      <c r="S64" s="468">
        <v>113</v>
      </c>
      <c r="T64" s="466">
        <v>1200</v>
      </c>
      <c r="U64" s="468">
        <v>1350</v>
      </c>
      <c r="V64" s="468">
        <v>1.4</v>
      </c>
      <c r="W64" s="466">
        <v>1250</v>
      </c>
      <c r="X64" s="468">
        <v>1340</v>
      </c>
      <c r="Y64" s="466">
        <v>200</v>
      </c>
      <c r="Z64" s="468">
        <v>220</v>
      </c>
      <c r="AA64" s="466">
        <v>2</v>
      </c>
      <c r="AB64" s="466">
        <v>0.4</v>
      </c>
      <c r="AC64" s="466">
        <v>3.2</v>
      </c>
      <c r="AD64" s="466">
        <v>0.7</v>
      </c>
      <c r="AE64" s="466">
        <v>0.4</v>
      </c>
      <c r="AF64" s="468">
        <v>0.44</v>
      </c>
      <c r="AG64" s="466">
        <v>0.48</v>
      </c>
      <c r="AH64" s="468">
        <v>0.53</v>
      </c>
      <c r="AI64" s="466">
        <v>0.66</v>
      </c>
      <c r="AJ64" s="466">
        <v>-2</v>
      </c>
      <c r="AK64" s="466">
        <v>2</v>
      </c>
      <c r="AL64" s="524">
        <v>24</v>
      </c>
      <c r="AM64" s="524">
        <v>24</v>
      </c>
    </row>
    <row r="65" spans="1:39" ht="25" customHeight="1" outlineLevel="1">
      <c r="A65" s="476" t="s">
        <v>981</v>
      </c>
      <c r="B65" s="466">
        <v>350</v>
      </c>
      <c r="C65" s="466">
        <v>-15</v>
      </c>
      <c r="D65" s="466">
        <v>-17</v>
      </c>
      <c r="E65" s="466">
        <v>33</v>
      </c>
      <c r="F65" s="466">
        <v>20</v>
      </c>
      <c r="G65" s="468">
        <v>38</v>
      </c>
      <c r="H65" s="468">
        <v>24</v>
      </c>
      <c r="I65" s="466">
        <v>3350</v>
      </c>
      <c r="J65" s="466">
        <v>2460</v>
      </c>
      <c r="K65" s="472">
        <f t="shared" si="0"/>
        <v>2850</v>
      </c>
      <c r="L65" s="472">
        <v>666</v>
      </c>
      <c r="M65" s="472">
        <v>666</v>
      </c>
      <c r="N65" s="472">
        <v>666</v>
      </c>
      <c r="O65" s="472">
        <v>666</v>
      </c>
      <c r="P65" s="466">
        <v>10</v>
      </c>
      <c r="Q65" s="468">
        <v>13</v>
      </c>
      <c r="R65" s="466">
        <v>48</v>
      </c>
      <c r="S65" s="468">
        <v>61</v>
      </c>
      <c r="T65" s="466">
        <v>275</v>
      </c>
      <c r="U65" s="468">
        <v>420</v>
      </c>
      <c r="V65" s="468">
        <v>0.3</v>
      </c>
      <c r="W65" s="466">
        <v>300</v>
      </c>
      <c r="X65" s="468">
        <v>370</v>
      </c>
      <c r="Y65" s="466">
        <v>60</v>
      </c>
      <c r="Z65" s="468">
        <v>90</v>
      </c>
      <c r="AA65" s="466">
        <v>1.3</v>
      </c>
      <c r="AB65" s="466">
        <v>0.1</v>
      </c>
      <c r="AC65" s="466">
        <v>1.9</v>
      </c>
      <c r="AD65" s="466">
        <v>0.2</v>
      </c>
      <c r="AE65" s="466">
        <v>0.3</v>
      </c>
      <c r="AF65" s="468">
        <v>0.32</v>
      </c>
      <c r="AG65" s="466">
        <v>0.4</v>
      </c>
      <c r="AH65" s="468">
        <v>0.42</v>
      </c>
      <c r="AI65" s="466">
        <v>0.62</v>
      </c>
      <c r="AJ65" s="466">
        <v>-4</v>
      </c>
      <c r="AK65" s="466">
        <v>3.4</v>
      </c>
      <c r="AL65" s="524">
        <v>24</v>
      </c>
      <c r="AM65" s="524">
        <v>24</v>
      </c>
    </row>
    <row r="66" spans="1:39" ht="25" customHeight="1" outlineLevel="1">
      <c r="A66" s="476" t="s">
        <v>982</v>
      </c>
      <c r="B66" s="466">
        <v>15</v>
      </c>
      <c r="C66" s="466">
        <v>-5</v>
      </c>
      <c r="D66" s="466">
        <v>-8</v>
      </c>
      <c r="E66" s="466">
        <v>31</v>
      </c>
      <c r="F66" s="466">
        <v>19</v>
      </c>
      <c r="G66" s="468">
        <v>37</v>
      </c>
      <c r="H66" s="468">
        <v>24</v>
      </c>
      <c r="I66" s="466">
        <v>3100</v>
      </c>
      <c r="J66" s="466">
        <v>2220</v>
      </c>
      <c r="K66" s="472">
        <f t="shared" si="0"/>
        <v>2600</v>
      </c>
      <c r="L66" s="472">
        <v>666</v>
      </c>
      <c r="M66" s="472">
        <v>666</v>
      </c>
      <c r="N66" s="472">
        <v>666</v>
      </c>
      <c r="O66" s="472">
        <v>666</v>
      </c>
      <c r="P66" s="466">
        <v>10</v>
      </c>
      <c r="Q66" s="468">
        <v>12</v>
      </c>
      <c r="R66" s="466">
        <v>161</v>
      </c>
      <c r="S66" s="468">
        <v>199</v>
      </c>
      <c r="T66" s="466">
        <v>1900</v>
      </c>
      <c r="U66" s="468">
        <v>2120</v>
      </c>
      <c r="V66" s="468">
        <v>2.1</v>
      </c>
      <c r="W66" s="466">
        <v>2000</v>
      </c>
      <c r="X66" s="468">
        <v>2140</v>
      </c>
      <c r="Y66" s="466">
        <v>240</v>
      </c>
      <c r="Z66" s="468">
        <v>260</v>
      </c>
      <c r="AA66" s="466">
        <v>2.6</v>
      </c>
      <c r="AB66" s="466">
        <v>0.4</v>
      </c>
      <c r="AC66" s="466">
        <v>4.2</v>
      </c>
      <c r="AD66" s="466">
        <v>0.6</v>
      </c>
      <c r="AE66" s="466">
        <v>0.24</v>
      </c>
      <c r="AF66" s="468">
        <v>0.26</v>
      </c>
      <c r="AG66" s="466">
        <v>0.32</v>
      </c>
      <c r="AH66" s="468">
        <v>0.35</v>
      </c>
      <c r="AI66" s="466">
        <v>0.5</v>
      </c>
      <c r="AJ66" s="466">
        <v>-2</v>
      </c>
      <c r="AK66" s="466">
        <v>1</v>
      </c>
      <c r="AL66" s="524">
        <v>24</v>
      </c>
      <c r="AM66" s="524">
        <v>24</v>
      </c>
    </row>
    <row r="67" spans="1:39" ht="25" customHeight="1" outlineLevel="1">
      <c r="A67" s="476" t="s">
        <v>984</v>
      </c>
      <c r="B67" s="466">
        <v>25</v>
      </c>
      <c r="C67" s="466">
        <v>-3</v>
      </c>
      <c r="D67" s="466">
        <v>-6</v>
      </c>
      <c r="E67" s="466">
        <v>26</v>
      </c>
      <c r="F67" s="466">
        <v>17</v>
      </c>
      <c r="G67" s="468">
        <v>31</v>
      </c>
      <c r="H67" s="468">
        <v>21</v>
      </c>
      <c r="I67" s="466">
        <v>3010</v>
      </c>
      <c r="J67" s="466">
        <v>2000</v>
      </c>
      <c r="K67" s="472">
        <f t="shared" si="0"/>
        <v>2510</v>
      </c>
      <c r="L67" s="472">
        <v>666</v>
      </c>
      <c r="M67" s="472">
        <v>666</v>
      </c>
      <c r="N67" s="472">
        <v>666</v>
      </c>
      <c r="O67" s="472">
        <v>666</v>
      </c>
      <c r="P67" s="466">
        <v>13</v>
      </c>
      <c r="Q67" s="468">
        <v>16</v>
      </c>
      <c r="R67" s="466">
        <v>200</v>
      </c>
      <c r="S67" s="468">
        <v>244</v>
      </c>
      <c r="T67" s="466">
        <v>3300</v>
      </c>
      <c r="U67" s="468">
        <v>3540</v>
      </c>
      <c r="V67" s="468">
        <v>3.6</v>
      </c>
      <c r="W67" s="466">
        <v>3340</v>
      </c>
      <c r="X67" s="468">
        <v>3500</v>
      </c>
      <c r="Y67" s="466">
        <v>220</v>
      </c>
      <c r="Z67" s="468">
        <v>230</v>
      </c>
      <c r="AA67" s="466">
        <v>1.1000000000000001</v>
      </c>
      <c r="AB67" s="466">
        <v>0.4</v>
      </c>
      <c r="AC67" s="466">
        <v>1.8</v>
      </c>
      <c r="AD67" s="466">
        <v>0.7</v>
      </c>
      <c r="AE67" s="466">
        <v>0.24</v>
      </c>
      <c r="AF67" s="468">
        <v>0.26</v>
      </c>
      <c r="AG67" s="466">
        <v>0.32</v>
      </c>
      <c r="AH67" s="468">
        <v>0.35</v>
      </c>
      <c r="AI67" s="466">
        <v>0.5</v>
      </c>
      <c r="AJ67" s="466">
        <v>-2</v>
      </c>
      <c r="AK67" s="466">
        <v>1.5</v>
      </c>
      <c r="AL67" s="524">
        <v>21</v>
      </c>
      <c r="AM67" s="524">
        <v>21</v>
      </c>
    </row>
    <row r="68" spans="1:39" ht="25" customHeight="1" outlineLevel="1">
      <c r="A68" s="476" t="s">
        <v>986</v>
      </c>
      <c r="B68" s="466">
        <v>5</v>
      </c>
      <c r="C68" s="466">
        <v>-5</v>
      </c>
      <c r="D68" s="466">
        <v>-7</v>
      </c>
      <c r="E68" s="466">
        <v>20</v>
      </c>
      <c r="F68" s="466">
        <v>16</v>
      </c>
      <c r="G68" s="468">
        <v>25</v>
      </c>
      <c r="H68" s="468">
        <v>20</v>
      </c>
      <c r="I68" s="466">
        <v>3440</v>
      </c>
      <c r="J68" s="466">
        <v>2370</v>
      </c>
      <c r="K68" s="472">
        <f t="shared" si="0"/>
        <v>2940</v>
      </c>
      <c r="L68" s="472">
        <v>666</v>
      </c>
      <c r="M68" s="472">
        <v>666</v>
      </c>
      <c r="N68" s="472">
        <v>666</v>
      </c>
      <c r="O68" s="472">
        <v>666</v>
      </c>
      <c r="P68" s="466">
        <v>13</v>
      </c>
      <c r="Q68" s="468">
        <v>16</v>
      </c>
      <c r="R68" s="466">
        <v>150</v>
      </c>
      <c r="S68" s="468">
        <v>184</v>
      </c>
      <c r="T68" s="466">
        <v>1775</v>
      </c>
      <c r="U68" s="468">
        <v>1950</v>
      </c>
      <c r="V68" s="468">
        <v>2</v>
      </c>
      <c r="W68" s="466">
        <v>1850</v>
      </c>
      <c r="X68" s="468">
        <v>1930</v>
      </c>
      <c r="Y68" s="466">
        <v>220</v>
      </c>
      <c r="Z68" s="468">
        <v>240</v>
      </c>
      <c r="AA68" s="466">
        <v>0.9</v>
      </c>
      <c r="AB68" s="466">
        <v>0.4</v>
      </c>
      <c r="AC68" s="466">
        <v>1.5</v>
      </c>
      <c r="AD68" s="466">
        <v>0.7</v>
      </c>
      <c r="AE68" s="466">
        <v>0.36</v>
      </c>
      <c r="AF68" s="468">
        <v>0.4</v>
      </c>
      <c r="AG68" s="466">
        <v>0.48</v>
      </c>
      <c r="AH68" s="468">
        <v>0.53</v>
      </c>
      <c r="AI68" s="466">
        <v>0.75</v>
      </c>
      <c r="AJ68" s="466">
        <v>-2</v>
      </c>
      <c r="AK68" s="466">
        <v>2.8</v>
      </c>
      <c r="AL68" s="524">
        <v>20</v>
      </c>
      <c r="AM68" s="524">
        <v>20</v>
      </c>
    </row>
    <row r="69" spans="1:39" ht="25" customHeight="1" outlineLevel="1">
      <c r="A69" s="476" t="s">
        <v>987</v>
      </c>
      <c r="B69" s="466">
        <v>5</v>
      </c>
      <c r="C69" s="466">
        <v>-5</v>
      </c>
      <c r="D69" s="466">
        <v>-7</v>
      </c>
      <c r="E69" s="466">
        <v>22</v>
      </c>
      <c r="F69" s="466">
        <v>17</v>
      </c>
      <c r="G69" s="468">
        <v>27</v>
      </c>
      <c r="H69" s="468">
        <v>21</v>
      </c>
      <c r="I69" s="466">
        <v>3410</v>
      </c>
      <c r="J69" s="466">
        <v>2350</v>
      </c>
      <c r="K69" s="472">
        <f t="shared" si="0"/>
        <v>2910</v>
      </c>
      <c r="L69" s="472">
        <v>666</v>
      </c>
      <c r="M69" s="472">
        <v>666</v>
      </c>
      <c r="N69" s="472">
        <v>666</v>
      </c>
      <c r="O69" s="472">
        <v>666</v>
      </c>
      <c r="P69" s="466">
        <v>13</v>
      </c>
      <c r="Q69" s="468">
        <v>16</v>
      </c>
      <c r="R69" s="466">
        <v>128</v>
      </c>
      <c r="S69" s="468">
        <v>157</v>
      </c>
      <c r="T69" s="466">
        <v>1750</v>
      </c>
      <c r="U69" s="468">
        <v>1930</v>
      </c>
      <c r="V69" s="468">
        <v>2</v>
      </c>
      <c r="W69" s="466">
        <v>1850</v>
      </c>
      <c r="X69" s="468">
        <v>1950</v>
      </c>
      <c r="Y69" s="466">
        <v>260</v>
      </c>
      <c r="Z69" s="468">
        <v>280</v>
      </c>
      <c r="AA69" s="466">
        <v>1.1000000000000001</v>
      </c>
      <c r="AB69" s="466">
        <v>0.4</v>
      </c>
      <c r="AC69" s="466">
        <v>1.8</v>
      </c>
      <c r="AD69" s="466">
        <v>0.7</v>
      </c>
      <c r="AE69" s="466">
        <v>0.36</v>
      </c>
      <c r="AF69" s="468">
        <v>0.4</v>
      </c>
      <c r="AG69" s="466">
        <v>0.48</v>
      </c>
      <c r="AH69" s="468">
        <v>0.53</v>
      </c>
      <c r="AI69" s="466">
        <v>0.75</v>
      </c>
      <c r="AJ69" s="466">
        <v>-2</v>
      </c>
      <c r="AK69" s="466">
        <v>2.8</v>
      </c>
      <c r="AL69" s="524">
        <v>21</v>
      </c>
      <c r="AM69" s="524">
        <v>21</v>
      </c>
    </row>
    <row r="70" spans="1:39" ht="25" customHeight="1" outlineLevel="1">
      <c r="A70" s="476" t="s">
        <v>988</v>
      </c>
      <c r="B70" s="466">
        <v>20</v>
      </c>
      <c r="C70" s="466">
        <v>-3</v>
      </c>
      <c r="D70" s="466">
        <v>-5</v>
      </c>
      <c r="E70" s="466">
        <v>24</v>
      </c>
      <c r="F70" s="466">
        <v>17</v>
      </c>
      <c r="G70" s="468">
        <v>29</v>
      </c>
      <c r="H70" s="468">
        <v>21</v>
      </c>
      <c r="I70" s="466">
        <v>2900</v>
      </c>
      <c r="J70" s="466">
        <v>1900</v>
      </c>
      <c r="K70" s="472">
        <f t="shared" si="0"/>
        <v>2400</v>
      </c>
      <c r="L70" s="472">
        <v>666</v>
      </c>
      <c r="M70" s="472">
        <v>666</v>
      </c>
      <c r="N70" s="472">
        <v>666</v>
      </c>
      <c r="O70" s="472">
        <v>666</v>
      </c>
      <c r="P70" s="466">
        <v>13</v>
      </c>
      <c r="Q70" s="468">
        <v>16</v>
      </c>
      <c r="R70" s="466">
        <v>200</v>
      </c>
      <c r="S70" s="468">
        <v>244</v>
      </c>
      <c r="T70" s="466">
        <v>3600</v>
      </c>
      <c r="U70" s="468">
        <v>3860</v>
      </c>
      <c r="V70" s="468">
        <v>3.9</v>
      </c>
      <c r="W70" s="466">
        <v>3675</v>
      </c>
      <c r="X70" s="468">
        <v>3860</v>
      </c>
      <c r="Y70" s="466">
        <v>270</v>
      </c>
      <c r="Z70" s="468">
        <v>290</v>
      </c>
      <c r="AA70" s="466">
        <v>1.1000000000000001</v>
      </c>
      <c r="AB70" s="466">
        <v>0.4</v>
      </c>
      <c r="AC70" s="466">
        <v>1.8</v>
      </c>
      <c r="AD70" s="466">
        <v>0.7</v>
      </c>
      <c r="AE70" s="466">
        <v>0.42</v>
      </c>
      <c r="AF70" s="468">
        <v>0.46</v>
      </c>
      <c r="AG70" s="466">
        <v>0.52</v>
      </c>
      <c r="AH70" s="468">
        <v>0.56999999999999995</v>
      </c>
      <c r="AI70" s="466">
        <v>0.75</v>
      </c>
      <c r="AJ70" s="466">
        <v>-2</v>
      </c>
      <c r="AK70" s="466">
        <v>2.5</v>
      </c>
      <c r="AL70" s="524">
        <v>21</v>
      </c>
      <c r="AM70" s="524">
        <v>21</v>
      </c>
    </row>
    <row r="71" spans="1:39" ht="25" customHeight="1" outlineLevel="1">
      <c r="A71" s="476" t="s">
        <v>989</v>
      </c>
      <c r="B71" s="466">
        <v>10</v>
      </c>
      <c r="C71" s="466">
        <v>-7</v>
      </c>
      <c r="D71" s="466">
        <v>-9</v>
      </c>
      <c r="E71" s="466">
        <v>26</v>
      </c>
      <c r="F71" s="466">
        <v>18</v>
      </c>
      <c r="G71" s="468">
        <v>32</v>
      </c>
      <c r="H71" s="468">
        <v>23</v>
      </c>
      <c r="I71" s="466">
        <v>3100</v>
      </c>
      <c r="J71" s="466">
        <v>2220</v>
      </c>
      <c r="K71" s="472">
        <f t="shared" ref="K71:K133" si="1">I71-500</f>
        <v>2600</v>
      </c>
      <c r="L71" s="472">
        <v>666</v>
      </c>
      <c r="M71" s="472">
        <v>666</v>
      </c>
      <c r="N71" s="472">
        <v>666</v>
      </c>
      <c r="O71" s="472">
        <v>666</v>
      </c>
      <c r="P71" s="466">
        <v>10</v>
      </c>
      <c r="Q71" s="468">
        <v>13</v>
      </c>
      <c r="R71" s="466">
        <v>80</v>
      </c>
      <c r="S71" s="468">
        <v>101</v>
      </c>
      <c r="T71" s="466">
        <v>1150</v>
      </c>
      <c r="U71" s="468">
        <v>1360</v>
      </c>
      <c r="V71" s="468">
        <v>1.5</v>
      </c>
      <c r="W71" s="466">
        <v>1200</v>
      </c>
      <c r="X71" s="468">
        <v>1270</v>
      </c>
      <c r="Y71" s="466">
        <v>220</v>
      </c>
      <c r="Z71" s="468">
        <v>250</v>
      </c>
      <c r="AA71" s="466">
        <v>1.7</v>
      </c>
      <c r="AB71" s="466">
        <v>0.4</v>
      </c>
      <c r="AC71" s="466">
        <v>2.7</v>
      </c>
      <c r="AD71" s="466">
        <v>0.6</v>
      </c>
      <c r="AE71" s="466">
        <v>0.39</v>
      </c>
      <c r="AF71" s="468">
        <v>0.43</v>
      </c>
      <c r="AG71" s="466">
        <v>0.48</v>
      </c>
      <c r="AH71" s="468">
        <v>0.53</v>
      </c>
      <c r="AI71" s="466">
        <v>0.68</v>
      </c>
      <c r="AJ71" s="466">
        <v>-2</v>
      </c>
      <c r="AK71" s="466">
        <v>1.2</v>
      </c>
      <c r="AL71" s="524">
        <v>23</v>
      </c>
      <c r="AM71" s="524">
        <v>23</v>
      </c>
    </row>
    <row r="72" spans="1:39" ht="25" customHeight="1" outlineLevel="1">
      <c r="A72" s="476" t="s">
        <v>990</v>
      </c>
      <c r="B72" s="466">
        <v>580</v>
      </c>
      <c r="C72" s="466">
        <v>-32</v>
      </c>
      <c r="D72" s="466">
        <v>-36</v>
      </c>
      <c r="E72" s="466">
        <v>28</v>
      </c>
      <c r="F72" s="466">
        <v>18</v>
      </c>
      <c r="G72" s="468">
        <v>34</v>
      </c>
      <c r="H72" s="468">
        <v>22</v>
      </c>
      <c r="I72" s="466">
        <v>4720</v>
      </c>
      <c r="J72" s="466">
        <v>3750</v>
      </c>
      <c r="K72" s="472">
        <f t="shared" si="1"/>
        <v>4220</v>
      </c>
      <c r="L72" s="472">
        <v>666</v>
      </c>
      <c r="M72" s="472">
        <v>666</v>
      </c>
      <c r="N72" s="472">
        <v>666</v>
      </c>
      <c r="O72" s="472">
        <v>666</v>
      </c>
      <c r="P72" s="466">
        <v>15</v>
      </c>
      <c r="Q72" s="468">
        <v>19</v>
      </c>
      <c r="R72" s="466">
        <v>54</v>
      </c>
      <c r="S72" s="468">
        <v>68</v>
      </c>
      <c r="T72" s="466">
        <v>425</v>
      </c>
      <c r="U72" s="468">
        <v>600</v>
      </c>
      <c r="V72" s="468">
        <v>0.7</v>
      </c>
      <c r="W72" s="466">
        <v>600</v>
      </c>
      <c r="X72" s="468">
        <v>710</v>
      </c>
      <c r="Y72" s="466">
        <v>80</v>
      </c>
      <c r="Z72" s="468">
        <v>100</v>
      </c>
      <c r="AA72" s="466">
        <v>3.4</v>
      </c>
      <c r="AB72" s="466">
        <v>0.2</v>
      </c>
      <c r="AC72" s="466">
        <v>4.8</v>
      </c>
      <c r="AD72" s="466">
        <v>0.3</v>
      </c>
      <c r="AE72" s="466">
        <v>0.28000000000000003</v>
      </c>
      <c r="AF72" s="468">
        <v>0.31</v>
      </c>
      <c r="AG72" s="466">
        <v>0.37</v>
      </c>
      <c r="AH72" s="468">
        <v>0.41</v>
      </c>
      <c r="AI72" s="466">
        <v>0.63</v>
      </c>
      <c r="AJ72" s="466">
        <v>-8</v>
      </c>
      <c r="AK72" s="466">
        <v>3</v>
      </c>
      <c r="AL72" s="524">
        <v>22</v>
      </c>
      <c r="AM72" s="524">
        <v>22</v>
      </c>
    </row>
    <row r="73" spans="1:39" ht="25" customHeight="1" outlineLevel="1">
      <c r="A73" s="476" t="s">
        <v>991</v>
      </c>
      <c r="B73" s="466">
        <v>20</v>
      </c>
      <c r="C73" s="466">
        <v>-13</v>
      </c>
      <c r="D73" s="466">
        <v>-15</v>
      </c>
      <c r="E73" s="466">
        <v>19</v>
      </c>
      <c r="F73" s="466">
        <v>15</v>
      </c>
      <c r="G73" s="468">
        <v>24</v>
      </c>
      <c r="H73" s="468">
        <v>19</v>
      </c>
      <c r="I73" s="466">
        <v>3900</v>
      </c>
      <c r="J73" s="466">
        <v>2770</v>
      </c>
      <c r="K73" s="472">
        <f t="shared" si="1"/>
        <v>3400</v>
      </c>
      <c r="L73" s="472">
        <v>666</v>
      </c>
      <c r="M73" s="472">
        <v>666</v>
      </c>
      <c r="N73" s="472">
        <v>666</v>
      </c>
      <c r="O73" s="472">
        <v>666</v>
      </c>
      <c r="P73" s="466">
        <v>13</v>
      </c>
      <c r="Q73" s="468">
        <v>16</v>
      </c>
      <c r="R73" s="466">
        <v>160</v>
      </c>
      <c r="S73" s="468">
        <v>201</v>
      </c>
      <c r="T73" s="466">
        <v>2750</v>
      </c>
      <c r="U73" s="468">
        <v>3160</v>
      </c>
      <c r="V73" s="468">
        <v>3.1</v>
      </c>
      <c r="W73" s="466">
        <v>2900</v>
      </c>
      <c r="X73" s="468">
        <v>3070</v>
      </c>
      <c r="Y73" s="466">
        <v>240</v>
      </c>
      <c r="Z73" s="468">
        <v>260</v>
      </c>
      <c r="AA73" s="466">
        <v>1.9</v>
      </c>
      <c r="AB73" s="466">
        <v>0.4</v>
      </c>
      <c r="AC73" s="466">
        <v>2.9</v>
      </c>
      <c r="AD73" s="466">
        <v>0.6</v>
      </c>
      <c r="AE73" s="466">
        <v>0.43</v>
      </c>
      <c r="AF73" s="468">
        <v>0.47</v>
      </c>
      <c r="AG73" s="466">
        <v>0.54</v>
      </c>
      <c r="AH73" s="468">
        <v>0.59</v>
      </c>
      <c r="AI73" s="466">
        <v>0.78</v>
      </c>
      <c r="AJ73" s="466">
        <v>-3</v>
      </c>
      <c r="AK73" s="466">
        <v>2.5</v>
      </c>
      <c r="AL73" s="524">
        <v>19</v>
      </c>
      <c r="AM73" s="524">
        <v>19</v>
      </c>
    </row>
    <row r="74" spans="1:39" ht="25" customHeight="1" outlineLevel="1">
      <c r="A74" s="476" t="s">
        <v>202</v>
      </c>
      <c r="B74" s="466">
        <v>655</v>
      </c>
      <c r="C74" s="466">
        <v>-24</v>
      </c>
      <c r="D74" s="466">
        <v>-29</v>
      </c>
      <c r="E74" s="466">
        <v>33</v>
      </c>
      <c r="F74" s="466">
        <v>19</v>
      </c>
      <c r="G74" s="468">
        <v>39</v>
      </c>
      <c r="H74" s="468">
        <v>24</v>
      </c>
      <c r="I74" s="466">
        <v>4250</v>
      </c>
      <c r="J74" s="466">
        <v>3300</v>
      </c>
      <c r="K74" s="472">
        <f t="shared" si="1"/>
        <v>3750</v>
      </c>
      <c r="L74" s="472">
        <v>666</v>
      </c>
      <c r="M74" s="472">
        <v>666</v>
      </c>
      <c r="N74" s="472">
        <v>666</v>
      </c>
      <c r="O74" s="472">
        <v>666</v>
      </c>
      <c r="P74" s="466">
        <v>10</v>
      </c>
      <c r="Q74" s="468">
        <v>13</v>
      </c>
      <c r="R74" s="466">
        <v>43</v>
      </c>
      <c r="S74" s="468">
        <v>54</v>
      </c>
      <c r="T74" s="466">
        <v>235</v>
      </c>
      <c r="U74" s="468">
        <v>370</v>
      </c>
      <c r="V74" s="468">
        <v>0.4</v>
      </c>
      <c r="W74" s="466">
        <v>350</v>
      </c>
      <c r="X74" s="468">
        <v>400</v>
      </c>
      <c r="Y74" s="466">
        <v>80</v>
      </c>
      <c r="Z74" s="468">
        <v>110</v>
      </c>
      <c r="AA74" s="466">
        <v>2.9</v>
      </c>
      <c r="AB74" s="466">
        <v>0.6</v>
      </c>
      <c r="AC74" s="466">
        <v>4.3</v>
      </c>
      <c r="AD74" s="466">
        <v>0.9</v>
      </c>
      <c r="AE74" s="466">
        <v>0.27</v>
      </c>
      <c r="AF74" s="468">
        <v>0.3</v>
      </c>
      <c r="AG74" s="466">
        <v>0.36</v>
      </c>
      <c r="AH74" s="468">
        <v>0.4</v>
      </c>
      <c r="AI74" s="466">
        <v>0.59</v>
      </c>
      <c r="AJ74" s="466">
        <v>-6</v>
      </c>
      <c r="AK74" s="466">
        <v>1</v>
      </c>
      <c r="AL74" s="524">
        <v>24</v>
      </c>
      <c r="AM74" s="524">
        <v>24</v>
      </c>
    </row>
    <row r="75" spans="1:39" ht="25" customHeight="1" outlineLevel="1">
      <c r="A75" s="476" t="s">
        <v>992</v>
      </c>
      <c r="B75" s="466">
        <v>10</v>
      </c>
      <c r="C75" s="466">
        <v>-7</v>
      </c>
      <c r="D75" s="466">
        <v>-9</v>
      </c>
      <c r="E75" s="466">
        <v>27</v>
      </c>
      <c r="F75" s="466">
        <v>19</v>
      </c>
      <c r="G75" s="468">
        <v>33</v>
      </c>
      <c r="H75" s="468">
        <v>24</v>
      </c>
      <c r="I75" s="466">
        <v>2990</v>
      </c>
      <c r="J75" s="466">
        <v>2320</v>
      </c>
      <c r="K75" s="472">
        <f t="shared" si="1"/>
        <v>2490</v>
      </c>
      <c r="L75" s="472">
        <v>666</v>
      </c>
      <c r="M75" s="472">
        <v>666</v>
      </c>
      <c r="N75" s="472">
        <v>666</v>
      </c>
      <c r="O75" s="472">
        <v>666</v>
      </c>
      <c r="P75" s="466">
        <v>10</v>
      </c>
      <c r="Q75" s="468">
        <v>12</v>
      </c>
      <c r="R75" s="466">
        <v>96</v>
      </c>
      <c r="S75" s="468">
        <v>119</v>
      </c>
      <c r="T75" s="466">
        <v>1200</v>
      </c>
      <c r="U75" s="468">
        <v>1350</v>
      </c>
      <c r="V75" s="468">
        <v>1.4</v>
      </c>
      <c r="W75" s="466">
        <v>1250</v>
      </c>
      <c r="X75" s="468">
        <v>1340</v>
      </c>
      <c r="Y75" s="466">
        <v>200</v>
      </c>
      <c r="Z75" s="468">
        <v>220</v>
      </c>
      <c r="AA75" s="466">
        <v>2</v>
      </c>
      <c r="AB75" s="466">
        <v>0.4</v>
      </c>
      <c r="AC75" s="466">
        <v>3.3</v>
      </c>
      <c r="AD75" s="466">
        <v>0.7</v>
      </c>
      <c r="AE75" s="466">
        <v>0.41</v>
      </c>
      <c r="AF75" s="468">
        <v>0.45</v>
      </c>
      <c r="AG75" s="466">
        <v>0.48</v>
      </c>
      <c r="AH75" s="468">
        <v>0.53</v>
      </c>
      <c r="AI75" s="466">
        <v>0.65</v>
      </c>
      <c r="AJ75" s="466">
        <v>-2</v>
      </c>
      <c r="AK75" s="466">
        <v>2</v>
      </c>
      <c r="AL75" s="524">
        <v>24</v>
      </c>
      <c r="AM75" s="524">
        <v>24</v>
      </c>
    </row>
    <row r="76" spans="1:39" ht="25" customHeight="1" outlineLevel="1">
      <c r="A76" s="476" t="s">
        <v>993</v>
      </c>
      <c r="B76" s="466">
        <v>35</v>
      </c>
      <c r="C76" s="466">
        <v>-6</v>
      </c>
      <c r="D76" s="466">
        <v>-8</v>
      </c>
      <c r="E76" s="466">
        <v>21</v>
      </c>
      <c r="F76" s="466">
        <v>16</v>
      </c>
      <c r="G76" s="468">
        <v>25</v>
      </c>
      <c r="H76" s="468">
        <v>20</v>
      </c>
      <c r="I76" s="466">
        <v>3520</v>
      </c>
      <c r="J76" s="466">
        <v>2440</v>
      </c>
      <c r="K76" s="472">
        <f t="shared" si="1"/>
        <v>3020</v>
      </c>
      <c r="L76" s="472">
        <v>666</v>
      </c>
      <c r="M76" s="472">
        <v>666</v>
      </c>
      <c r="N76" s="472">
        <v>666</v>
      </c>
      <c r="O76" s="472">
        <v>666</v>
      </c>
      <c r="P76" s="466">
        <v>13</v>
      </c>
      <c r="Q76" s="468">
        <v>16</v>
      </c>
      <c r="R76" s="466">
        <v>110</v>
      </c>
      <c r="S76" s="468">
        <v>135</v>
      </c>
      <c r="T76" s="466">
        <v>1300</v>
      </c>
      <c r="U76" s="468">
        <v>1430</v>
      </c>
      <c r="V76" s="468">
        <v>1.6</v>
      </c>
      <c r="W76" s="466">
        <v>1350</v>
      </c>
      <c r="X76" s="468">
        <v>1460</v>
      </c>
      <c r="Y76" s="466">
        <v>360</v>
      </c>
      <c r="Z76" s="468">
        <v>390</v>
      </c>
      <c r="AA76" s="466">
        <v>1.8</v>
      </c>
      <c r="AB76" s="466">
        <v>0.4</v>
      </c>
      <c r="AC76" s="466">
        <v>2.9</v>
      </c>
      <c r="AD76" s="466">
        <v>0.6</v>
      </c>
      <c r="AE76" s="466">
        <v>0.5</v>
      </c>
      <c r="AF76" s="468">
        <v>0.55000000000000004</v>
      </c>
      <c r="AG76" s="466">
        <v>0.61</v>
      </c>
      <c r="AH76" s="468">
        <v>0.67</v>
      </c>
      <c r="AI76" s="466">
        <v>0.86</v>
      </c>
      <c r="AJ76" s="466">
        <v>-2</v>
      </c>
      <c r="AK76" s="466">
        <v>2</v>
      </c>
      <c r="AL76" s="524">
        <v>20</v>
      </c>
      <c r="AM76" s="524">
        <v>20</v>
      </c>
    </row>
    <row r="77" spans="1:39" ht="25" customHeight="1" outlineLevel="1">
      <c r="A77" s="476" t="s">
        <v>994</v>
      </c>
      <c r="B77" s="466">
        <v>475</v>
      </c>
      <c r="C77" s="466">
        <v>-31</v>
      </c>
      <c r="D77" s="466">
        <v>-33</v>
      </c>
      <c r="E77" s="466">
        <v>30</v>
      </c>
      <c r="F77" s="466">
        <v>17</v>
      </c>
      <c r="G77" s="468">
        <v>36</v>
      </c>
      <c r="H77" s="468">
        <v>21</v>
      </c>
      <c r="I77" s="466">
        <v>4650</v>
      </c>
      <c r="J77" s="466">
        <v>3680</v>
      </c>
      <c r="K77" s="472">
        <f t="shared" si="1"/>
        <v>4150</v>
      </c>
      <c r="L77" s="472">
        <v>666</v>
      </c>
      <c r="M77" s="472">
        <v>666</v>
      </c>
      <c r="N77" s="472">
        <v>666</v>
      </c>
      <c r="O77" s="472">
        <v>666</v>
      </c>
      <c r="P77" s="466">
        <v>10</v>
      </c>
      <c r="Q77" s="468">
        <v>13</v>
      </c>
      <c r="R77" s="466">
        <v>50</v>
      </c>
      <c r="S77" s="468">
        <v>63</v>
      </c>
      <c r="T77" s="466">
        <v>380</v>
      </c>
      <c r="U77" s="468">
        <v>550</v>
      </c>
      <c r="V77" s="468">
        <v>0.6</v>
      </c>
      <c r="W77" s="466">
        <v>525</v>
      </c>
      <c r="X77" s="468">
        <v>630</v>
      </c>
      <c r="Y77" s="466">
        <v>80</v>
      </c>
      <c r="Z77" s="468">
        <v>100</v>
      </c>
      <c r="AA77" s="466">
        <v>3</v>
      </c>
      <c r="AB77" s="466">
        <v>0.1</v>
      </c>
      <c r="AC77" s="466">
        <v>4.4000000000000004</v>
      </c>
      <c r="AD77" s="466">
        <v>0.2</v>
      </c>
      <c r="AE77" s="466">
        <v>0.24</v>
      </c>
      <c r="AF77" s="468">
        <v>0.26</v>
      </c>
      <c r="AG77" s="466">
        <v>0.31</v>
      </c>
      <c r="AH77" s="468">
        <v>0.34</v>
      </c>
      <c r="AI77" s="466">
        <v>0.51</v>
      </c>
      <c r="AJ77" s="466">
        <v>-7</v>
      </c>
      <c r="AK77" s="466">
        <v>1.8</v>
      </c>
      <c r="AL77" s="524">
        <v>21</v>
      </c>
      <c r="AM77" s="524">
        <v>21</v>
      </c>
    </row>
    <row r="78" spans="1:39" ht="25" customHeight="1" outlineLevel="1">
      <c r="A78" s="476" t="s">
        <v>995</v>
      </c>
      <c r="B78" s="466">
        <v>440</v>
      </c>
      <c r="C78" s="466">
        <v>-20</v>
      </c>
      <c r="D78" s="466">
        <v>-23</v>
      </c>
      <c r="E78" s="466">
        <v>31</v>
      </c>
      <c r="F78" s="466">
        <v>19</v>
      </c>
      <c r="G78" s="468">
        <v>36</v>
      </c>
      <c r="H78" s="468">
        <v>23</v>
      </c>
      <c r="I78" s="466">
        <v>4000</v>
      </c>
      <c r="J78" s="466">
        <v>3070</v>
      </c>
      <c r="K78" s="472">
        <f t="shared" si="1"/>
        <v>3500</v>
      </c>
      <c r="L78" s="472">
        <v>666</v>
      </c>
      <c r="M78" s="472">
        <v>666</v>
      </c>
      <c r="N78" s="472">
        <v>666</v>
      </c>
      <c r="O78" s="472">
        <v>666</v>
      </c>
      <c r="P78" s="466">
        <v>13</v>
      </c>
      <c r="Q78" s="468">
        <v>17</v>
      </c>
      <c r="R78" s="466">
        <v>55</v>
      </c>
      <c r="S78" s="468">
        <v>71</v>
      </c>
      <c r="T78" s="466">
        <v>625</v>
      </c>
      <c r="U78" s="468">
        <v>910</v>
      </c>
      <c r="V78" s="468">
        <v>0.9</v>
      </c>
      <c r="W78" s="466">
        <v>950</v>
      </c>
      <c r="X78" s="468">
        <v>1030</v>
      </c>
      <c r="Y78" s="466">
        <v>80</v>
      </c>
      <c r="Z78" s="468">
        <v>100</v>
      </c>
      <c r="AA78" s="466">
        <v>7.2</v>
      </c>
      <c r="AB78" s="466">
        <v>0.1</v>
      </c>
      <c r="AC78" s="466">
        <v>9.9</v>
      </c>
      <c r="AD78" s="466">
        <v>0.1</v>
      </c>
      <c r="AE78" s="466">
        <v>0.24</v>
      </c>
      <c r="AF78" s="468">
        <v>0.25</v>
      </c>
      <c r="AG78" s="466">
        <v>0.32</v>
      </c>
      <c r="AH78" s="468">
        <v>0.34</v>
      </c>
      <c r="AI78" s="466">
        <v>0.52</v>
      </c>
      <c r="AJ78" s="466">
        <v>-5</v>
      </c>
      <c r="AK78" s="466">
        <v>1.7</v>
      </c>
      <c r="AL78" s="524">
        <v>23</v>
      </c>
      <c r="AM78" s="524">
        <v>23</v>
      </c>
    </row>
    <row r="79" spans="1:39" ht="25" customHeight="1" outlineLevel="1">
      <c r="A79" s="476" t="s">
        <v>996</v>
      </c>
      <c r="B79" s="466">
        <v>425</v>
      </c>
      <c r="C79" s="466">
        <v>-19</v>
      </c>
      <c r="D79" s="466">
        <v>-24</v>
      </c>
      <c r="E79" s="466">
        <v>33</v>
      </c>
      <c r="F79" s="466">
        <v>21</v>
      </c>
      <c r="G79" s="468">
        <v>38</v>
      </c>
      <c r="H79" s="468">
        <v>25</v>
      </c>
      <c r="I79" s="466">
        <v>3650</v>
      </c>
      <c r="J79" s="466">
        <v>2740</v>
      </c>
      <c r="K79" s="472">
        <f t="shared" si="1"/>
        <v>3150</v>
      </c>
      <c r="L79" s="472">
        <v>666</v>
      </c>
      <c r="M79" s="472">
        <v>666</v>
      </c>
      <c r="N79" s="472">
        <v>666</v>
      </c>
      <c r="O79" s="472">
        <v>666</v>
      </c>
      <c r="P79" s="466">
        <v>13</v>
      </c>
      <c r="Q79" s="468">
        <v>17</v>
      </c>
      <c r="R79" s="466">
        <v>48</v>
      </c>
      <c r="S79" s="468">
        <v>61</v>
      </c>
      <c r="T79" s="466">
        <v>400</v>
      </c>
      <c r="U79" s="468">
        <v>580</v>
      </c>
      <c r="V79" s="468">
        <v>0.6</v>
      </c>
      <c r="W79" s="466">
        <v>525</v>
      </c>
      <c r="X79" s="468">
        <v>610</v>
      </c>
      <c r="Y79" s="466">
        <v>80</v>
      </c>
      <c r="Z79" s="468">
        <v>100</v>
      </c>
      <c r="AA79" s="466">
        <v>3.5</v>
      </c>
      <c r="AB79" s="466">
        <v>0.1</v>
      </c>
      <c r="AC79" s="466">
        <v>4.9000000000000004</v>
      </c>
      <c r="AD79" s="466">
        <v>0.1</v>
      </c>
      <c r="AE79" s="466">
        <v>0.28999999999999998</v>
      </c>
      <c r="AF79" s="468">
        <v>0.3</v>
      </c>
      <c r="AG79" s="466">
        <v>0.39</v>
      </c>
      <c r="AH79" s="468">
        <v>0.41</v>
      </c>
      <c r="AI79" s="466">
        <v>0.61</v>
      </c>
      <c r="AJ79" s="466">
        <v>-5</v>
      </c>
      <c r="AK79" s="466">
        <v>1.1000000000000001</v>
      </c>
      <c r="AL79" s="524">
        <v>25</v>
      </c>
      <c r="AM79" s="524">
        <v>25</v>
      </c>
    </row>
    <row r="80" spans="1:39" ht="25" customHeight="1" outlineLevel="1">
      <c r="A80" s="476" t="s">
        <v>997</v>
      </c>
      <c r="B80" s="466">
        <v>5</v>
      </c>
      <c r="C80" s="466">
        <v>-4</v>
      </c>
      <c r="D80" s="466">
        <v>-6</v>
      </c>
      <c r="E80" s="466">
        <v>18</v>
      </c>
      <c r="F80" s="466">
        <v>15</v>
      </c>
      <c r="G80" s="468">
        <v>22</v>
      </c>
      <c r="H80" s="468">
        <v>19</v>
      </c>
      <c r="I80" s="466">
        <v>3450</v>
      </c>
      <c r="J80" s="466">
        <v>2380</v>
      </c>
      <c r="K80" s="472">
        <f t="shared" si="1"/>
        <v>2950</v>
      </c>
      <c r="L80" s="472">
        <v>666</v>
      </c>
      <c r="M80" s="472">
        <v>666</v>
      </c>
      <c r="N80" s="472">
        <v>666</v>
      </c>
      <c r="O80" s="472">
        <v>666</v>
      </c>
      <c r="P80" s="466">
        <v>13</v>
      </c>
      <c r="Q80" s="468">
        <v>16</v>
      </c>
      <c r="R80" s="466">
        <v>86</v>
      </c>
      <c r="S80" s="468">
        <v>105</v>
      </c>
      <c r="T80" s="466">
        <v>1300</v>
      </c>
      <c r="U80" s="468">
        <v>1430</v>
      </c>
      <c r="V80" s="468">
        <v>1.6</v>
      </c>
      <c r="W80" s="466">
        <v>1350</v>
      </c>
      <c r="X80" s="468">
        <v>1460</v>
      </c>
      <c r="Y80" s="466">
        <v>500</v>
      </c>
      <c r="Z80" s="468">
        <v>540</v>
      </c>
      <c r="AA80" s="466">
        <v>1.8</v>
      </c>
      <c r="AB80" s="466">
        <v>0.4</v>
      </c>
      <c r="AC80" s="466">
        <v>2.9</v>
      </c>
      <c r="AD80" s="466">
        <v>0.7</v>
      </c>
      <c r="AE80" s="466">
        <v>0.59</v>
      </c>
      <c r="AF80" s="468">
        <v>0.65</v>
      </c>
      <c r="AG80" s="466">
        <v>0.72</v>
      </c>
      <c r="AH80" s="468">
        <v>0.79</v>
      </c>
      <c r="AI80" s="466">
        <v>1.01</v>
      </c>
      <c r="AJ80" s="466">
        <v>-2</v>
      </c>
      <c r="AK80" s="466">
        <v>6.3</v>
      </c>
      <c r="AL80" s="524">
        <v>19</v>
      </c>
      <c r="AM80" s="524">
        <v>19</v>
      </c>
    </row>
    <row r="81" spans="1:39" ht="25" customHeight="1" outlineLevel="1">
      <c r="A81" s="476" t="s">
        <v>998</v>
      </c>
      <c r="B81" s="466">
        <v>25</v>
      </c>
      <c r="C81" s="466">
        <v>-6</v>
      </c>
      <c r="D81" s="466">
        <v>-8</v>
      </c>
      <c r="E81" s="466">
        <v>27</v>
      </c>
      <c r="F81" s="466">
        <v>20</v>
      </c>
      <c r="G81" s="468">
        <v>33</v>
      </c>
      <c r="H81" s="468">
        <v>25</v>
      </c>
      <c r="I81" s="466">
        <v>2680</v>
      </c>
      <c r="J81" s="466">
        <v>1830</v>
      </c>
      <c r="K81" s="472">
        <f t="shared" si="1"/>
        <v>2180</v>
      </c>
      <c r="L81" s="472">
        <v>666</v>
      </c>
      <c r="M81" s="472">
        <v>666</v>
      </c>
      <c r="N81" s="472">
        <v>666</v>
      </c>
      <c r="O81" s="472">
        <v>666</v>
      </c>
      <c r="P81" s="466">
        <v>10</v>
      </c>
      <c r="Q81" s="468">
        <v>13</v>
      </c>
      <c r="R81" s="466">
        <v>75</v>
      </c>
      <c r="S81" s="468">
        <v>94</v>
      </c>
      <c r="T81" s="466">
        <v>1140</v>
      </c>
      <c r="U81" s="468">
        <v>1310</v>
      </c>
      <c r="V81" s="468">
        <v>1.5</v>
      </c>
      <c r="W81" s="466">
        <v>1200</v>
      </c>
      <c r="X81" s="468">
        <v>1250</v>
      </c>
      <c r="Y81" s="466">
        <v>160</v>
      </c>
      <c r="Z81" s="468">
        <v>180</v>
      </c>
      <c r="AA81" s="466">
        <v>1.8</v>
      </c>
      <c r="AB81" s="466">
        <v>0.4</v>
      </c>
      <c r="AC81" s="466">
        <v>3</v>
      </c>
      <c r="AD81" s="466">
        <v>0.7</v>
      </c>
      <c r="AE81" s="466">
        <v>0.38</v>
      </c>
      <c r="AF81" s="468">
        <v>0.42</v>
      </c>
      <c r="AG81" s="466">
        <v>0.48</v>
      </c>
      <c r="AH81" s="468">
        <v>0.53</v>
      </c>
      <c r="AI81" s="466">
        <v>0.7</v>
      </c>
      <c r="AJ81" s="466">
        <v>-2</v>
      </c>
      <c r="AK81" s="466">
        <v>1.4</v>
      </c>
      <c r="AL81" s="524">
        <v>25</v>
      </c>
      <c r="AM81" s="524">
        <v>25</v>
      </c>
    </row>
    <row r="82" spans="1:39" ht="25" customHeight="1" outlineLevel="1">
      <c r="A82" s="476" t="s">
        <v>999</v>
      </c>
      <c r="B82" s="466">
        <v>10</v>
      </c>
      <c r="C82" s="466">
        <v>-4</v>
      </c>
      <c r="D82" s="466">
        <v>-6</v>
      </c>
      <c r="E82" s="466">
        <v>26</v>
      </c>
      <c r="F82" s="466">
        <v>18</v>
      </c>
      <c r="G82" s="468">
        <v>32</v>
      </c>
      <c r="H82" s="468">
        <v>22</v>
      </c>
      <c r="I82" s="466">
        <v>2850</v>
      </c>
      <c r="J82" s="466">
        <v>1860</v>
      </c>
      <c r="K82" s="472">
        <f t="shared" si="1"/>
        <v>2350</v>
      </c>
      <c r="L82" s="472">
        <v>666</v>
      </c>
      <c r="M82" s="472">
        <v>666</v>
      </c>
      <c r="N82" s="472">
        <v>666</v>
      </c>
      <c r="O82" s="472">
        <v>666</v>
      </c>
      <c r="P82" s="466">
        <v>8</v>
      </c>
      <c r="Q82" s="468">
        <v>10</v>
      </c>
      <c r="R82" s="466">
        <v>96</v>
      </c>
      <c r="S82" s="468">
        <v>118</v>
      </c>
      <c r="T82" s="466">
        <v>825</v>
      </c>
      <c r="U82" s="468">
        <v>900</v>
      </c>
      <c r="V82" s="468">
        <v>1.1000000000000001</v>
      </c>
      <c r="W82" s="466">
        <v>850</v>
      </c>
      <c r="X82" s="468">
        <v>900</v>
      </c>
      <c r="Y82" s="466">
        <v>160</v>
      </c>
      <c r="Z82" s="468">
        <v>180</v>
      </c>
      <c r="AA82" s="466">
        <v>1.1000000000000001</v>
      </c>
      <c r="AB82" s="466">
        <v>0.2</v>
      </c>
      <c r="AC82" s="466">
        <v>1.8</v>
      </c>
      <c r="AD82" s="466">
        <v>0.3</v>
      </c>
      <c r="AE82" s="466">
        <v>0.34</v>
      </c>
      <c r="AF82" s="468">
        <v>0.37</v>
      </c>
      <c r="AG82" s="466">
        <v>0.42</v>
      </c>
      <c r="AH82" s="468">
        <v>0.46</v>
      </c>
      <c r="AI82" s="466">
        <v>0.61</v>
      </c>
      <c r="AJ82" s="466">
        <v>-2</v>
      </c>
      <c r="AK82" s="466">
        <v>3.3</v>
      </c>
      <c r="AL82" s="524">
        <v>22</v>
      </c>
      <c r="AM82" s="524">
        <v>22</v>
      </c>
    </row>
    <row r="83" spans="1:39" ht="25" customHeight="1" outlineLevel="1">
      <c r="A83" s="476" t="s">
        <v>1000</v>
      </c>
      <c r="B83" s="466">
        <v>500</v>
      </c>
      <c r="C83" s="466">
        <v>-29</v>
      </c>
      <c r="D83" s="466">
        <v>-31</v>
      </c>
      <c r="E83" s="466">
        <v>26</v>
      </c>
      <c r="F83" s="466">
        <v>17</v>
      </c>
      <c r="G83" s="468">
        <v>32</v>
      </c>
      <c r="H83" s="468">
        <v>22</v>
      </c>
      <c r="I83" s="466">
        <v>5040</v>
      </c>
      <c r="J83" s="466">
        <v>4050</v>
      </c>
      <c r="K83" s="472">
        <f t="shared" si="1"/>
        <v>4540</v>
      </c>
      <c r="L83" s="472">
        <v>666</v>
      </c>
      <c r="M83" s="472">
        <v>666</v>
      </c>
      <c r="N83" s="472">
        <v>666</v>
      </c>
      <c r="O83" s="472">
        <v>666</v>
      </c>
      <c r="P83" s="466">
        <v>13</v>
      </c>
      <c r="Q83" s="468">
        <v>17</v>
      </c>
      <c r="R83" s="466">
        <v>60</v>
      </c>
      <c r="S83" s="468">
        <v>77</v>
      </c>
      <c r="T83" s="466">
        <v>325</v>
      </c>
      <c r="U83" s="468">
        <v>510</v>
      </c>
      <c r="V83" s="468">
        <v>0.6</v>
      </c>
      <c r="W83" s="466">
        <v>500</v>
      </c>
      <c r="X83" s="468">
        <v>580</v>
      </c>
      <c r="Y83" s="466">
        <v>120</v>
      </c>
      <c r="Z83" s="468">
        <v>150</v>
      </c>
      <c r="AA83" s="466">
        <v>3.5</v>
      </c>
      <c r="AB83" s="466">
        <v>0.2</v>
      </c>
      <c r="AC83" s="466">
        <v>4.9000000000000004</v>
      </c>
      <c r="AD83" s="466">
        <v>0.3</v>
      </c>
      <c r="AE83" s="466">
        <v>0.3</v>
      </c>
      <c r="AF83" s="468">
        <v>0.33</v>
      </c>
      <c r="AG83" s="466">
        <v>0.4</v>
      </c>
      <c r="AH83" s="468">
        <v>0.44</v>
      </c>
      <c r="AI83" s="466">
        <v>0.62</v>
      </c>
      <c r="AJ83" s="466">
        <v>-7</v>
      </c>
      <c r="AK83" s="466">
        <v>1.7</v>
      </c>
      <c r="AL83" s="524">
        <v>22</v>
      </c>
      <c r="AM83" s="524">
        <v>22</v>
      </c>
    </row>
    <row r="84" spans="1:39" ht="25" customHeight="1" outlineLevel="1">
      <c r="A84" s="476" t="s">
        <v>1001</v>
      </c>
      <c r="B84" s="466">
        <v>660</v>
      </c>
      <c r="C84" s="466">
        <v>-45</v>
      </c>
      <c r="D84" s="466">
        <v>-47</v>
      </c>
      <c r="E84" s="466">
        <v>26</v>
      </c>
      <c r="F84" s="466">
        <v>17</v>
      </c>
      <c r="G84" s="468">
        <v>30</v>
      </c>
      <c r="H84" s="468">
        <v>21</v>
      </c>
      <c r="I84" s="466">
        <v>7100</v>
      </c>
      <c r="J84" s="466">
        <v>5980</v>
      </c>
      <c r="K84" s="472">
        <f t="shared" si="1"/>
        <v>6600</v>
      </c>
      <c r="L84" s="472">
        <v>666</v>
      </c>
      <c r="M84" s="472">
        <v>666</v>
      </c>
      <c r="N84" s="472">
        <v>666</v>
      </c>
      <c r="O84" s="472">
        <v>666</v>
      </c>
      <c r="P84" s="466">
        <v>10</v>
      </c>
      <c r="Q84" s="468">
        <v>13</v>
      </c>
      <c r="R84" s="466">
        <v>64</v>
      </c>
      <c r="S84" s="468">
        <v>82</v>
      </c>
      <c r="T84" s="466">
        <v>300</v>
      </c>
      <c r="U84" s="468">
        <v>400</v>
      </c>
      <c r="V84" s="468">
        <v>0.6</v>
      </c>
      <c r="W84" s="466">
        <v>500</v>
      </c>
      <c r="X84" s="468">
        <v>590</v>
      </c>
      <c r="Y84" s="466">
        <v>40</v>
      </c>
      <c r="AA84" s="466">
        <v>2.8</v>
      </c>
      <c r="AB84" s="466">
        <v>0.1</v>
      </c>
      <c r="AC84" s="466">
        <v>3.9</v>
      </c>
      <c r="AD84" s="466">
        <v>0.1</v>
      </c>
      <c r="AE84" s="466">
        <v>0.24</v>
      </c>
      <c r="AF84" s="468">
        <v>0.26</v>
      </c>
      <c r="AG84" s="466">
        <v>0.3</v>
      </c>
      <c r="AH84" s="468">
        <v>0.33</v>
      </c>
      <c r="AI84" s="466">
        <v>0.46</v>
      </c>
      <c r="AJ84" s="466">
        <v>-14</v>
      </c>
      <c r="AK84" s="466">
        <v>1.9</v>
      </c>
      <c r="AL84" s="524">
        <v>21</v>
      </c>
      <c r="AM84" s="524">
        <v>21</v>
      </c>
    </row>
    <row r="85" spans="1:39" ht="25" customHeight="1" outlineLevel="1">
      <c r="A85" s="476" t="s">
        <v>1002</v>
      </c>
      <c r="B85" s="466">
        <v>20</v>
      </c>
      <c r="C85" s="466">
        <v>-1</v>
      </c>
      <c r="D85" s="466">
        <v>-3</v>
      </c>
      <c r="E85" s="466">
        <v>21</v>
      </c>
      <c r="F85" s="466">
        <v>16</v>
      </c>
      <c r="G85" s="468">
        <v>27</v>
      </c>
      <c r="H85" s="468">
        <v>20</v>
      </c>
      <c r="I85" s="466">
        <v>2900</v>
      </c>
      <c r="J85" s="466">
        <v>1900</v>
      </c>
      <c r="K85" s="472">
        <f t="shared" si="1"/>
        <v>2400</v>
      </c>
      <c r="L85" s="472">
        <v>666</v>
      </c>
      <c r="M85" s="472">
        <v>666</v>
      </c>
      <c r="N85" s="472">
        <v>666</v>
      </c>
      <c r="O85" s="472">
        <v>666</v>
      </c>
      <c r="P85" s="466">
        <v>9</v>
      </c>
      <c r="Q85" s="468">
        <v>11</v>
      </c>
      <c r="R85" s="466">
        <v>130</v>
      </c>
      <c r="S85" s="468">
        <v>159</v>
      </c>
      <c r="T85" s="466">
        <v>1250</v>
      </c>
      <c r="U85" s="468">
        <v>1410</v>
      </c>
      <c r="V85" s="468">
        <v>1.5</v>
      </c>
      <c r="W85" s="466">
        <v>1280</v>
      </c>
      <c r="X85" s="468">
        <v>1390</v>
      </c>
      <c r="Y85" s="466">
        <v>220</v>
      </c>
      <c r="Z85" s="468">
        <v>250</v>
      </c>
      <c r="AA85" s="466">
        <v>1.3</v>
      </c>
      <c r="AB85" s="466">
        <v>0.3</v>
      </c>
      <c r="AC85" s="466">
        <v>2.2000000000000002</v>
      </c>
      <c r="AD85" s="466">
        <v>0.5</v>
      </c>
      <c r="AE85" s="466">
        <v>0.38</v>
      </c>
      <c r="AF85" s="468">
        <v>0.42</v>
      </c>
      <c r="AG85" s="466">
        <v>0.48</v>
      </c>
      <c r="AH85" s="468">
        <v>0.53</v>
      </c>
      <c r="AI85" s="466">
        <v>0.7</v>
      </c>
      <c r="AJ85" s="466">
        <v>-2</v>
      </c>
      <c r="AK85" s="466">
        <v>2</v>
      </c>
      <c r="AL85" s="524">
        <v>20</v>
      </c>
      <c r="AM85" s="524">
        <v>20</v>
      </c>
    </row>
    <row r="86" spans="1:39" ht="25" customHeight="1" outlineLevel="1">
      <c r="A86" s="476" t="s">
        <v>1003</v>
      </c>
      <c r="B86" s="466">
        <v>5</v>
      </c>
      <c r="C86" s="466">
        <v>-9</v>
      </c>
      <c r="D86" s="466">
        <v>-11</v>
      </c>
      <c r="E86" s="466">
        <v>29</v>
      </c>
      <c r="F86" s="466">
        <v>20</v>
      </c>
      <c r="G86" s="468">
        <v>35</v>
      </c>
      <c r="H86" s="468">
        <v>25</v>
      </c>
      <c r="I86" s="466">
        <v>2950</v>
      </c>
      <c r="J86" s="466">
        <v>2080</v>
      </c>
      <c r="K86" s="472">
        <f t="shared" si="1"/>
        <v>2450</v>
      </c>
      <c r="L86" s="472">
        <v>666</v>
      </c>
      <c r="M86" s="472">
        <v>666</v>
      </c>
      <c r="N86" s="472">
        <v>666</v>
      </c>
      <c r="O86" s="472">
        <v>666</v>
      </c>
      <c r="P86" s="466">
        <v>10</v>
      </c>
      <c r="Q86" s="468">
        <v>13</v>
      </c>
      <c r="R86" s="466">
        <v>140</v>
      </c>
      <c r="S86" s="468">
        <v>182</v>
      </c>
      <c r="T86" s="466">
        <v>2050</v>
      </c>
      <c r="U86" s="468">
        <v>2610</v>
      </c>
      <c r="V86" s="468">
        <v>2.6</v>
      </c>
      <c r="W86" s="466">
        <v>2200</v>
      </c>
      <c r="X86" s="468">
        <v>2290</v>
      </c>
      <c r="Y86" s="466">
        <v>160</v>
      </c>
      <c r="Z86" s="468">
        <v>190</v>
      </c>
      <c r="AA86" s="466">
        <v>2.8</v>
      </c>
      <c r="AB86" s="466">
        <v>0.7</v>
      </c>
      <c r="AC86" s="466">
        <v>4.3</v>
      </c>
      <c r="AD86" s="466">
        <v>1.1000000000000001</v>
      </c>
      <c r="AE86" s="466">
        <v>0.38</v>
      </c>
      <c r="AF86" s="468">
        <v>0.42</v>
      </c>
      <c r="AG86" s="466">
        <v>0.5</v>
      </c>
      <c r="AH86" s="468">
        <v>0.55000000000000004</v>
      </c>
      <c r="AI86" s="466">
        <v>0.77</v>
      </c>
      <c r="AJ86" s="466">
        <v>-3</v>
      </c>
      <c r="AK86" s="466">
        <v>3</v>
      </c>
      <c r="AL86" s="524">
        <v>25</v>
      </c>
      <c r="AM86" s="524">
        <v>25</v>
      </c>
    </row>
    <row r="87" spans="1:39" ht="25" customHeight="1" outlineLevel="1">
      <c r="A87" s="476" t="s">
        <v>1004</v>
      </c>
      <c r="B87" s="466">
        <v>10</v>
      </c>
      <c r="C87" s="466">
        <v>-17</v>
      </c>
      <c r="D87" s="466">
        <v>-20</v>
      </c>
      <c r="E87" s="466">
        <v>25</v>
      </c>
      <c r="F87" s="466">
        <v>16</v>
      </c>
      <c r="G87" s="468">
        <v>31</v>
      </c>
      <c r="H87" s="468">
        <v>21</v>
      </c>
      <c r="I87" s="466">
        <v>4350</v>
      </c>
      <c r="J87" s="466">
        <v>3400</v>
      </c>
      <c r="K87" s="472">
        <f t="shared" si="1"/>
        <v>3850</v>
      </c>
      <c r="L87" s="472">
        <v>666</v>
      </c>
      <c r="M87" s="472">
        <v>666</v>
      </c>
      <c r="N87" s="472">
        <v>666</v>
      </c>
      <c r="O87" s="472">
        <v>666</v>
      </c>
      <c r="P87" s="466">
        <v>13</v>
      </c>
      <c r="Q87" s="468">
        <v>17</v>
      </c>
      <c r="R87" s="466">
        <v>135</v>
      </c>
      <c r="S87" s="468">
        <v>181</v>
      </c>
      <c r="T87" s="466">
        <v>1300</v>
      </c>
      <c r="U87" s="468">
        <v>2010</v>
      </c>
      <c r="V87" s="468">
        <v>1.7</v>
      </c>
      <c r="W87" s="466">
        <v>1900</v>
      </c>
      <c r="X87" s="468">
        <v>2090</v>
      </c>
      <c r="Y87" s="466">
        <v>180</v>
      </c>
      <c r="Z87" s="468">
        <v>210</v>
      </c>
      <c r="AA87" s="466">
        <v>7.9</v>
      </c>
      <c r="AB87" s="466">
        <v>0.8</v>
      </c>
      <c r="AC87" s="466">
        <v>11.4</v>
      </c>
      <c r="AD87" s="466">
        <v>1.2</v>
      </c>
      <c r="AE87" s="466">
        <v>0.27</v>
      </c>
      <c r="AF87" s="468">
        <v>0.3</v>
      </c>
      <c r="AG87" s="466">
        <v>0.36</v>
      </c>
      <c r="AH87" s="468">
        <v>0.4</v>
      </c>
      <c r="AI87" s="466">
        <v>0.56000000000000005</v>
      </c>
      <c r="AJ87" s="466">
        <v>-7</v>
      </c>
      <c r="AK87" s="466">
        <v>2</v>
      </c>
      <c r="AL87" s="524">
        <v>21</v>
      </c>
      <c r="AM87" s="524">
        <v>21</v>
      </c>
    </row>
    <row r="88" spans="1:39" ht="25" customHeight="1" outlineLevel="1">
      <c r="A88" s="476" t="s">
        <v>1005</v>
      </c>
      <c r="B88" s="466">
        <v>25</v>
      </c>
      <c r="C88" s="466">
        <v>-4</v>
      </c>
      <c r="D88" s="466">
        <v>-6</v>
      </c>
      <c r="E88" s="466">
        <v>26</v>
      </c>
      <c r="F88" s="466">
        <v>18</v>
      </c>
      <c r="G88" s="468">
        <v>32</v>
      </c>
      <c r="H88" s="468">
        <v>23</v>
      </c>
      <c r="I88" s="466">
        <v>3150</v>
      </c>
      <c r="J88" s="466">
        <v>2120</v>
      </c>
      <c r="K88" s="472">
        <f t="shared" si="1"/>
        <v>2650</v>
      </c>
      <c r="L88" s="472">
        <v>666</v>
      </c>
      <c r="M88" s="472">
        <v>666</v>
      </c>
      <c r="N88" s="472">
        <v>666</v>
      </c>
      <c r="O88" s="472">
        <v>666</v>
      </c>
      <c r="P88" s="466">
        <v>13</v>
      </c>
      <c r="Q88" s="468">
        <v>16</v>
      </c>
      <c r="R88" s="466">
        <v>200</v>
      </c>
      <c r="S88" s="468">
        <v>246</v>
      </c>
      <c r="T88" s="466">
        <v>3845</v>
      </c>
      <c r="U88" s="468">
        <v>4250</v>
      </c>
      <c r="V88" s="468">
        <v>4.3</v>
      </c>
      <c r="W88" s="466">
        <v>3900</v>
      </c>
      <c r="X88" s="468">
        <v>4110</v>
      </c>
      <c r="Y88" s="466">
        <v>300</v>
      </c>
      <c r="Z88" s="468">
        <v>330</v>
      </c>
      <c r="AA88" s="466">
        <v>1.1000000000000001</v>
      </c>
      <c r="AB88" s="466">
        <v>0.4</v>
      </c>
      <c r="AC88" s="466">
        <v>1.8</v>
      </c>
      <c r="AD88" s="466">
        <v>0.7</v>
      </c>
      <c r="AE88" s="466">
        <v>0.26</v>
      </c>
      <c r="AF88" s="468">
        <v>0.28999999999999998</v>
      </c>
      <c r="AG88" s="466">
        <v>0.34</v>
      </c>
      <c r="AH88" s="468">
        <v>0.37</v>
      </c>
      <c r="AI88" s="466">
        <v>0.52</v>
      </c>
      <c r="AJ88" s="466">
        <v>-2</v>
      </c>
      <c r="AK88" s="466">
        <v>1</v>
      </c>
      <c r="AL88" s="524">
        <v>23</v>
      </c>
      <c r="AM88" s="524">
        <v>23</v>
      </c>
    </row>
    <row r="89" spans="1:39" ht="25" customHeight="1" outlineLevel="1">
      <c r="A89" s="476" t="s">
        <v>1006</v>
      </c>
      <c r="B89" s="466">
        <v>515</v>
      </c>
      <c r="C89" s="466">
        <v>-35</v>
      </c>
      <c r="D89" s="466">
        <v>-37</v>
      </c>
      <c r="E89" s="466">
        <v>26</v>
      </c>
      <c r="F89" s="466">
        <v>18</v>
      </c>
      <c r="G89" s="468">
        <v>31</v>
      </c>
      <c r="H89" s="468">
        <v>22</v>
      </c>
      <c r="I89" s="466">
        <v>5720</v>
      </c>
      <c r="J89" s="466">
        <v>4690</v>
      </c>
      <c r="K89" s="472">
        <f t="shared" si="1"/>
        <v>5220</v>
      </c>
      <c r="L89" s="472">
        <v>666</v>
      </c>
      <c r="M89" s="472">
        <v>666</v>
      </c>
      <c r="N89" s="472">
        <v>666</v>
      </c>
      <c r="O89" s="472">
        <v>666</v>
      </c>
      <c r="P89" s="466">
        <v>15</v>
      </c>
      <c r="Q89" s="468">
        <v>19</v>
      </c>
      <c r="R89" s="466">
        <v>72</v>
      </c>
      <c r="S89" s="468">
        <v>91</v>
      </c>
      <c r="T89" s="466">
        <v>320</v>
      </c>
      <c r="U89" s="468">
        <v>420</v>
      </c>
      <c r="V89" s="468">
        <v>0.5</v>
      </c>
      <c r="W89" s="466">
        <v>450</v>
      </c>
      <c r="X89" s="468">
        <v>540</v>
      </c>
      <c r="Y89" s="466">
        <v>100</v>
      </c>
      <c r="Z89" s="468">
        <v>110</v>
      </c>
      <c r="AA89" s="466">
        <v>2.2999999999999998</v>
      </c>
      <c r="AB89" s="466">
        <v>0.1</v>
      </c>
      <c r="AC89" s="466">
        <v>3.3</v>
      </c>
      <c r="AD89" s="466">
        <v>0.2</v>
      </c>
      <c r="AE89" s="466">
        <v>0.3</v>
      </c>
      <c r="AF89" s="468">
        <v>0.33</v>
      </c>
      <c r="AG89" s="466">
        <v>0.4</v>
      </c>
      <c r="AH89" s="468">
        <v>0.44</v>
      </c>
      <c r="AI89" s="466">
        <v>0.65</v>
      </c>
      <c r="AJ89" s="466">
        <v>-11</v>
      </c>
      <c r="AK89" s="466">
        <v>3.9</v>
      </c>
      <c r="AL89" s="524">
        <v>22</v>
      </c>
      <c r="AM89" s="524">
        <v>22</v>
      </c>
    </row>
    <row r="90" spans="1:39" ht="25" customHeight="1" outlineLevel="1">
      <c r="A90" s="476" t="s">
        <v>1007</v>
      </c>
      <c r="B90" s="466">
        <v>60</v>
      </c>
      <c r="C90" s="466">
        <v>-19</v>
      </c>
      <c r="D90" s="466">
        <v>-21</v>
      </c>
      <c r="E90" s="466">
        <v>27</v>
      </c>
      <c r="F90" s="466">
        <v>17</v>
      </c>
      <c r="G90" s="468">
        <v>33</v>
      </c>
      <c r="H90" s="468">
        <v>22</v>
      </c>
      <c r="I90" s="466">
        <v>4150</v>
      </c>
      <c r="J90" s="466">
        <v>3210</v>
      </c>
      <c r="K90" s="472">
        <f t="shared" si="1"/>
        <v>3650</v>
      </c>
      <c r="L90" s="472">
        <v>666</v>
      </c>
      <c r="M90" s="472">
        <v>666</v>
      </c>
      <c r="N90" s="472">
        <v>666</v>
      </c>
      <c r="O90" s="472">
        <v>666</v>
      </c>
      <c r="P90" s="466">
        <v>13</v>
      </c>
      <c r="Q90" s="468">
        <v>17</v>
      </c>
      <c r="R90" s="466">
        <v>120</v>
      </c>
      <c r="S90" s="468">
        <v>156</v>
      </c>
      <c r="T90" s="466">
        <v>950</v>
      </c>
      <c r="U90" s="468">
        <v>1420</v>
      </c>
      <c r="V90" s="468">
        <v>1.2</v>
      </c>
      <c r="W90" s="466">
        <v>1150</v>
      </c>
      <c r="X90" s="468">
        <v>1250</v>
      </c>
      <c r="Y90" s="466">
        <v>200</v>
      </c>
      <c r="Z90" s="468">
        <v>240</v>
      </c>
      <c r="AA90" s="466">
        <v>5.4</v>
      </c>
      <c r="AB90" s="466">
        <v>0.6</v>
      </c>
      <c r="AC90" s="466">
        <v>8</v>
      </c>
      <c r="AD90" s="466">
        <v>0.9</v>
      </c>
      <c r="AE90" s="466">
        <v>0.27</v>
      </c>
      <c r="AF90" s="468">
        <v>0.3</v>
      </c>
      <c r="AG90" s="466">
        <v>0.36</v>
      </c>
      <c r="AH90" s="468">
        <v>0.4</v>
      </c>
      <c r="AI90" s="466">
        <v>0.56000000000000005</v>
      </c>
      <c r="AJ90" s="466">
        <v>-5</v>
      </c>
      <c r="AK90" s="466">
        <v>5.2</v>
      </c>
      <c r="AL90" s="524">
        <v>22</v>
      </c>
      <c r="AM90" s="524">
        <v>22</v>
      </c>
    </row>
    <row r="91" spans="1:39" ht="25" customHeight="1" outlineLevel="1">
      <c r="A91" s="476" t="s">
        <v>1008</v>
      </c>
      <c r="B91" s="466">
        <v>10</v>
      </c>
      <c r="C91" s="466">
        <v>-2</v>
      </c>
      <c r="D91" s="466">
        <v>-4</v>
      </c>
      <c r="E91" s="466">
        <v>20</v>
      </c>
      <c r="F91" s="466">
        <v>16</v>
      </c>
      <c r="G91" s="468">
        <v>25</v>
      </c>
      <c r="H91" s="468">
        <v>20</v>
      </c>
      <c r="I91" s="466">
        <v>3150</v>
      </c>
      <c r="J91" s="466">
        <v>2120</v>
      </c>
      <c r="K91" s="472">
        <f t="shared" si="1"/>
        <v>2650</v>
      </c>
      <c r="L91" s="472">
        <v>666</v>
      </c>
      <c r="M91" s="472">
        <v>666</v>
      </c>
      <c r="N91" s="472">
        <v>666</v>
      </c>
      <c r="O91" s="472">
        <v>666</v>
      </c>
      <c r="P91" s="466">
        <v>13</v>
      </c>
      <c r="Q91" s="468">
        <v>16</v>
      </c>
      <c r="R91" s="466">
        <v>193</v>
      </c>
      <c r="S91" s="468">
        <v>237</v>
      </c>
      <c r="T91" s="466">
        <v>3275</v>
      </c>
      <c r="U91" s="468">
        <v>3490</v>
      </c>
      <c r="V91" s="468">
        <v>3.7</v>
      </c>
      <c r="W91" s="466">
        <v>3300</v>
      </c>
      <c r="X91" s="468">
        <v>3450</v>
      </c>
      <c r="Y91" s="466">
        <v>300</v>
      </c>
      <c r="Z91" s="468">
        <v>320</v>
      </c>
      <c r="AA91" s="466">
        <v>1.1000000000000001</v>
      </c>
      <c r="AB91" s="466">
        <v>0.4</v>
      </c>
      <c r="AC91" s="466">
        <v>1.8</v>
      </c>
      <c r="AD91" s="466">
        <v>0.7</v>
      </c>
      <c r="AE91" s="466">
        <v>0.51</v>
      </c>
      <c r="AF91" s="468">
        <v>0.56000000000000005</v>
      </c>
      <c r="AG91" s="466">
        <v>0.68</v>
      </c>
      <c r="AH91" s="468">
        <v>0.75</v>
      </c>
      <c r="AI91" s="466">
        <v>1.06</v>
      </c>
      <c r="AJ91" s="466">
        <v>-2</v>
      </c>
      <c r="AK91" s="466">
        <v>1.5</v>
      </c>
      <c r="AL91" s="524">
        <v>20</v>
      </c>
      <c r="AM91" s="524">
        <v>20</v>
      </c>
    </row>
    <row r="92" spans="1:39" ht="25" customHeight="1" outlineLevel="1">
      <c r="A92" s="476" t="s">
        <v>1009</v>
      </c>
      <c r="B92" s="466">
        <v>440</v>
      </c>
      <c r="C92" s="466">
        <v>-14</v>
      </c>
      <c r="D92" s="466">
        <v>-17</v>
      </c>
      <c r="E92" s="466">
        <v>33</v>
      </c>
      <c r="F92" s="466">
        <v>20</v>
      </c>
      <c r="G92" s="468">
        <v>38</v>
      </c>
      <c r="H92" s="468">
        <v>24</v>
      </c>
      <c r="I92" s="466">
        <v>3600</v>
      </c>
      <c r="J92" s="466">
        <v>2690</v>
      </c>
      <c r="K92" s="472">
        <f t="shared" si="1"/>
        <v>3100</v>
      </c>
      <c r="L92" s="472">
        <v>666</v>
      </c>
      <c r="M92" s="472">
        <v>666</v>
      </c>
      <c r="N92" s="472">
        <v>666</v>
      </c>
      <c r="O92" s="472">
        <v>666</v>
      </c>
      <c r="P92" s="466">
        <v>10</v>
      </c>
      <c r="Q92" s="468">
        <v>13</v>
      </c>
      <c r="R92" s="466">
        <v>54</v>
      </c>
      <c r="S92" s="468">
        <v>69</v>
      </c>
      <c r="T92" s="466">
        <v>580</v>
      </c>
      <c r="U92" s="468">
        <v>830</v>
      </c>
      <c r="V92" s="468">
        <v>0.9</v>
      </c>
      <c r="W92" s="466">
        <v>700</v>
      </c>
      <c r="X92" s="468">
        <v>790</v>
      </c>
      <c r="Y92" s="466">
        <v>60</v>
      </c>
      <c r="Z92" s="468">
        <v>70</v>
      </c>
      <c r="AA92" s="466">
        <v>4.0999999999999996</v>
      </c>
      <c r="AB92" s="466">
        <v>0.1</v>
      </c>
      <c r="AC92" s="466">
        <v>5.7</v>
      </c>
      <c r="AD92" s="466">
        <v>0.1</v>
      </c>
      <c r="AE92" s="466">
        <v>0.26</v>
      </c>
      <c r="AF92" s="468">
        <v>0.27</v>
      </c>
      <c r="AG92" s="466">
        <v>0.35</v>
      </c>
      <c r="AH92" s="468">
        <v>0.37</v>
      </c>
      <c r="AI92" s="466">
        <v>0.55000000000000004</v>
      </c>
      <c r="AJ92" s="466">
        <v>-4</v>
      </c>
      <c r="AK92" s="466">
        <v>1.5</v>
      </c>
      <c r="AL92" s="524">
        <v>24</v>
      </c>
      <c r="AM92" s="524">
        <v>24</v>
      </c>
    </row>
    <row r="93" spans="1:39" ht="25" customHeight="1" outlineLevel="1">
      <c r="A93" s="476" t="s">
        <v>1010</v>
      </c>
      <c r="B93" s="466">
        <v>5</v>
      </c>
      <c r="C93" s="466">
        <v>-2</v>
      </c>
      <c r="D93" s="466">
        <v>-4</v>
      </c>
      <c r="E93" s="466">
        <v>18</v>
      </c>
      <c r="F93" s="466">
        <v>16</v>
      </c>
      <c r="G93" s="468">
        <v>23</v>
      </c>
      <c r="H93" s="468">
        <v>20</v>
      </c>
      <c r="I93" s="466">
        <v>3120</v>
      </c>
      <c r="J93" s="466">
        <v>2100</v>
      </c>
      <c r="K93" s="472">
        <f t="shared" si="1"/>
        <v>2620</v>
      </c>
      <c r="L93" s="472">
        <v>666</v>
      </c>
      <c r="M93" s="472">
        <v>666</v>
      </c>
      <c r="N93" s="472">
        <v>666</v>
      </c>
      <c r="O93" s="472">
        <v>666</v>
      </c>
      <c r="P93" s="466">
        <v>13</v>
      </c>
      <c r="Q93" s="468">
        <v>16</v>
      </c>
      <c r="R93" s="466">
        <v>180</v>
      </c>
      <c r="S93" s="468">
        <v>221</v>
      </c>
      <c r="T93" s="466">
        <v>3175</v>
      </c>
      <c r="U93" s="468">
        <v>3370</v>
      </c>
      <c r="V93" s="468">
        <v>3.6</v>
      </c>
      <c r="W93" s="466">
        <v>3200</v>
      </c>
      <c r="X93" s="468">
        <v>3330</v>
      </c>
      <c r="Y93" s="466">
        <v>280</v>
      </c>
      <c r="Z93" s="468">
        <v>300</v>
      </c>
      <c r="AA93" s="466">
        <v>1</v>
      </c>
      <c r="AB93" s="466">
        <v>0.4</v>
      </c>
      <c r="AC93" s="466">
        <v>1.7</v>
      </c>
      <c r="AD93" s="466">
        <v>0.7</v>
      </c>
      <c r="AE93" s="466">
        <v>0.51</v>
      </c>
      <c r="AF93" s="468">
        <v>0.56000000000000005</v>
      </c>
      <c r="AG93" s="466">
        <v>0.68</v>
      </c>
      <c r="AH93" s="468">
        <v>0.75</v>
      </c>
      <c r="AI93" s="466">
        <v>1.06</v>
      </c>
      <c r="AJ93" s="466">
        <v>-2</v>
      </c>
      <c r="AK93" s="466">
        <v>1.5</v>
      </c>
      <c r="AL93" s="524">
        <v>20</v>
      </c>
      <c r="AM93" s="524">
        <v>20</v>
      </c>
    </row>
    <row r="94" spans="1:39" ht="25" customHeight="1" outlineLevel="1">
      <c r="A94" s="476" t="s">
        <v>1011</v>
      </c>
      <c r="B94" s="466">
        <v>330</v>
      </c>
      <c r="C94" s="466">
        <v>-7</v>
      </c>
      <c r="D94" s="466">
        <v>-9</v>
      </c>
      <c r="E94" s="466">
        <v>25</v>
      </c>
      <c r="F94" s="466">
        <v>17</v>
      </c>
      <c r="G94" s="468">
        <v>31</v>
      </c>
      <c r="H94" s="468">
        <v>22</v>
      </c>
      <c r="I94" s="466">
        <v>3100</v>
      </c>
      <c r="J94" s="466">
        <v>2220</v>
      </c>
      <c r="K94" s="472">
        <f t="shared" si="1"/>
        <v>2600</v>
      </c>
      <c r="L94" s="472">
        <v>666</v>
      </c>
      <c r="M94" s="472">
        <v>666</v>
      </c>
      <c r="N94" s="472">
        <v>666</v>
      </c>
      <c r="O94" s="472">
        <v>666</v>
      </c>
      <c r="P94" s="466">
        <v>10</v>
      </c>
      <c r="Q94" s="468">
        <v>13</v>
      </c>
      <c r="R94" s="466">
        <v>150</v>
      </c>
      <c r="S94" s="468">
        <v>189</v>
      </c>
      <c r="T94" s="466">
        <v>1850</v>
      </c>
      <c r="U94" s="468">
        <v>2120</v>
      </c>
      <c r="V94" s="468">
        <v>2.4</v>
      </c>
      <c r="W94" s="466">
        <v>1950</v>
      </c>
      <c r="X94" s="468">
        <v>2020</v>
      </c>
      <c r="Y94" s="466">
        <v>160</v>
      </c>
      <c r="Z94" s="468">
        <v>180</v>
      </c>
      <c r="AA94" s="466">
        <v>2.9</v>
      </c>
      <c r="AB94" s="466">
        <v>0.7</v>
      </c>
      <c r="AC94" s="466">
        <v>4.7</v>
      </c>
      <c r="AD94" s="466">
        <v>1.1000000000000001</v>
      </c>
      <c r="AE94" s="466">
        <v>0.35</v>
      </c>
      <c r="AF94" s="468">
        <v>0.39</v>
      </c>
      <c r="AG94" s="466">
        <v>0.47</v>
      </c>
      <c r="AH94" s="468">
        <v>0.52</v>
      </c>
      <c r="AI94" s="466">
        <v>0.74</v>
      </c>
      <c r="AJ94" s="466">
        <v>-3</v>
      </c>
      <c r="AK94" s="466">
        <v>2.9</v>
      </c>
      <c r="AL94" s="524">
        <v>22</v>
      </c>
      <c r="AM94" s="524">
        <v>22</v>
      </c>
    </row>
    <row r="95" spans="1:39" ht="25" customHeight="1" outlineLevel="1">
      <c r="A95" s="476" t="s">
        <v>1012</v>
      </c>
      <c r="B95" s="466">
        <v>10</v>
      </c>
      <c r="C95" s="466">
        <v>-8</v>
      </c>
      <c r="D95" s="466">
        <v>-10</v>
      </c>
      <c r="E95" s="466">
        <v>29</v>
      </c>
      <c r="F95" s="466">
        <v>20</v>
      </c>
      <c r="G95" s="468">
        <v>35</v>
      </c>
      <c r="H95" s="468">
        <v>25</v>
      </c>
      <c r="I95" s="466">
        <v>2700</v>
      </c>
      <c r="J95" s="466">
        <v>1850</v>
      </c>
      <c r="K95" s="472">
        <f t="shared" si="1"/>
        <v>2200</v>
      </c>
      <c r="L95" s="472">
        <v>666</v>
      </c>
      <c r="M95" s="472">
        <v>666</v>
      </c>
      <c r="N95" s="472">
        <v>666</v>
      </c>
      <c r="O95" s="472">
        <v>666</v>
      </c>
      <c r="P95" s="466">
        <v>10</v>
      </c>
      <c r="Q95" s="468">
        <v>12</v>
      </c>
      <c r="R95" s="466">
        <v>112</v>
      </c>
      <c r="S95" s="468">
        <v>139</v>
      </c>
      <c r="T95" s="466">
        <v>1350</v>
      </c>
      <c r="U95" s="468">
        <v>1470</v>
      </c>
      <c r="V95" s="468">
        <v>1.4</v>
      </c>
      <c r="W95" s="466">
        <v>1400</v>
      </c>
      <c r="X95" s="468">
        <v>1440</v>
      </c>
      <c r="Y95" s="466">
        <v>160</v>
      </c>
      <c r="Z95" s="468">
        <v>170</v>
      </c>
      <c r="AA95" s="466">
        <v>2.5</v>
      </c>
      <c r="AB95" s="466">
        <v>0.2</v>
      </c>
      <c r="AC95" s="466">
        <v>4</v>
      </c>
      <c r="AD95" s="466">
        <v>0.3</v>
      </c>
      <c r="AE95" s="466">
        <v>0.33</v>
      </c>
      <c r="AF95" s="468">
        <v>0.36</v>
      </c>
      <c r="AG95" s="466">
        <v>0.44</v>
      </c>
      <c r="AH95" s="468">
        <v>0.48</v>
      </c>
      <c r="AI95" s="466">
        <v>0.68</v>
      </c>
      <c r="AJ95" s="466">
        <v>-3</v>
      </c>
      <c r="AK95" s="466">
        <v>1.7</v>
      </c>
      <c r="AL95" s="524">
        <v>25</v>
      </c>
      <c r="AM95" s="524">
        <v>25</v>
      </c>
    </row>
    <row r="96" spans="1:39" ht="25" customHeight="1" outlineLevel="1">
      <c r="A96" s="476" t="s">
        <v>1013</v>
      </c>
      <c r="B96" s="466">
        <v>10</v>
      </c>
      <c r="C96" s="466">
        <v>-9</v>
      </c>
      <c r="D96" s="466">
        <v>-11</v>
      </c>
      <c r="E96" s="466">
        <v>30</v>
      </c>
      <c r="F96" s="466">
        <v>20</v>
      </c>
      <c r="G96" s="468">
        <v>36</v>
      </c>
      <c r="H96" s="468">
        <v>25</v>
      </c>
      <c r="I96" s="466">
        <v>2840</v>
      </c>
      <c r="J96" s="466">
        <v>1980</v>
      </c>
      <c r="K96" s="472">
        <f t="shared" si="1"/>
        <v>2340</v>
      </c>
      <c r="L96" s="472">
        <v>666</v>
      </c>
      <c r="M96" s="472">
        <v>666</v>
      </c>
      <c r="N96" s="472">
        <v>666</v>
      </c>
      <c r="O96" s="472">
        <v>666</v>
      </c>
      <c r="P96" s="466">
        <v>10</v>
      </c>
      <c r="Q96" s="468">
        <v>13</v>
      </c>
      <c r="R96" s="466">
        <v>134</v>
      </c>
      <c r="S96" s="468">
        <v>168</v>
      </c>
      <c r="T96" s="466">
        <v>1800</v>
      </c>
      <c r="U96" s="468">
        <v>2030</v>
      </c>
      <c r="V96" s="468">
        <v>2</v>
      </c>
      <c r="W96" s="466">
        <v>1950</v>
      </c>
      <c r="X96" s="468">
        <v>2000</v>
      </c>
      <c r="Y96" s="466">
        <v>160</v>
      </c>
      <c r="Z96" s="468">
        <v>180</v>
      </c>
      <c r="AA96" s="466">
        <v>2.4</v>
      </c>
      <c r="AB96" s="466">
        <v>0.2</v>
      </c>
      <c r="AC96" s="466">
        <v>3.9</v>
      </c>
      <c r="AD96" s="466">
        <v>0.3</v>
      </c>
      <c r="AE96" s="466">
        <v>0.33</v>
      </c>
      <c r="AF96" s="468">
        <v>0.36</v>
      </c>
      <c r="AG96" s="466">
        <v>0.44</v>
      </c>
      <c r="AH96" s="468">
        <v>0.48</v>
      </c>
      <c r="AI96" s="466">
        <v>0.68</v>
      </c>
      <c r="AJ96" s="466">
        <v>-3</v>
      </c>
      <c r="AK96" s="466">
        <v>1.7</v>
      </c>
      <c r="AL96" s="524">
        <v>25</v>
      </c>
      <c r="AM96" s="524">
        <v>25</v>
      </c>
    </row>
    <row r="97" spans="1:39" ht="25" customHeight="1" outlineLevel="1">
      <c r="A97" s="476" t="s">
        <v>1014</v>
      </c>
      <c r="B97" s="466">
        <v>3</v>
      </c>
      <c r="C97" s="466">
        <v>-6</v>
      </c>
      <c r="D97" s="466">
        <v>-8</v>
      </c>
      <c r="E97" s="466">
        <v>27</v>
      </c>
      <c r="F97" s="466">
        <v>19</v>
      </c>
      <c r="G97" s="468">
        <v>33</v>
      </c>
      <c r="H97" s="468">
        <v>24</v>
      </c>
      <c r="I97" s="466">
        <v>2600</v>
      </c>
      <c r="J97" s="466">
        <v>1750</v>
      </c>
      <c r="K97" s="472">
        <f t="shared" si="1"/>
        <v>2100</v>
      </c>
      <c r="L97" s="472">
        <v>666</v>
      </c>
      <c r="M97" s="472">
        <v>666</v>
      </c>
      <c r="N97" s="472">
        <v>666</v>
      </c>
      <c r="O97" s="472">
        <v>666</v>
      </c>
      <c r="P97" s="466">
        <v>10</v>
      </c>
      <c r="Q97" s="468">
        <v>12</v>
      </c>
      <c r="R97" s="466">
        <v>80</v>
      </c>
      <c r="S97" s="468">
        <v>99</v>
      </c>
      <c r="T97" s="466">
        <v>1000</v>
      </c>
      <c r="U97" s="468">
        <v>1080</v>
      </c>
      <c r="V97" s="468">
        <v>1.4</v>
      </c>
      <c r="W97" s="466">
        <v>1050</v>
      </c>
      <c r="X97" s="468">
        <v>1090</v>
      </c>
      <c r="Y97" s="466">
        <v>160</v>
      </c>
      <c r="Z97" s="468">
        <v>170</v>
      </c>
      <c r="AA97" s="466">
        <v>1.3</v>
      </c>
      <c r="AB97" s="466">
        <v>0.2</v>
      </c>
      <c r="AC97" s="466">
        <v>2.1</v>
      </c>
      <c r="AD97" s="466">
        <v>0.3</v>
      </c>
      <c r="AE97" s="466">
        <v>0.37</v>
      </c>
      <c r="AF97" s="468">
        <v>0.41</v>
      </c>
      <c r="AG97" s="466">
        <v>0.46</v>
      </c>
      <c r="AH97" s="468">
        <v>0.51</v>
      </c>
      <c r="AI97" s="466">
        <v>0.66</v>
      </c>
      <c r="AJ97" s="466">
        <v>-3</v>
      </c>
      <c r="AK97" s="466">
        <v>1.7</v>
      </c>
      <c r="AL97" s="524">
        <v>24</v>
      </c>
      <c r="AM97" s="524">
        <v>24</v>
      </c>
    </row>
    <row r="98" spans="1:39" ht="25" customHeight="1" outlineLevel="1">
      <c r="A98" s="476" t="s">
        <v>1015</v>
      </c>
      <c r="B98" s="466">
        <v>15</v>
      </c>
      <c r="C98" s="466">
        <v>-8</v>
      </c>
      <c r="D98" s="466">
        <v>-10</v>
      </c>
      <c r="E98" s="466">
        <v>29</v>
      </c>
      <c r="F98" s="466">
        <v>20</v>
      </c>
      <c r="G98" s="468">
        <v>35</v>
      </c>
      <c r="H98" s="468">
        <v>25</v>
      </c>
      <c r="I98" s="466">
        <v>2700</v>
      </c>
      <c r="J98" s="466">
        <v>1850</v>
      </c>
      <c r="K98" s="472">
        <f t="shared" si="1"/>
        <v>2200</v>
      </c>
      <c r="L98" s="472">
        <v>666</v>
      </c>
      <c r="M98" s="472">
        <v>666</v>
      </c>
      <c r="N98" s="472">
        <v>666</v>
      </c>
      <c r="O98" s="472">
        <v>666</v>
      </c>
      <c r="P98" s="466">
        <v>10</v>
      </c>
      <c r="Q98" s="468">
        <v>12</v>
      </c>
      <c r="R98" s="466">
        <v>112</v>
      </c>
      <c r="S98" s="468">
        <v>139</v>
      </c>
      <c r="T98" s="466">
        <v>1450</v>
      </c>
      <c r="U98" s="468">
        <v>1590</v>
      </c>
      <c r="V98" s="468">
        <v>1.5</v>
      </c>
      <c r="W98" s="466">
        <v>1500</v>
      </c>
      <c r="X98" s="468">
        <v>1540</v>
      </c>
      <c r="Y98" s="466">
        <v>160</v>
      </c>
      <c r="Z98" s="468">
        <v>170</v>
      </c>
      <c r="AA98" s="466">
        <v>2.4</v>
      </c>
      <c r="AB98" s="466">
        <v>0.2</v>
      </c>
      <c r="AC98" s="466">
        <v>3.9</v>
      </c>
      <c r="AD98" s="466">
        <v>0.3</v>
      </c>
      <c r="AE98" s="466">
        <v>0.33</v>
      </c>
      <c r="AF98" s="468">
        <v>0.36</v>
      </c>
      <c r="AG98" s="466">
        <v>0.44</v>
      </c>
      <c r="AH98" s="468">
        <v>0.48</v>
      </c>
      <c r="AI98" s="466">
        <v>0.68</v>
      </c>
      <c r="AJ98" s="466">
        <v>-3</v>
      </c>
      <c r="AK98" s="466">
        <v>1.7</v>
      </c>
      <c r="AL98" s="524">
        <v>25</v>
      </c>
      <c r="AM98" s="524">
        <v>25</v>
      </c>
    </row>
    <row r="99" spans="1:39" ht="25" customHeight="1" outlineLevel="1">
      <c r="A99" s="476" t="s">
        <v>1016</v>
      </c>
      <c r="B99" s="466">
        <v>10</v>
      </c>
      <c r="C99" s="466">
        <v>-8</v>
      </c>
      <c r="D99" s="466">
        <v>-10</v>
      </c>
      <c r="E99" s="466">
        <v>29</v>
      </c>
      <c r="F99" s="466">
        <v>19</v>
      </c>
      <c r="G99" s="468">
        <v>35</v>
      </c>
      <c r="H99" s="468">
        <v>24</v>
      </c>
      <c r="I99" s="466">
        <v>2800</v>
      </c>
      <c r="J99" s="466">
        <v>1940</v>
      </c>
      <c r="K99" s="472">
        <f t="shared" si="1"/>
        <v>2300</v>
      </c>
      <c r="L99" s="472">
        <v>666</v>
      </c>
      <c r="M99" s="472">
        <v>666</v>
      </c>
      <c r="N99" s="472">
        <v>666</v>
      </c>
      <c r="O99" s="472">
        <v>666</v>
      </c>
      <c r="P99" s="466">
        <v>10</v>
      </c>
      <c r="Q99" s="468">
        <v>12</v>
      </c>
      <c r="R99" s="466">
        <v>134</v>
      </c>
      <c r="S99" s="468">
        <v>167</v>
      </c>
      <c r="T99" s="466">
        <v>1500</v>
      </c>
      <c r="U99" s="468">
        <v>1680</v>
      </c>
      <c r="V99" s="468">
        <v>2</v>
      </c>
      <c r="W99" s="466">
        <v>1575</v>
      </c>
      <c r="X99" s="468">
        <v>1630</v>
      </c>
      <c r="Y99" s="466">
        <v>160</v>
      </c>
      <c r="Z99" s="468">
        <v>180</v>
      </c>
      <c r="AA99" s="466">
        <v>2.2999999999999998</v>
      </c>
      <c r="AB99" s="466">
        <v>0.2</v>
      </c>
      <c r="AC99" s="466">
        <v>3.7</v>
      </c>
      <c r="AD99" s="466">
        <v>0.3</v>
      </c>
      <c r="AE99" s="466">
        <v>0.33</v>
      </c>
      <c r="AF99" s="468">
        <v>0.36</v>
      </c>
      <c r="AG99" s="466">
        <v>0.44</v>
      </c>
      <c r="AH99" s="468">
        <v>0.48</v>
      </c>
      <c r="AI99" s="466">
        <v>0.68</v>
      </c>
      <c r="AJ99" s="466">
        <v>-3</v>
      </c>
      <c r="AK99" s="466">
        <v>1.7</v>
      </c>
      <c r="AL99" s="524">
        <v>24</v>
      </c>
      <c r="AM99" s="524">
        <v>24</v>
      </c>
    </row>
    <row r="100" spans="1:39" ht="25" customHeight="1" outlineLevel="1">
      <c r="A100" s="476" t="s">
        <v>1017</v>
      </c>
      <c r="B100" s="466">
        <v>135</v>
      </c>
      <c r="C100" s="466">
        <v>-7</v>
      </c>
      <c r="D100" s="466">
        <v>-9</v>
      </c>
      <c r="E100" s="466">
        <v>26</v>
      </c>
      <c r="F100" s="466">
        <v>19</v>
      </c>
      <c r="G100" s="468">
        <v>32</v>
      </c>
      <c r="H100" s="468">
        <v>24</v>
      </c>
      <c r="I100" s="466">
        <v>2910</v>
      </c>
      <c r="J100" s="466">
        <v>2050</v>
      </c>
      <c r="K100" s="472">
        <f t="shared" si="1"/>
        <v>2410</v>
      </c>
      <c r="L100" s="472">
        <v>666</v>
      </c>
      <c r="M100" s="472">
        <v>666</v>
      </c>
      <c r="N100" s="472">
        <v>666</v>
      </c>
      <c r="O100" s="472">
        <v>666</v>
      </c>
      <c r="P100" s="466">
        <v>12</v>
      </c>
      <c r="Q100" s="468">
        <v>15</v>
      </c>
      <c r="R100" s="466">
        <v>150</v>
      </c>
      <c r="S100" s="468">
        <v>188</v>
      </c>
      <c r="T100" s="466">
        <v>2000</v>
      </c>
      <c r="U100" s="468">
        <v>2250</v>
      </c>
      <c r="V100" s="468">
        <v>2.6</v>
      </c>
      <c r="W100" s="466">
        <v>2100</v>
      </c>
      <c r="X100" s="468">
        <v>2170</v>
      </c>
      <c r="Y100" s="466">
        <v>160</v>
      </c>
      <c r="Z100" s="468">
        <v>180</v>
      </c>
      <c r="AA100" s="466">
        <v>3</v>
      </c>
      <c r="AB100" s="466">
        <v>0.3</v>
      </c>
      <c r="AC100" s="466">
        <v>4.7</v>
      </c>
      <c r="AD100" s="466">
        <v>0.5</v>
      </c>
      <c r="AE100" s="466">
        <v>0.34</v>
      </c>
      <c r="AF100" s="468">
        <v>0.37</v>
      </c>
      <c r="AG100" s="466">
        <v>0.45</v>
      </c>
      <c r="AH100" s="468">
        <v>0.5</v>
      </c>
      <c r="AI100" s="466">
        <v>0.69</v>
      </c>
      <c r="AJ100" s="466">
        <v>-3</v>
      </c>
      <c r="AK100" s="466">
        <v>1</v>
      </c>
      <c r="AL100" s="524">
        <v>24</v>
      </c>
      <c r="AM100" s="524">
        <v>24</v>
      </c>
    </row>
    <row r="101" spans="1:39" ht="25" customHeight="1" outlineLevel="1">
      <c r="A101" s="476" t="s">
        <v>1018</v>
      </c>
      <c r="B101" s="466">
        <v>5</v>
      </c>
      <c r="C101" s="466">
        <v>-7</v>
      </c>
      <c r="D101" s="466">
        <v>-9</v>
      </c>
      <c r="E101" s="466">
        <v>27</v>
      </c>
      <c r="F101" s="466">
        <v>19</v>
      </c>
      <c r="G101" s="468">
        <v>33</v>
      </c>
      <c r="H101" s="468">
        <v>24</v>
      </c>
      <c r="I101" s="466">
        <v>2800</v>
      </c>
      <c r="J101" s="466">
        <v>1940</v>
      </c>
      <c r="K101" s="472">
        <f t="shared" si="1"/>
        <v>2300</v>
      </c>
      <c r="L101" s="472">
        <v>666</v>
      </c>
      <c r="M101" s="472">
        <v>666</v>
      </c>
      <c r="N101" s="472">
        <v>666</v>
      </c>
      <c r="O101" s="472">
        <v>666</v>
      </c>
      <c r="P101" s="466">
        <v>10</v>
      </c>
      <c r="Q101" s="468">
        <v>12</v>
      </c>
      <c r="R101" s="466">
        <v>86</v>
      </c>
      <c r="S101" s="468">
        <v>107</v>
      </c>
      <c r="T101" s="466">
        <v>1070</v>
      </c>
      <c r="U101" s="468">
        <v>1170</v>
      </c>
      <c r="V101" s="468">
        <v>1.5</v>
      </c>
      <c r="W101" s="466">
        <v>1100</v>
      </c>
      <c r="X101" s="468">
        <v>1140</v>
      </c>
      <c r="Y101" s="466">
        <v>160</v>
      </c>
      <c r="Z101" s="468">
        <v>180</v>
      </c>
      <c r="AA101" s="466">
        <v>1.5</v>
      </c>
      <c r="AB101" s="466">
        <v>0.2</v>
      </c>
      <c r="AC101" s="466">
        <v>2.4</v>
      </c>
      <c r="AD101" s="466">
        <v>0.3</v>
      </c>
      <c r="AE101" s="466">
        <v>0.36</v>
      </c>
      <c r="AF101" s="468">
        <v>0.4</v>
      </c>
      <c r="AG101" s="466">
        <v>0.45</v>
      </c>
      <c r="AH101" s="468">
        <v>0.5</v>
      </c>
      <c r="AI101" s="466">
        <v>0.65</v>
      </c>
      <c r="AJ101" s="466">
        <v>-3</v>
      </c>
      <c r="AK101" s="466">
        <v>2.5</v>
      </c>
      <c r="AL101" s="524">
        <v>24</v>
      </c>
      <c r="AM101" s="524">
        <v>24</v>
      </c>
    </row>
    <row r="102" spans="1:39" ht="25" customHeight="1" outlineLevel="1">
      <c r="A102" s="476" t="s">
        <v>1019</v>
      </c>
      <c r="B102" s="466">
        <v>90</v>
      </c>
      <c r="C102" s="466">
        <v>-8</v>
      </c>
      <c r="D102" s="466">
        <v>-10</v>
      </c>
      <c r="E102" s="466">
        <v>29</v>
      </c>
      <c r="F102" s="466">
        <v>20</v>
      </c>
      <c r="G102" s="468">
        <v>35</v>
      </c>
      <c r="H102" s="468">
        <v>25</v>
      </c>
      <c r="I102" s="466">
        <v>2750</v>
      </c>
      <c r="J102" s="466">
        <v>1900</v>
      </c>
      <c r="K102" s="472">
        <f t="shared" si="1"/>
        <v>2250</v>
      </c>
      <c r="L102" s="472">
        <v>666</v>
      </c>
      <c r="M102" s="472">
        <v>666</v>
      </c>
      <c r="N102" s="472">
        <v>666</v>
      </c>
      <c r="O102" s="472">
        <v>666</v>
      </c>
      <c r="P102" s="466">
        <v>10</v>
      </c>
      <c r="Q102" s="468">
        <v>12</v>
      </c>
      <c r="R102" s="466">
        <v>128</v>
      </c>
      <c r="S102" s="468">
        <v>159</v>
      </c>
      <c r="T102" s="466">
        <v>1500</v>
      </c>
      <c r="U102" s="468">
        <v>1640</v>
      </c>
      <c r="V102" s="468">
        <v>1.6</v>
      </c>
      <c r="W102" s="466">
        <v>1575</v>
      </c>
      <c r="X102" s="468">
        <v>1620</v>
      </c>
      <c r="Y102" s="466">
        <v>160</v>
      </c>
      <c r="Z102" s="468">
        <v>170</v>
      </c>
      <c r="AA102" s="466">
        <v>2.4</v>
      </c>
      <c r="AB102" s="466">
        <v>0.3</v>
      </c>
      <c r="AC102" s="466">
        <v>3.8</v>
      </c>
      <c r="AD102" s="466">
        <v>0.5</v>
      </c>
      <c r="AE102" s="466">
        <v>0.33</v>
      </c>
      <c r="AF102" s="468">
        <v>0.36</v>
      </c>
      <c r="AG102" s="466">
        <v>0.44</v>
      </c>
      <c r="AH102" s="468">
        <v>0.48</v>
      </c>
      <c r="AI102" s="466">
        <v>0.68</v>
      </c>
      <c r="AJ102" s="466">
        <v>-3</v>
      </c>
      <c r="AK102" s="466">
        <v>1.7</v>
      </c>
      <c r="AL102" s="524">
        <v>25</v>
      </c>
      <c r="AM102" s="524">
        <v>25</v>
      </c>
    </row>
    <row r="103" spans="1:39" ht="25" customHeight="1" outlineLevel="1">
      <c r="A103" s="476" t="s">
        <v>1020</v>
      </c>
      <c r="B103" s="466">
        <v>40</v>
      </c>
      <c r="C103" s="466">
        <v>-7</v>
      </c>
      <c r="D103" s="466">
        <v>-9</v>
      </c>
      <c r="E103" s="466">
        <v>28</v>
      </c>
      <c r="F103" s="466">
        <v>20</v>
      </c>
      <c r="G103" s="468">
        <v>34</v>
      </c>
      <c r="H103" s="468">
        <v>25</v>
      </c>
      <c r="I103" s="466">
        <v>2825</v>
      </c>
      <c r="J103" s="466">
        <v>1970</v>
      </c>
      <c r="K103" s="472">
        <f t="shared" si="1"/>
        <v>2325</v>
      </c>
      <c r="L103" s="472">
        <v>666</v>
      </c>
      <c r="M103" s="472">
        <v>666</v>
      </c>
      <c r="N103" s="472">
        <v>666</v>
      </c>
      <c r="O103" s="472">
        <v>666</v>
      </c>
      <c r="P103" s="466">
        <v>10</v>
      </c>
      <c r="Q103" s="468">
        <v>12</v>
      </c>
      <c r="R103" s="466">
        <v>112</v>
      </c>
      <c r="S103" s="468">
        <v>140</v>
      </c>
      <c r="T103" s="466">
        <v>1325</v>
      </c>
      <c r="U103" s="468">
        <v>1470</v>
      </c>
      <c r="V103" s="468">
        <v>1.7</v>
      </c>
      <c r="W103" s="466">
        <v>1400</v>
      </c>
      <c r="X103" s="468">
        <v>1450</v>
      </c>
      <c r="Y103" s="466">
        <v>160</v>
      </c>
      <c r="Z103" s="468">
        <v>180</v>
      </c>
      <c r="AA103" s="466">
        <v>1.8</v>
      </c>
      <c r="AB103" s="466">
        <v>0.2</v>
      </c>
      <c r="AC103" s="466">
        <v>2.9</v>
      </c>
      <c r="AD103" s="466">
        <v>0.3</v>
      </c>
      <c r="AE103" s="466">
        <v>0.34</v>
      </c>
      <c r="AF103" s="468">
        <v>0.37</v>
      </c>
      <c r="AG103" s="466">
        <v>0.45</v>
      </c>
      <c r="AH103" s="468">
        <v>0.5</v>
      </c>
      <c r="AI103" s="466">
        <v>0.69</v>
      </c>
      <c r="AJ103" s="466">
        <v>-3</v>
      </c>
      <c r="AK103" s="466">
        <v>2.5</v>
      </c>
      <c r="AL103" s="524">
        <v>25</v>
      </c>
      <c r="AM103" s="524">
        <v>25</v>
      </c>
    </row>
    <row r="104" spans="1:39" ht="25" customHeight="1" outlineLevel="1">
      <c r="A104" s="476" t="s">
        <v>1021</v>
      </c>
      <c r="B104" s="466">
        <v>120</v>
      </c>
      <c r="C104" s="466">
        <v>-6</v>
      </c>
      <c r="D104" s="466">
        <v>-8</v>
      </c>
      <c r="E104" s="466">
        <v>28</v>
      </c>
      <c r="F104" s="466">
        <v>20</v>
      </c>
      <c r="G104" s="468">
        <v>34</v>
      </c>
      <c r="H104" s="468">
        <v>25</v>
      </c>
      <c r="I104" s="466">
        <v>2925</v>
      </c>
      <c r="J104" s="466">
        <v>2060</v>
      </c>
      <c r="K104" s="472">
        <f t="shared" si="1"/>
        <v>2425</v>
      </c>
      <c r="L104" s="472">
        <v>666</v>
      </c>
      <c r="M104" s="472">
        <v>666</v>
      </c>
      <c r="N104" s="472">
        <v>666</v>
      </c>
      <c r="O104" s="472">
        <v>666</v>
      </c>
      <c r="P104" s="466">
        <v>10</v>
      </c>
      <c r="Q104" s="468">
        <v>12</v>
      </c>
      <c r="R104" s="466">
        <v>107</v>
      </c>
      <c r="S104" s="468">
        <v>133</v>
      </c>
      <c r="T104" s="466">
        <v>1325</v>
      </c>
      <c r="U104" s="468">
        <v>1460</v>
      </c>
      <c r="V104" s="468">
        <v>1.7</v>
      </c>
      <c r="W104" s="466">
        <v>1400</v>
      </c>
      <c r="X104" s="468">
        <v>1450</v>
      </c>
      <c r="Y104" s="466">
        <v>160</v>
      </c>
      <c r="Z104" s="468">
        <v>180</v>
      </c>
      <c r="AA104" s="466">
        <v>1.9</v>
      </c>
      <c r="AB104" s="466">
        <v>0.3</v>
      </c>
      <c r="AC104" s="466">
        <v>3</v>
      </c>
      <c r="AD104" s="466">
        <v>0.5</v>
      </c>
      <c r="AE104" s="466">
        <v>0.36</v>
      </c>
      <c r="AF104" s="468">
        <v>0.4</v>
      </c>
      <c r="AG104" s="466">
        <v>0.45</v>
      </c>
      <c r="AH104" s="468">
        <v>0.5</v>
      </c>
      <c r="AI104" s="466">
        <v>0.65</v>
      </c>
      <c r="AJ104" s="466">
        <v>-3</v>
      </c>
      <c r="AK104" s="466">
        <v>2.5</v>
      </c>
      <c r="AL104" s="524">
        <v>25</v>
      </c>
      <c r="AM104" s="524">
        <v>25</v>
      </c>
    </row>
    <row r="105" spans="1:39" ht="25" customHeight="1" outlineLevel="1">
      <c r="A105" s="476" t="s">
        <v>1022</v>
      </c>
      <c r="B105" s="466">
        <v>45</v>
      </c>
      <c r="C105" s="466">
        <v>-7</v>
      </c>
      <c r="D105" s="466">
        <v>-9</v>
      </c>
      <c r="E105" s="466">
        <v>28</v>
      </c>
      <c r="F105" s="466">
        <v>19</v>
      </c>
      <c r="G105" s="468">
        <v>34</v>
      </c>
      <c r="H105" s="468">
        <v>24</v>
      </c>
      <c r="I105" s="466">
        <v>2950</v>
      </c>
      <c r="J105" s="466">
        <v>2080</v>
      </c>
      <c r="K105" s="472">
        <f t="shared" si="1"/>
        <v>2450</v>
      </c>
      <c r="L105" s="472">
        <v>666</v>
      </c>
      <c r="M105" s="472">
        <v>666</v>
      </c>
      <c r="N105" s="472">
        <v>666</v>
      </c>
      <c r="O105" s="472">
        <v>666</v>
      </c>
      <c r="P105" s="466">
        <v>12</v>
      </c>
      <c r="Q105" s="468">
        <v>15</v>
      </c>
      <c r="R105" s="466">
        <v>150</v>
      </c>
      <c r="S105" s="468">
        <v>188</v>
      </c>
      <c r="T105" s="466">
        <v>1600</v>
      </c>
      <c r="U105" s="468">
        <v>1800</v>
      </c>
      <c r="V105" s="468">
        <v>2.1</v>
      </c>
      <c r="W105" s="466">
        <v>1700</v>
      </c>
      <c r="X105" s="468">
        <v>1760</v>
      </c>
      <c r="Y105" s="466">
        <v>160</v>
      </c>
      <c r="Z105" s="468">
        <v>180</v>
      </c>
      <c r="AA105" s="466">
        <v>2.4</v>
      </c>
      <c r="AB105" s="466">
        <v>0.2</v>
      </c>
      <c r="AC105" s="466">
        <v>3.8</v>
      </c>
      <c r="AD105" s="466">
        <v>0.3</v>
      </c>
      <c r="AE105" s="466">
        <v>0.36</v>
      </c>
      <c r="AF105" s="468">
        <v>0.4</v>
      </c>
      <c r="AG105" s="466">
        <v>0.48</v>
      </c>
      <c r="AH105" s="468">
        <v>0.53</v>
      </c>
      <c r="AI105" s="466">
        <v>0.75</v>
      </c>
      <c r="AJ105" s="466">
        <v>-3</v>
      </c>
      <c r="AK105" s="466">
        <v>2</v>
      </c>
      <c r="AL105" s="524">
        <v>24</v>
      </c>
      <c r="AM105" s="524">
        <v>24</v>
      </c>
    </row>
    <row r="106" spans="1:39" ht="25" customHeight="1" outlineLevel="1">
      <c r="A106" s="476" t="s">
        <v>1023</v>
      </c>
      <c r="B106" s="466">
        <v>405</v>
      </c>
      <c r="C106" s="466">
        <v>-20</v>
      </c>
      <c r="D106" s="466">
        <v>-23</v>
      </c>
      <c r="E106" s="466">
        <v>33</v>
      </c>
      <c r="F106" s="466">
        <v>20</v>
      </c>
      <c r="G106" s="468">
        <v>38</v>
      </c>
      <c r="H106" s="468">
        <v>24</v>
      </c>
      <c r="I106" s="466">
        <v>3600</v>
      </c>
      <c r="J106" s="466">
        <v>2690</v>
      </c>
      <c r="K106" s="472">
        <f t="shared" si="1"/>
        <v>3100</v>
      </c>
      <c r="L106" s="472">
        <v>666</v>
      </c>
      <c r="M106" s="472">
        <v>666</v>
      </c>
      <c r="N106" s="472">
        <v>666</v>
      </c>
      <c r="O106" s="472">
        <v>666</v>
      </c>
      <c r="P106" s="466">
        <v>13</v>
      </c>
      <c r="Q106" s="468">
        <v>17</v>
      </c>
      <c r="R106" s="466">
        <v>43</v>
      </c>
      <c r="S106" s="468">
        <v>55</v>
      </c>
      <c r="T106" s="466">
        <v>350</v>
      </c>
      <c r="U106" s="468">
        <v>510</v>
      </c>
      <c r="V106" s="468">
        <v>0.5</v>
      </c>
      <c r="W106" s="466">
        <v>400</v>
      </c>
      <c r="X106" s="468">
        <v>480</v>
      </c>
      <c r="Y106" s="466">
        <v>80</v>
      </c>
      <c r="Z106" s="468">
        <v>110</v>
      </c>
      <c r="AA106" s="466">
        <v>2.2000000000000002</v>
      </c>
      <c r="AB106" s="466">
        <v>0.1</v>
      </c>
      <c r="AC106" s="466">
        <v>3.2</v>
      </c>
      <c r="AD106" s="466">
        <v>0.1</v>
      </c>
      <c r="AE106" s="466">
        <v>0.3</v>
      </c>
      <c r="AF106" s="468">
        <v>0.32</v>
      </c>
      <c r="AG106" s="466">
        <v>0.4</v>
      </c>
      <c r="AH106" s="468">
        <v>0.42</v>
      </c>
      <c r="AI106" s="466">
        <v>0.62</v>
      </c>
      <c r="AJ106" s="466">
        <v>-5</v>
      </c>
      <c r="AK106" s="466">
        <v>1.5</v>
      </c>
      <c r="AL106" s="524">
        <v>24</v>
      </c>
      <c r="AM106" s="524">
        <v>24</v>
      </c>
    </row>
    <row r="107" spans="1:39" ht="25" customHeight="1" outlineLevel="1">
      <c r="A107" s="476" t="s">
        <v>1024</v>
      </c>
      <c r="K107" s="472"/>
      <c r="L107" s="472"/>
      <c r="M107" s="472"/>
      <c r="N107" s="472"/>
      <c r="O107" s="472"/>
    </row>
    <row r="108" spans="1:39" ht="25" customHeight="1" outlineLevel="1">
      <c r="A108" s="476" t="s">
        <v>1025</v>
      </c>
      <c r="B108" s="466">
        <v>10</v>
      </c>
      <c r="C108" s="466">
        <v>-4</v>
      </c>
      <c r="D108" s="466">
        <v>-6</v>
      </c>
      <c r="E108" s="466">
        <v>24</v>
      </c>
      <c r="F108" s="466">
        <v>17</v>
      </c>
      <c r="G108" s="468">
        <v>30</v>
      </c>
      <c r="H108" s="468">
        <v>21</v>
      </c>
      <c r="I108" s="466">
        <v>2650</v>
      </c>
      <c r="J108" s="466">
        <v>1730</v>
      </c>
      <c r="K108" s="472">
        <f t="shared" si="1"/>
        <v>2150</v>
      </c>
      <c r="L108" s="472">
        <v>666</v>
      </c>
      <c r="M108" s="472">
        <v>666</v>
      </c>
      <c r="N108" s="472">
        <v>666</v>
      </c>
      <c r="O108" s="472">
        <v>666</v>
      </c>
      <c r="P108" s="466">
        <v>8</v>
      </c>
      <c r="Q108" s="468">
        <v>10</v>
      </c>
      <c r="R108" s="466">
        <v>91</v>
      </c>
      <c r="S108" s="468">
        <v>112</v>
      </c>
      <c r="T108" s="466">
        <v>800</v>
      </c>
      <c r="U108" s="468">
        <v>910</v>
      </c>
      <c r="V108" s="468">
        <v>1.1000000000000001</v>
      </c>
      <c r="W108" s="466">
        <v>825</v>
      </c>
      <c r="X108" s="468">
        <v>910</v>
      </c>
      <c r="Y108" s="466">
        <v>220</v>
      </c>
      <c r="Z108" s="468">
        <v>250</v>
      </c>
      <c r="AA108" s="466">
        <v>1.1000000000000001</v>
      </c>
      <c r="AB108" s="466">
        <v>0.2</v>
      </c>
      <c r="AC108" s="466">
        <v>1.8</v>
      </c>
      <c r="AD108" s="466">
        <v>0.3</v>
      </c>
      <c r="AE108" s="466">
        <v>0.46</v>
      </c>
      <c r="AF108" s="468">
        <v>0.51</v>
      </c>
      <c r="AG108" s="466">
        <v>0.56999999999999995</v>
      </c>
      <c r="AH108" s="468">
        <v>0.63</v>
      </c>
      <c r="AI108" s="466">
        <v>0.81</v>
      </c>
      <c r="AJ108" s="466">
        <v>-2</v>
      </c>
      <c r="AK108" s="466">
        <v>4.7</v>
      </c>
      <c r="AL108" s="524">
        <v>21</v>
      </c>
      <c r="AM108" s="524">
        <v>21</v>
      </c>
    </row>
    <row r="109" spans="1:39" ht="25" customHeight="1" outlineLevel="1">
      <c r="A109" s="476" t="s">
        <v>1026</v>
      </c>
      <c r="B109" s="466">
        <v>65</v>
      </c>
      <c r="C109" s="466">
        <v>-4</v>
      </c>
      <c r="D109" s="466">
        <v>-6</v>
      </c>
      <c r="E109" s="466">
        <v>24</v>
      </c>
      <c r="F109" s="466">
        <v>17</v>
      </c>
      <c r="G109" s="468">
        <v>30</v>
      </c>
      <c r="H109" s="468">
        <v>21</v>
      </c>
      <c r="I109" s="466">
        <v>2700</v>
      </c>
      <c r="J109" s="466">
        <v>1690</v>
      </c>
      <c r="K109" s="472">
        <f t="shared" si="1"/>
        <v>2200</v>
      </c>
      <c r="L109" s="472">
        <v>666</v>
      </c>
      <c r="M109" s="472">
        <v>666</v>
      </c>
      <c r="N109" s="472">
        <v>666</v>
      </c>
      <c r="O109" s="472">
        <v>666</v>
      </c>
      <c r="P109" s="466">
        <v>9</v>
      </c>
      <c r="Q109" s="468">
        <v>11</v>
      </c>
      <c r="R109" s="466">
        <v>91</v>
      </c>
      <c r="S109" s="468">
        <v>112</v>
      </c>
      <c r="T109" s="466">
        <v>600</v>
      </c>
      <c r="U109" s="468">
        <v>680</v>
      </c>
      <c r="V109" s="468">
        <v>0.9</v>
      </c>
      <c r="W109" s="466">
        <v>625</v>
      </c>
      <c r="X109" s="468">
        <v>690</v>
      </c>
      <c r="Y109" s="466">
        <v>220</v>
      </c>
      <c r="Z109" s="468">
        <v>250</v>
      </c>
      <c r="AA109" s="466">
        <v>1.5</v>
      </c>
      <c r="AB109" s="466">
        <v>0.3</v>
      </c>
      <c r="AC109" s="466">
        <v>2.5</v>
      </c>
      <c r="AD109" s="466">
        <v>0.5</v>
      </c>
      <c r="AE109" s="466">
        <v>0.46</v>
      </c>
      <c r="AF109" s="468">
        <v>0.51</v>
      </c>
      <c r="AG109" s="466">
        <v>0.56999999999999995</v>
      </c>
      <c r="AH109" s="468">
        <v>0.63</v>
      </c>
      <c r="AI109" s="466">
        <v>0.81</v>
      </c>
      <c r="AJ109" s="466">
        <v>-2</v>
      </c>
      <c r="AK109" s="466">
        <v>4.7</v>
      </c>
      <c r="AL109" s="524">
        <v>21</v>
      </c>
      <c r="AM109" s="524">
        <v>21</v>
      </c>
    </row>
    <row r="110" spans="1:39" ht="25" customHeight="1" outlineLevel="1">
      <c r="A110" s="476" t="s">
        <v>1027</v>
      </c>
      <c r="B110" s="466">
        <v>125</v>
      </c>
      <c r="C110" s="466">
        <v>-6</v>
      </c>
      <c r="D110" s="466">
        <v>-8</v>
      </c>
      <c r="E110" s="466">
        <v>24</v>
      </c>
      <c r="F110" s="466">
        <v>16</v>
      </c>
      <c r="G110" s="468">
        <v>30</v>
      </c>
      <c r="H110" s="468">
        <v>20</v>
      </c>
      <c r="I110" s="466">
        <v>2700</v>
      </c>
      <c r="J110" s="466">
        <v>1730</v>
      </c>
      <c r="K110" s="472">
        <f t="shared" si="1"/>
        <v>2200</v>
      </c>
      <c r="L110" s="472">
        <v>666</v>
      </c>
      <c r="M110" s="472">
        <v>666</v>
      </c>
      <c r="N110" s="472">
        <v>666</v>
      </c>
      <c r="O110" s="472">
        <v>666</v>
      </c>
      <c r="P110" s="466">
        <v>9</v>
      </c>
      <c r="Q110" s="468">
        <v>11</v>
      </c>
      <c r="R110" s="466">
        <v>91</v>
      </c>
      <c r="S110" s="468">
        <v>112</v>
      </c>
      <c r="T110" s="466">
        <v>775</v>
      </c>
      <c r="U110" s="468">
        <v>860</v>
      </c>
      <c r="V110" s="468">
        <v>1.1000000000000001</v>
      </c>
      <c r="W110" s="466">
        <v>800</v>
      </c>
      <c r="X110" s="468">
        <v>860</v>
      </c>
      <c r="Y110" s="466">
        <v>220</v>
      </c>
      <c r="Z110" s="468">
        <v>250</v>
      </c>
      <c r="AA110" s="466">
        <v>2.1</v>
      </c>
      <c r="AB110" s="466">
        <v>0.3</v>
      </c>
      <c r="AC110" s="466">
        <v>3.5</v>
      </c>
      <c r="AD110" s="466">
        <v>0.5</v>
      </c>
      <c r="AE110" s="466">
        <v>0.46</v>
      </c>
      <c r="AF110" s="468">
        <v>0.48</v>
      </c>
      <c r="AG110" s="466">
        <v>0.56999999999999995</v>
      </c>
      <c r="AH110" s="468">
        <v>0.6</v>
      </c>
      <c r="AI110" s="466">
        <v>0.78</v>
      </c>
      <c r="AJ110" s="466">
        <v>-2</v>
      </c>
      <c r="AK110" s="466">
        <v>4</v>
      </c>
      <c r="AL110" s="524">
        <v>20</v>
      </c>
      <c r="AM110" s="524">
        <v>20</v>
      </c>
    </row>
    <row r="111" spans="1:39" ht="25" customHeight="1" outlineLevel="1">
      <c r="A111" s="476" t="s">
        <v>1028</v>
      </c>
      <c r="B111" s="466">
        <v>665</v>
      </c>
      <c r="C111" s="466">
        <v>-17</v>
      </c>
      <c r="D111" s="466">
        <v>-20</v>
      </c>
      <c r="E111" s="466">
        <v>30</v>
      </c>
      <c r="F111" s="466">
        <v>20</v>
      </c>
      <c r="G111" s="468">
        <v>36</v>
      </c>
      <c r="H111" s="468">
        <v>25</v>
      </c>
      <c r="I111" s="466">
        <v>4180</v>
      </c>
      <c r="J111" s="466">
        <v>3240</v>
      </c>
      <c r="K111" s="472">
        <f t="shared" si="1"/>
        <v>3680</v>
      </c>
      <c r="L111" s="472">
        <v>666</v>
      </c>
      <c r="M111" s="472">
        <v>666</v>
      </c>
      <c r="N111" s="472">
        <v>666</v>
      </c>
      <c r="O111" s="472">
        <v>666</v>
      </c>
      <c r="P111" s="466">
        <v>10</v>
      </c>
      <c r="Q111" s="468">
        <v>13</v>
      </c>
      <c r="R111" s="466">
        <v>85</v>
      </c>
      <c r="S111" s="468">
        <v>112</v>
      </c>
      <c r="T111" s="466">
        <v>845</v>
      </c>
      <c r="U111" s="468">
        <v>1330</v>
      </c>
      <c r="V111" s="468">
        <v>1.2</v>
      </c>
      <c r="W111" s="466">
        <v>1215</v>
      </c>
      <c r="X111" s="468">
        <v>1300</v>
      </c>
      <c r="Y111" s="466">
        <v>160</v>
      </c>
      <c r="Z111" s="468">
        <v>200</v>
      </c>
      <c r="AA111" s="466">
        <v>9.5</v>
      </c>
      <c r="AB111" s="466">
        <v>0.9</v>
      </c>
      <c r="AC111" s="466">
        <v>13.9</v>
      </c>
      <c r="AD111" s="466">
        <v>1.3</v>
      </c>
      <c r="AE111" s="466">
        <v>0.24</v>
      </c>
      <c r="AF111" s="468">
        <v>0.26</v>
      </c>
      <c r="AG111" s="466">
        <v>0.32</v>
      </c>
      <c r="AH111" s="468">
        <v>0.35</v>
      </c>
      <c r="AI111" s="466">
        <v>0.5</v>
      </c>
      <c r="AJ111" s="466">
        <v>-4</v>
      </c>
      <c r="AK111" s="466">
        <v>1</v>
      </c>
      <c r="AL111" s="524">
        <v>25</v>
      </c>
      <c r="AM111" s="524">
        <v>25</v>
      </c>
    </row>
    <row r="112" spans="1:39" ht="25" customHeight="1" outlineLevel="1">
      <c r="A112" s="476" t="s">
        <v>1029</v>
      </c>
      <c r="B112" s="466">
        <v>30</v>
      </c>
      <c r="C112" s="466">
        <v>-5</v>
      </c>
      <c r="D112" s="466">
        <v>-7</v>
      </c>
      <c r="E112" s="466">
        <v>25</v>
      </c>
      <c r="F112" s="466">
        <v>20</v>
      </c>
      <c r="G112" s="468">
        <v>31</v>
      </c>
      <c r="H112" s="468">
        <v>25</v>
      </c>
      <c r="I112" s="466">
        <v>2620</v>
      </c>
      <c r="J112" s="466">
        <v>1770</v>
      </c>
      <c r="K112" s="472">
        <f t="shared" si="1"/>
        <v>2120</v>
      </c>
      <c r="L112" s="472">
        <v>666</v>
      </c>
      <c r="M112" s="472">
        <v>666</v>
      </c>
      <c r="N112" s="472">
        <v>666</v>
      </c>
      <c r="O112" s="472">
        <v>666</v>
      </c>
      <c r="P112" s="466">
        <v>10</v>
      </c>
      <c r="Q112" s="468">
        <v>12</v>
      </c>
      <c r="R112" s="466">
        <v>80</v>
      </c>
      <c r="S112" s="468">
        <v>99</v>
      </c>
      <c r="T112" s="466">
        <v>1065</v>
      </c>
      <c r="U112" s="468">
        <v>1160</v>
      </c>
      <c r="V112" s="468">
        <v>1.2</v>
      </c>
      <c r="W112" s="466">
        <v>1100</v>
      </c>
      <c r="X112" s="468">
        <v>1140</v>
      </c>
      <c r="Y112" s="466">
        <v>160</v>
      </c>
      <c r="Z112" s="468">
        <v>170</v>
      </c>
      <c r="AA112" s="466">
        <v>2</v>
      </c>
      <c r="AB112" s="466">
        <v>0.2</v>
      </c>
      <c r="AC112" s="466">
        <v>3.3</v>
      </c>
      <c r="AD112" s="466">
        <v>0.3</v>
      </c>
      <c r="AE112" s="466">
        <v>0.33</v>
      </c>
      <c r="AF112" s="468">
        <v>0.36</v>
      </c>
      <c r="AG112" s="466">
        <v>0.44</v>
      </c>
      <c r="AH112" s="468">
        <v>0.48</v>
      </c>
      <c r="AI112" s="466">
        <v>0.68</v>
      </c>
      <c r="AJ112" s="466">
        <v>-3</v>
      </c>
      <c r="AK112" s="466">
        <v>1.7</v>
      </c>
      <c r="AL112" s="524">
        <v>25</v>
      </c>
      <c r="AM112" s="524">
        <v>25</v>
      </c>
    </row>
    <row r="113" spans="1:40" ht="25" customHeight="1" outlineLevel="1">
      <c r="A113" s="476" t="s">
        <v>1030</v>
      </c>
      <c r="B113" s="466">
        <v>615</v>
      </c>
      <c r="C113" s="466">
        <v>-30</v>
      </c>
      <c r="D113" s="466">
        <v>-33</v>
      </c>
      <c r="E113" s="466">
        <v>29</v>
      </c>
      <c r="F113" s="466">
        <v>17</v>
      </c>
      <c r="G113" s="468">
        <v>34</v>
      </c>
      <c r="H113" s="468">
        <v>21</v>
      </c>
      <c r="I113" s="466">
        <v>4400</v>
      </c>
      <c r="J113" s="466">
        <v>3450</v>
      </c>
      <c r="K113" s="472">
        <f t="shared" si="1"/>
        <v>3900</v>
      </c>
      <c r="L113" s="472">
        <v>666</v>
      </c>
      <c r="M113" s="472">
        <v>666</v>
      </c>
      <c r="N113" s="472">
        <v>666</v>
      </c>
      <c r="O113" s="472">
        <v>666</v>
      </c>
      <c r="P113" s="466">
        <v>10</v>
      </c>
      <c r="Q113" s="468">
        <v>13</v>
      </c>
      <c r="R113" s="466">
        <v>48</v>
      </c>
      <c r="S113" s="468">
        <v>61</v>
      </c>
      <c r="T113" s="466">
        <v>350</v>
      </c>
      <c r="U113" s="468">
        <v>520</v>
      </c>
      <c r="V113" s="468">
        <v>0.6</v>
      </c>
      <c r="W113" s="466">
        <v>425</v>
      </c>
      <c r="X113" s="468">
        <v>540</v>
      </c>
      <c r="Y113" s="466">
        <v>80</v>
      </c>
      <c r="Z113" s="468">
        <v>100</v>
      </c>
      <c r="AA113" s="466">
        <v>2.4</v>
      </c>
      <c r="AB113" s="466">
        <v>0.2</v>
      </c>
      <c r="AC113" s="466">
        <v>3.6</v>
      </c>
      <c r="AD113" s="466">
        <v>0.3</v>
      </c>
      <c r="AE113" s="466">
        <v>0.27</v>
      </c>
      <c r="AF113" s="468">
        <v>0.3</v>
      </c>
      <c r="AG113" s="466">
        <v>0.35</v>
      </c>
      <c r="AH113" s="468">
        <v>0.39</v>
      </c>
      <c r="AI113" s="466">
        <v>0.57999999999999996</v>
      </c>
      <c r="AJ113" s="466">
        <v>-7</v>
      </c>
      <c r="AK113" s="466">
        <v>2.9</v>
      </c>
      <c r="AL113" s="524">
        <v>21</v>
      </c>
      <c r="AM113" s="524">
        <v>21</v>
      </c>
    </row>
    <row r="114" spans="1:40" s="473" customFormat="1" ht="25" customHeight="1" outlineLevel="1" thickBot="1">
      <c r="A114" s="477" t="s">
        <v>1031</v>
      </c>
      <c r="B114" s="473">
        <v>200</v>
      </c>
      <c r="C114" s="473">
        <v>-5</v>
      </c>
      <c r="D114" s="473">
        <v>-8</v>
      </c>
      <c r="E114" s="473">
        <v>31</v>
      </c>
      <c r="F114" s="473">
        <v>19</v>
      </c>
      <c r="G114" s="474">
        <v>36</v>
      </c>
      <c r="H114" s="474">
        <v>24</v>
      </c>
      <c r="I114" s="473">
        <v>3050</v>
      </c>
      <c r="J114" s="473">
        <v>2180</v>
      </c>
      <c r="K114" s="472">
        <f t="shared" si="1"/>
        <v>2550</v>
      </c>
      <c r="L114" s="472">
        <v>666</v>
      </c>
      <c r="M114" s="472">
        <v>666</v>
      </c>
      <c r="N114" s="472">
        <v>666</v>
      </c>
      <c r="O114" s="472">
        <v>666</v>
      </c>
      <c r="P114" s="473">
        <v>10</v>
      </c>
      <c r="Q114" s="474">
        <v>12</v>
      </c>
      <c r="R114" s="473">
        <v>161</v>
      </c>
      <c r="S114" s="474">
        <v>198</v>
      </c>
      <c r="T114" s="473">
        <v>2000</v>
      </c>
      <c r="U114" s="474">
        <v>2190</v>
      </c>
      <c r="V114" s="474">
        <v>2.2000000000000002</v>
      </c>
      <c r="W114" s="473">
        <v>2100</v>
      </c>
      <c r="X114" s="474">
        <v>2220</v>
      </c>
      <c r="Y114" s="473">
        <v>200</v>
      </c>
      <c r="Z114" s="474">
        <v>220</v>
      </c>
      <c r="AA114" s="473">
        <v>3.5</v>
      </c>
      <c r="AB114" s="473">
        <v>0.7</v>
      </c>
      <c r="AC114" s="473">
        <v>5.6</v>
      </c>
      <c r="AD114" s="473">
        <v>1.1000000000000001</v>
      </c>
      <c r="AE114" s="473">
        <v>0.26</v>
      </c>
      <c r="AF114" s="474">
        <v>0.28999999999999998</v>
      </c>
      <c r="AG114" s="473">
        <v>0.32</v>
      </c>
      <c r="AH114" s="474">
        <v>0.35</v>
      </c>
      <c r="AI114" s="473">
        <v>0.45</v>
      </c>
      <c r="AJ114" s="473">
        <v>-2</v>
      </c>
      <c r="AK114" s="473">
        <v>1</v>
      </c>
      <c r="AL114" s="525">
        <v>24</v>
      </c>
      <c r="AM114" s="525">
        <v>24</v>
      </c>
      <c r="AN114" s="701"/>
    </row>
    <row r="115" spans="1:40" s="480" customFormat="1" ht="25" customHeight="1" thickTop="1" thickBot="1">
      <c r="A115" s="478" t="s">
        <v>1033</v>
      </c>
      <c r="K115" s="483"/>
      <c r="L115" s="483"/>
      <c r="M115" s="483"/>
      <c r="N115" s="483"/>
      <c r="O115" s="483"/>
      <c r="V115" s="480" t="s">
        <v>1416</v>
      </c>
      <c r="AL115" s="526"/>
      <c r="AM115" s="526"/>
      <c r="AN115" s="702"/>
    </row>
    <row r="116" spans="1:40" s="471" customFormat="1" ht="25" customHeight="1" outlineLevel="1" thickTop="1">
      <c r="A116" s="475" t="s">
        <v>1034</v>
      </c>
      <c r="B116" s="471">
        <v>515</v>
      </c>
      <c r="C116" s="471">
        <v>-35</v>
      </c>
      <c r="D116" s="471">
        <v>-38</v>
      </c>
      <c r="E116" s="471">
        <v>27</v>
      </c>
      <c r="F116" s="471">
        <v>19</v>
      </c>
      <c r="G116" s="472">
        <v>32</v>
      </c>
      <c r="H116" s="472">
        <v>23</v>
      </c>
      <c r="I116" s="471">
        <v>6000</v>
      </c>
      <c r="J116" s="471">
        <v>5000</v>
      </c>
      <c r="K116" s="472">
        <f t="shared" si="1"/>
        <v>5500</v>
      </c>
      <c r="L116" s="472">
        <v>666</v>
      </c>
      <c r="M116" s="472">
        <v>666</v>
      </c>
      <c r="N116" s="472">
        <v>666</v>
      </c>
      <c r="O116" s="472">
        <v>666</v>
      </c>
      <c r="P116" s="471">
        <v>18</v>
      </c>
      <c r="Q116" s="472">
        <v>23</v>
      </c>
      <c r="R116" s="471">
        <v>86</v>
      </c>
      <c r="S116" s="472">
        <v>109</v>
      </c>
      <c r="T116" s="471">
        <v>370</v>
      </c>
      <c r="U116" s="472">
        <v>440</v>
      </c>
      <c r="V116" s="472">
        <v>0.6</v>
      </c>
      <c r="W116" s="471">
        <v>480</v>
      </c>
      <c r="X116" s="472">
        <v>550</v>
      </c>
      <c r="Y116" s="471">
        <v>80</v>
      </c>
      <c r="Z116" s="472"/>
      <c r="AA116" s="471">
        <v>1.5</v>
      </c>
      <c r="AB116" s="471">
        <v>0.1</v>
      </c>
      <c r="AC116" s="471">
        <v>2.1</v>
      </c>
      <c r="AD116" s="471">
        <v>0.1</v>
      </c>
      <c r="AE116" s="471">
        <v>0.27</v>
      </c>
      <c r="AF116" s="472">
        <v>0.28000000000000003</v>
      </c>
      <c r="AG116" s="471">
        <v>0.36</v>
      </c>
      <c r="AH116" s="472">
        <v>0.38</v>
      </c>
      <c r="AI116" s="471">
        <v>0.59</v>
      </c>
      <c r="AJ116" s="471">
        <v>-10</v>
      </c>
      <c r="AK116" s="471">
        <v>2.4</v>
      </c>
      <c r="AL116" s="490">
        <v>23</v>
      </c>
      <c r="AM116" s="490">
        <v>23</v>
      </c>
      <c r="AN116" s="699"/>
    </row>
    <row r="117" spans="1:40" ht="25" customHeight="1" outlineLevel="1">
      <c r="A117" s="476" t="s">
        <v>1035</v>
      </c>
      <c r="B117" s="466">
        <v>1400</v>
      </c>
      <c r="C117" s="466">
        <v>-31</v>
      </c>
      <c r="D117" s="466">
        <v>-33</v>
      </c>
      <c r="E117" s="466">
        <v>27</v>
      </c>
      <c r="F117" s="466">
        <v>16</v>
      </c>
      <c r="G117" s="468">
        <v>33</v>
      </c>
      <c r="H117" s="468">
        <v>20</v>
      </c>
      <c r="I117" s="466">
        <v>5500</v>
      </c>
      <c r="J117" s="466">
        <v>4520</v>
      </c>
      <c r="K117" s="472">
        <f t="shared" si="1"/>
        <v>5000</v>
      </c>
      <c r="L117" s="472">
        <v>666</v>
      </c>
      <c r="M117" s="472">
        <v>666</v>
      </c>
      <c r="N117" s="472">
        <v>666</v>
      </c>
      <c r="O117" s="472">
        <v>666</v>
      </c>
      <c r="P117" s="466">
        <v>18</v>
      </c>
      <c r="Q117" s="468">
        <v>23</v>
      </c>
      <c r="R117" s="466">
        <v>65</v>
      </c>
      <c r="S117" s="468">
        <v>82</v>
      </c>
      <c r="T117" s="466">
        <v>300</v>
      </c>
      <c r="U117" s="468">
        <v>370</v>
      </c>
      <c r="V117" s="468">
        <v>0.6</v>
      </c>
      <c r="W117" s="466">
        <v>500</v>
      </c>
      <c r="X117" s="468">
        <v>550</v>
      </c>
      <c r="Y117" s="466">
        <v>120</v>
      </c>
      <c r="Z117" s="468">
        <v>140</v>
      </c>
      <c r="AA117" s="466">
        <v>3.3</v>
      </c>
      <c r="AB117" s="466">
        <v>0.1</v>
      </c>
      <c r="AC117" s="466">
        <v>4.8</v>
      </c>
      <c r="AD117" s="466">
        <v>0.1</v>
      </c>
      <c r="AE117" s="466">
        <v>0.26</v>
      </c>
      <c r="AF117" s="468">
        <v>0.27</v>
      </c>
      <c r="AG117" s="466">
        <v>0.32</v>
      </c>
      <c r="AH117" s="468">
        <v>0.34</v>
      </c>
      <c r="AI117" s="466">
        <v>0.47</v>
      </c>
      <c r="AJ117" s="466">
        <v>-8</v>
      </c>
      <c r="AK117" s="466">
        <v>2.2999999999999998</v>
      </c>
      <c r="AL117" s="524">
        <v>20</v>
      </c>
      <c r="AM117" s="524">
        <v>20</v>
      </c>
    </row>
    <row r="118" spans="1:40" ht="25" customHeight="1" outlineLevel="1">
      <c r="A118" s="476" t="s">
        <v>1036</v>
      </c>
      <c r="B118" s="466">
        <v>645</v>
      </c>
      <c r="C118" s="466">
        <v>-33</v>
      </c>
      <c r="D118" s="466">
        <v>-36</v>
      </c>
      <c r="E118" s="466">
        <v>27</v>
      </c>
      <c r="F118" s="466">
        <v>19</v>
      </c>
      <c r="G118" s="468">
        <v>32</v>
      </c>
      <c r="H118" s="468">
        <v>23</v>
      </c>
      <c r="I118" s="466">
        <v>5740</v>
      </c>
      <c r="J118" s="466">
        <v>4750</v>
      </c>
      <c r="K118" s="472">
        <f t="shared" si="1"/>
        <v>5240</v>
      </c>
      <c r="L118" s="472">
        <v>666</v>
      </c>
      <c r="M118" s="472">
        <v>666</v>
      </c>
      <c r="N118" s="472">
        <v>666</v>
      </c>
      <c r="O118" s="472">
        <v>666</v>
      </c>
      <c r="P118" s="466">
        <v>20</v>
      </c>
      <c r="Q118" s="468">
        <v>25</v>
      </c>
      <c r="R118" s="466">
        <v>86</v>
      </c>
      <c r="S118" s="468">
        <v>109</v>
      </c>
      <c r="T118" s="466">
        <v>375</v>
      </c>
      <c r="U118" s="468">
        <v>450</v>
      </c>
      <c r="V118" s="468">
        <v>0.6</v>
      </c>
      <c r="W118" s="466">
        <v>475</v>
      </c>
      <c r="X118" s="468">
        <v>550</v>
      </c>
      <c r="Y118" s="466">
        <v>100</v>
      </c>
      <c r="AA118" s="466">
        <v>1.7</v>
      </c>
      <c r="AB118" s="466">
        <v>0.1</v>
      </c>
      <c r="AC118" s="466">
        <v>2.5</v>
      </c>
      <c r="AD118" s="466">
        <v>0.2</v>
      </c>
      <c r="AE118" s="466">
        <v>0.35</v>
      </c>
      <c r="AF118" s="468">
        <v>0.37</v>
      </c>
      <c r="AG118" s="466">
        <v>0.44</v>
      </c>
      <c r="AH118" s="468">
        <v>0.46</v>
      </c>
      <c r="AI118" s="466">
        <v>0.67</v>
      </c>
      <c r="AJ118" s="466">
        <v>-11</v>
      </c>
      <c r="AK118" s="466">
        <v>2</v>
      </c>
      <c r="AL118" s="524">
        <v>23</v>
      </c>
      <c r="AM118" s="524">
        <v>23</v>
      </c>
    </row>
    <row r="119" spans="1:40" ht="25" customHeight="1" outlineLevel="1">
      <c r="A119" s="476" t="s">
        <v>1037</v>
      </c>
      <c r="B119" s="466">
        <v>730</v>
      </c>
      <c r="C119" s="466">
        <v>-36</v>
      </c>
      <c r="D119" s="466">
        <v>-39</v>
      </c>
      <c r="E119" s="466">
        <v>28</v>
      </c>
      <c r="F119" s="466">
        <v>18</v>
      </c>
      <c r="G119" s="468">
        <v>33</v>
      </c>
      <c r="H119" s="468">
        <v>22</v>
      </c>
      <c r="I119" s="466">
        <v>5700</v>
      </c>
      <c r="J119" s="466">
        <v>4710</v>
      </c>
      <c r="K119" s="472">
        <f t="shared" si="1"/>
        <v>5200</v>
      </c>
      <c r="L119" s="472">
        <v>666</v>
      </c>
      <c r="M119" s="472">
        <v>666</v>
      </c>
      <c r="N119" s="472">
        <v>666</v>
      </c>
      <c r="O119" s="472">
        <v>666</v>
      </c>
      <c r="P119" s="466">
        <v>20</v>
      </c>
      <c r="Q119" s="468">
        <v>25</v>
      </c>
      <c r="R119" s="466">
        <v>86</v>
      </c>
      <c r="S119" s="468">
        <v>109</v>
      </c>
      <c r="T119" s="466">
        <v>315</v>
      </c>
      <c r="U119" s="468">
        <v>410</v>
      </c>
      <c r="V119" s="468">
        <v>0.5</v>
      </c>
      <c r="W119" s="466">
        <v>470</v>
      </c>
      <c r="X119" s="468">
        <v>560</v>
      </c>
      <c r="Y119" s="466">
        <v>100</v>
      </c>
      <c r="Z119" s="468">
        <v>110</v>
      </c>
      <c r="AA119" s="466">
        <v>2.4</v>
      </c>
      <c r="AB119" s="466">
        <v>0.1</v>
      </c>
      <c r="AC119" s="466">
        <v>3.5</v>
      </c>
      <c r="AD119" s="466">
        <v>0.2</v>
      </c>
      <c r="AE119" s="466">
        <v>0.27</v>
      </c>
      <c r="AF119" s="468">
        <v>0.28000000000000003</v>
      </c>
      <c r="AG119" s="466">
        <v>0.36</v>
      </c>
      <c r="AH119" s="468">
        <v>0.38</v>
      </c>
      <c r="AI119" s="466">
        <v>0.56000000000000005</v>
      </c>
      <c r="AJ119" s="466">
        <v>-10</v>
      </c>
      <c r="AK119" s="466">
        <v>2.1</v>
      </c>
      <c r="AL119" s="524">
        <v>22</v>
      </c>
      <c r="AM119" s="524">
        <v>22</v>
      </c>
    </row>
    <row r="120" spans="1:40" ht="25" customHeight="1" outlineLevel="1">
      <c r="A120" s="476" t="s">
        <v>1038</v>
      </c>
      <c r="B120" s="466">
        <v>760</v>
      </c>
      <c r="C120" s="466">
        <v>-32</v>
      </c>
      <c r="D120" s="466">
        <v>-34</v>
      </c>
      <c r="E120" s="466">
        <v>32</v>
      </c>
      <c r="F120" s="466">
        <v>20</v>
      </c>
      <c r="G120" s="468">
        <v>37</v>
      </c>
      <c r="H120" s="468">
        <v>24</v>
      </c>
      <c r="I120" s="466">
        <v>4880</v>
      </c>
      <c r="J120" s="466">
        <v>3940</v>
      </c>
      <c r="K120" s="472">
        <f t="shared" si="1"/>
        <v>4380</v>
      </c>
      <c r="L120" s="472">
        <v>666</v>
      </c>
      <c r="M120" s="472">
        <v>666</v>
      </c>
      <c r="N120" s="472">
        <v>666</v>
      </c>
      <c r="O120" s="472">
        <v>666</v>
      </c>
      <c r="P120" s="466">
        <v>18</v>
      </c>
      <c r="Q120" s="468">
        <v>23</v>
      </c>
      <c r="R120" s="466">
        <v>86</v>
      </c>
      <c r="S120" s="468">
        <v>108</v>
      </c>
      <c r="T120" s="466">
        <v>260</v>
      </c>
      <c r="U120" s="468">
        <v>320</v>
      </c>
      <c r="V120" s="468">
        <v>0.3</v>
      </c>
      <c r="W120" s="466">
        <v>340</v>
      </c>
      <c r="X120" s="468">
        <v>400</v>
      </c>
      <c r="Y120" s="466">
        <v>220</v>
      </c>
      <c r="Z120" s="468">
        <v>230</v>
      </c>
      <c r="AA120" s="466">
        <v>1.2</v>
      </c>
      <c r="AB120" s="466">
        <v>0.1</v>
      </c>
      <c r="AC120" s="466">
        <v>1.8</v>
      </c>
      <c r="AD120" s="466">
        <v>0.2</v>
      </c>
      <c r="AE120" s="466">
        <v>0.35</v>
      </c>
      <c r="AF120" s="468">
        <v>0.37</v>
      </c>
      <c r="AG120" s="466">
        <v>0.44</v>
      </c>
      <c r="AH120" s="468">
        <v>0.46</v>
      </c>
      <c r="AI120" s="466">
        <v>0.67</v>
      </c>
      <c r="AJ120" s="466">
        <v>-10</v>
      </c>
      <c r="AK120" s="466">
        <v>3.8</v>
      </c>
      <c r="AL120" s="524">
        <v>24</v>
      </c>
      <c r="AM120" s="524">
        <v>24</v>
      </c>
    </row>
    <row r="121" spans="1:40" ht="25" customHeight="1" outlineLevel="1">
      <c r="A121" s="476" t="s">
        <v>1039</v>
      </c>
      <c r="B121" s="466">
        <v>1045</v>
      </c>
      <c r="C121" s="466">
        <v>-30</v>
      </c>
      <c r="D121" s="466">
        <v>-32</v>
      </c>
      <c r="E121" s="466">
        <v>28</v>
      </c>
      <c r="F121" s="466">
        <v>17</v>
      </c>
      <c r="G121" s="468">
        <v>34</v>
      </c>
      <c r="H121" s="468">
        <v>21</v>
      </c>
      <c r="I121" s="466">
        <v>5000</v>
      </c>
      <c r="J121" s="466">
        <v>4050</v>
      </c>
      <c r="K121" s="472">
        <f t="shared" si="1"/>
        <v>4500</v>
      </c>
      <c r="L121" s="472">
        <v>666</v>
      </c>
      <c r="M121" s="472">
        <v>666</v>
      </c>
      <c r="N121" s="472">
        <v>666</v>
      </c>
      <c r="O121" s="472">
        <v>666</v>
      </c>
      <c r="P121" s="466">
        <v>23</v>
      </c>
      <c r="Q121" s="468">
        <v>29</v>
      </c>
      <c r="R121" s="466">
        <v>103</v>
      </c>
      <c r="S121" s="468">
        <v>129</v>
      </c>
      <c r="T121" s="466">
        <v>325</v>
      </c>
      <c r="U121" s="468">
        <v>390</v>
      </c>
      <c r="V121" s="468">
        <v>0.4</v>
      </c>
      <c r="W121" s="466">
        <v>425</v>
      </c>
      <c r="X121" s="468">
        <v>480</v>
      </c>
      <c r="Y121" s="466">
        <v>220</v>
      </c>
      <c r="Z121" s="468">
        <v>240</v>
      </c>
      <c r="AA121" s="466">
        <v>1.1000000000000001</v>
      </c>
      <c r="AB121" s="466">
        <v>0.1</v>
      </c>
      <c r="AC121" s="466">
        <v>1.6</v>
      </c>
      <c r="AD121" s="466">
        <v>0.2</v>
      </c>
      <c r="AE121" s="466">
        <v>0.38</v>
      </c>
      <c r="AF121" s="468">
        <v>0.4</v>
      </c>
      <c r="AG121" s="466">
        <v>0.48</v>
      </c>
      <c r="AH121" s="468">
        <v>0.5</v>
      </c>
      <c r="AI121" s="466">
        <v>0.74</v>
      </c>
      <c r="AJ121" s="466">
        <v>-9</v>
      </c>
      <c r="AK121" s="466">
        <v>3.4</v>
      </c>
      <c r="AL121" s="524">
        <v>21</v>
      </c>
      <c r="AM121" s="524">
        <v>21</v>
      </c>
    </row>
    <row r="122" spans="1:40" ht="25" customHeight="1" outlineLevel="1">
      <c r="A122" s="476" t="s">
        <v>1040</v>
      </c>
      <c r="B122" s="466">
        <v>660</v>
      </c>
      <c r="C122" s="466">
        <v>-33</v>
      </c>
      <c r="D122" s="466">
        <v>-36</v>
      </c>
      <c r="E122" s="466">
        <v>27</v>
      </c>
      <c r="F122" s="466">
        <v>19</v>
      </c>
      <c r="G122" s="468">
        <v>32</v>
      </c>
      <c r="H122" s="468">
        <v>23</v>
      </c>
      <c r="I122" s="466">
        <v>5750</v>
      </c>
      <c r="J122" s="466">
        <v>4760</v>
      </c>
      <c r="K122" s="472">
        <f t="shared" si="1"/>
        <v>5250</v>
      </c>
      <c r="L122" s="472">
        <v>666</v>
      </c>
      <c r="M122" s="472">
        <v>666</v>
      </c>
      <c r="N122" s="472">
        <v>666</v>
      </c>
      <c r="O122" s="472">
        <v>666</v>
      </c>
      <c r="P122" s="466">
        <v>20</v>
      </c>
      <c r="Q122" s="468">
        <v>25</v>
      </c>
      <c r="R122" s="466">
        <v>86</v>
      </c>
      <c r="S122" s="468">
        <v>109</v>
      </c>
      <c r="T122" s="466">
        <v>375</v>
      </c>
      <c r="U122" s="468">
        <v>450</v>
      </c>
      <c r="V122" s="468">
        <v>0.6</v>
      </c>
      <c r="W122" s="466">
        <v>475</v>
      </c>
      <c r="X122" s="468">
        <v>550</v>
      </c>
      <c r="Y122" s="466">
        <v>100</v>
      </c>
      <c r="AA122" s="466">
        <v>1.7</v>
      </c>
      <c r="AB122" s="466">
        <v>0.1</v>
      </c>
      <c r="AC122" s="466">
        <v>2.5</v>
      </c>
      <c r="AD122" s="466">
        <v>0.2</v>
      </c>
      <c r="AE122" s="466">
        <v>0.33</v>
      </c>
      <c r="AF122" s="468">
        <v>0.35</v>
      </c>
      <c r="AG122" s="466">
        <v>0.44</v>
      </c>
      <c r="AH122" s="468">
        <v>0.46</v>
      </c>
      <c r="AI122" s="466">
        <v>0.72</v>
      </c>
      <c r="AJ122" s="466">
        <v>-11</v>
      </c>
      <c r="AK122" s="466">
        <v>1.8</v>
      </c>
      <c r="AL122" s="524">
        <v>23</v>
      </c>
      <c r="AM122" s="524">
        <v>23</v>
      </c>
    </row>
    <row r="123" spans="1:40" ht="25" customHeight="1" outlineLevel="1">
      <c r="A123" s="476" t="s">
        <v>1041</v>
      </c>
      <c r="B123" s="466">
        <v>740</v>
      </c>
      <c r="C123" s="466">
        <v>-33</v>
      </c>
      <c r="D123" s="466">
        <v>-35</v>
      </c>
      <c r="E123" s="466">
        <v>29</v>
      </c>
      <c r="F123" s="466">
        <v>19</v>
      </c>
      <c r="G123" s="468">
        <v>34</v>
      </c>
      <c r="H123" s="468">
        <v>23</v>
      </c>
      <c r="I123" s="466">
        <v>5500</v>
      </c>
      <c r="J123" s="466">
        <v>4520</v>
      </c>
      <c r="K123" s="472">
        <f t="shared" si="1"/>
        <v>5000</v>
      </c>
      <c r="L123" s="472">
        <v>666</v>
      </c>
      <c r="M123" s="472">
        <v>666</v>
      </c>
      <c r="N123" s="472">
        <v>666</v>
      </c>
      <c r="O123" s="472">
        <v>666</v>
      </c>
      <c r="P123" s="466">
        <v>20</v>
      </c>
      <c r="Q123" s="468">
        <v>25</v>
      </c>
      <c r="R123" s="466">
        <v>86</v>
      </c>
      <c r="S123" s="468">
        <v>109</v>
      </c>
      <c r="T123" s="466">
        <v>355</v>
      </c>
      <c r="U123" s="468">
        <v>420</v>
      </c>
      <c r="V123" s="468">
        <v>0.5</v>
      </c>
      <c r="W123" s="466">
        <v>470</v>
      </c>
      <c r="X123" s="468">
        <v>540</v>
      </c>
      <c r="Y123" s="466">
        <v>160</v>
      </c>
      <c r="AA123" s="466">
        <v>2</v>
      </c>
      <c r="AB123" s="466">
        <v>0.1</v>
      </c>
      <c r="AC123" s="466">
        <v>2.9</v>
      </c>
      <c r="AD123" s="466">
        <v>0.1</v>
      </c>
      <c r="AE123" s="466">
        <v>0.31</v>
      </c>
      <c r="AF123" s="468">
        <v>0.33</v>
      </c>
      <c r="AG123" s="466">
        <v>0.39</v>
      </c>
      <c r="AH123" s="468">
        <v>0.41</v>
      </c>
      <c r="AI123" s="466">
        <v>0.6</v>
      </c>
      <c r="AJ123" s="466">
        <v>-10</v>
      </c>
      <c r="AK123" s="466">
        <v>2.9</v>
      </c>
      <c r="AL123" s="524">
        <v>23</v>
      </c>
      <c r="AM123" s="524">
        <v>23</v>
      </c>
    </row>
    <row r="124" spans="1:40" ht="25" customHeight="1" outlineLevel="1">
      <c r="A124" s="476" t="s">
        <v>1042</v>
      </c>
      <c r="B124" s="466">
        <v>1320</v>
      </c>
      <c r="C124" s="466">
        <v>-31</v>
      </c>
      <c r="D124" s="466">
        <v>-33</v>
      </c>
      <c r="E124" s="466">
        <v>28</v>
      </c>
      <c r="F124" s="466">
        <v>17</v>
      </c>
      <c r="G124" s="468">
        <v>34</v>
      </c>
      <c r="H124" s="468">
        <v>21</v>
      </c>
      <c r="I124" s="466">
        <v>5400</v>
      </c>
      <c r="J124" s="466">
        <v>4430</v>
      </c>
      <c r="K124" s="472">
        <f t="shared" si="1"/>
        <v>4900</v>
      </c>
      <c r="L124" s="472">
        <v>666</v>
      </c>
      <c r="M124" s="472">
        <v>666</v>
      </c>
      <c r="N124" s="472">
        <v>666</v>
      </c>
      <c r="O124" s="472">
        <v>666</v>
      </c>
      <c r="P124" s="466">
        <v>18</v>
      </c>
      <c r="Q124" s="468">
        <v>23</v>
      </c>
      <c r="R124" s="466">
        <v>86</v>
      </c>
      <c r="S124" s="468">
        <v>108</v>
      </c>
      <c r="T124" s="466">
        <v>325</v>
      </c>
      <c r="U124" s="468">
        <v>390</v>
      </c>
      <c r="V124" s="468">
        <v>0.6</v>
      </c>
      <c r="W124" s="466">
        <v>500</v>
      </c>
      <c r="X124" s="468">
        <v>560</v>
      </c>
      <c r="Y124" s="466">
        <v>120</v>
      </c>
      <c r="Z124" s="468">
        <v>140</v>
      </c>
      <c r="AA124" s="466">
        <v>3.2</v>
      </c>
      <c r="AB124" s="466">
        <v>0.1</v>
      </c>
      <c r="AC124" s="466">
        <v>4.5999999999999996</v>
      </c>
      <c r="AD124" s="466">
        <v>0.1</v>
      </c>
      <c r="AE124" s="466">
        <v>0.3</v>
      </c>
      <c r="AF124" s="468">
        <v>0.32</v>
      </c>
      <c r="AG124" s="466">
        <v>0.37</v>
      </c>
      <c r="AH124" s="468">
        <v>0.39</v>
      </c>
      <c r="AI124" s="466">
        <v>0.55000000000000004</v>
      </c>
      <c r="AJ124" s="466">
        <v>-8</v>
      </c>
      <c r="AK124" s="466">
        <v>2.2999999999999998</v>
      </c>
      <c r="AL124" s="524">
        <v>21</v>
      </c>
      <c r="AM124" s="524">
        <v>21</v>
      </c>
    </row>
    <row r="125" spans="1:40" ht="25" customHeight="1" outlineLevel="1">
      <c r="A125" s="476" t="s">
        <v>1043</v>
      </c>
      <c r="B125" s="466">
        <v>1130</v>
      </c>
      <c r="C125" s="466">
        <v>-29</v>
      </c>
      <c r="D125" s="466">
        <v>-32</v>
      </c>
      <c r="E125" s="466">
        <v>30</v>
      </c>
      <c r="F125" s="466">
        <v>19</v>
      </c>
      <c r="G125" s="468">
        <v>35</v>
      </c>
      <c r="H125" s="468">
        <v>23</v>
      </c>
      <c r="I125" s="466">
        <v>4700</v>
      </c>
      <c r="J125" s="466">
        <v>3770</v>
      </c>
      <c r="K125" s="472">
        <f t="shared" si="1"/>
        <v>4200</v>
      </c>
      <c r="L125" s="472">
        <v>666</v>
      </c>
      <c r="M125" s="472">
        <v>666</v>
      </c>
      <c r="N125" s="472">
        <v>666</v>
      </c>
      <c r="O125" s="472">
        <v>666</v>
      </c>
      <c r="P125" s="466">
        <v>20</v>
      </c>
      <c r="Q125" s="468">
        <v>25</v>
      </c>
      <c r="R125" s="466">
        <v>108</v>
      </c>
      <c r="S125" s="468">
        <v>136</v>
      </c>
      <c r="T125" s="466">
        <v>340</v>
      </c>
      <c r="U125" s="468">
        <v>410</v>
      </c>
      <c r="V125" s="468">
        <v>0.4</v>
      </c>
      <c r="W125" s="466">
        <v>550</v>
      </c>
      <c r="X125" s="468">
        <v>630</v>
      </c>
      <c r="Y125" s="466">
        <v>140</v>
      </c>
      <c r="Z125" s="468">
        <v>150</v>
      </c>
      <c r="AA125" s="466">
        <v>1.5</v>
      </c>
      <c r="AB125" s="466">
        <v>0.1</v>
      </c>
      <c r="AC125" s="466">
        <v>2.2000000000000002</v>
      </c>
      <c r="AD125" s="466">
        <v>0.2</v>
      </c>
      <c r="AE125" s="466">
        <v>0.57999999999999996</v>
      </c>
      <c r="AF125" s="468">
        <v>0.61</v>
      </c>
      <c r="AG125" s="466">
        <v>0.72</v>
      </c>
      <c r="AH125" s="468">
        <v>0.76</v>
      </c>
      <c r="AI125" s="466">
        <v>1.04</v>
      </c>
      <c r="AJ125" s="466">
        <v>-9</v>
      </c>
      <c r="AK125" s="466">
        <v>4.7</v>
      </c>
      <c r="AL125" s="524">
        <v>23</v>
      </c>
      <c r="AM125" s="524">
        <v>23</v>
      </c>
    </row>
    <row r="126" spans="1:40" ht="25" customHeight="1" outlineLevel="1">
      <c r="A126" s="476" t="s">
        <v>1044</v>
      </c>
      <c r="B126" s="466">
        <v>1030</v>
      </c>
      <c r="C126" s="466">
        <v>-30</v>
      </c>
      <c r="D126" s="466">
        <v>-32</v>
      </c>
      <c r="E126" s="466">
        <v>30</v>
      </c>
      <c r="F126" s="466">
        <v>18</v>
      </c>
      <c r="G126" s="468">
        <v>35</v>
      </c>
      <c r="H126" s="468">
        <v>22</v>
      </c>
      <c r="I126" s="466">
        <v>4680</v>
      </c>
      <c r="J126" s="466">
        <v>3750</v>
      </c>
      <c r="K126" s="472">
        <f t="shared" si="1"/>
        <v>4180</v>
      </c>
      <c r="L126" s="472">
        <v>666</v>
      </c>
      <c r="M126" s="472">
        <v>666</v>
      </c>
      <c r="N126" s="472">
        <v>666</v>
      </c>
      <c r="O126" s="472">
        <v>666</v>
      </c>
      <c r="P126" s="466">
        <v>15</v>
      </c>
      <c r="Q126" s="468">
        <v>19</v>
      </c>
      <c r="R126" s="466">
        <v>97</v>
      </c>
      <c r="S126" s="468">
        <v>122</v>
      </c>
      <c r="T126" s="466">
        <v>310</v>
      </c>
      <c r="U126" s="468">
        <v>370</v>
      </c>
      <c r="V126" s="468">
        <v>0.4</v>
      </c>
      <c r="W126" s="466">
        <v>440</v>
      </c>
      <c r="X126" s="468">
        <v>510</v>
      </c>
      <c r="Y126" s="466">
        <v>200</v>
      </c>
      <c r="Z126" s="468">
        <v>210</v>
      </c>
      <c r="AA126" s="466">
        <v>1.3</v>
      </c>
      <c r="AB126" s="466">
        <v>0.1</v>
      </c>
      <c r="AC126" s="466">
        <v>1.9</v>
      </c>
      <c r="AD126" s="466">
        <v>0.2</v>
      </c>
      <c r="AE126" s="466">
        <v>0.46</v>
      </c>
      <c r="AF126" s="468">
        <v>0.48</v>
      </c>
      <c r="AG126" s="466">
        <v>0.57999999999999996</v>
      </c>
      <c r="AH126" s="468">
        <v>0.61</v>
      </c>
      <c r="AI126" s="466">
        <v>0.89</v>
      </c>
      <c r="AJ126" s="466">
        <v>-9</v>
      </c>
      <c r="AK126" s="466">
        <v>3.8</v>
      </c>
      <c r="AL126" s="524">
        <v>22</v>
      </c>
      <c r="AM126" s="524">
        <v>22</v>
      </c>
    </row>
    <row r="127" spans="1:40" ht="25" customHeight="1" outlineLevel="1">
      <c r="A127" s="476" t="s">
        <v>1045</v>
      </c>
      <c r="B127" s="466">
        <v>540</v>
      </c>
      <c r="C127" s="466">
        <v>-35</v>
      </c>
      <c r="D127" s="466">
        <v>-38</v>
      </c>
      <c r="E127" s="466">
        <v>28</v>
      </c>
      <c r="F127" s="466">
        <v>19</v>
      </c>
      <c r="G127" s="468">
        <v>33</v>
      </c>
      <c r="H127" s="468">
        <v>23</v>
      </c>
      <c r="I127" s="466">
        <v>5860</v>
      </c>
      <c r="J127" s="466">
        <v>4860</v>
      </c>
      <c r="K127" s="472">
        <f t="shared" si="1"/>
        <v>5360</v>
      </c>
      <c r="L127" s="472">
        <v>666</v>
      </c>
      <c r="M127" s="472">
        <v>666</v>
      </c>
      <c r="N127" s="472">
        <v>666</v>
      </c>
      <c r="O127" s="472">
        <v>666</v>
      </c>
      <c r="P127" s="466">
        <v>18</v>
      </c>
      <c r="Q127" s="468">
        <v>23</v>
      </c>
      <c r="R127" s="466">
        <v>81</v>
      </c>
      <c r="S127" s="468">
        <v>104</v>
      </c>
      <c r="T127" s="466">
        <v>320</v>
      </c>
      <c r="U127" s="468">
        <v>380</v>
      </c>
      <c r="V127" s="468">
        <v>0.5</v>
      </c>
      <c r="W127" s="466">
        <v>430</v>
      </c>
      <c r="X127" s="468">
        <v>480</v>
      </c>
      <c r="Y127" s="466">
        <v>140</v>
      </c>
      <c r="AA127" s="466">
        <v>1.7</v>
      </c>
      <c r="AB127" s="466">
        <v>0.1</v>
      </c>
      <c r="AC127" s="466">
        <v>2.5</v>
      </c>
      <c r="AD127" s="466">
        <v>0.1</v>
      </c>
      <c r="AE127" s="466">
        <v>0.28999999999999998</v>
      </c>
      <c r="AF127" s="468">
        <v>0.3</v>
      </c>
      <c r="AG127" s="466">
        <v>0.38</v>
      </c>
      <c r="AH127" s="468">
        <v>0.4</v>
      </c>
      <c r="AI127" s="466">
        <v>0.61</v>
      </c>
      <c r="AJ127" s="466">
        <v>-11</v>
      </c>
      <c r="AK127" s="466">
        <v>2.8</v>
      </c>
      <c r="AL127" s="524">
        <v>23</v>
      </c>
      <c r="AM127" s="524">
        <v>23</v>
      </c>
    </row>
    <row r="128" spans="1:40" ht="25" customHeight="1" outlineLevel="1">
      <c r="A128" s="476" t="s">
        <v>1046</v>
      </c>
      <c r="B128" s="466">
        <v>1320</v>
      </c>
      <c r="C128" s="466">
        <v>-31</v>
      </c>
      <c r="D128" s="466">
        <v>-34</v>
      </c>
      <c r="E128" s="466">
        <v>29</v>
      </c>
      <c r="F128" s="466">
        <v>18</v>
      </c>
      <c r="G128" s="468">
        <v>34</v>
      </c>
      <c r="H128" s="468">
        <v>22</v>
      </c>
      <c r="I128" s="466">
        <v>5210</v>
      </c>
      <c r="J128" s="466">
        <v>4250</v>
      </c>
      <c r="K128" s="472">
        <f t="shared" si="1"/>
        <v>4710</v>
      </c>
      <c r="L128" s="472">
        <v>666</v>
      </c>
      <c r="M128" s="472">
        <v>666</v>
      </c>
      <c r="N128" s="472">
        <v>666</v>
      </c>
      <c r="O128" s="472">
        <v>666</v>
      </c>
      <c r="P128" s="466">
        <v>15</v>
      </c>
      <c r="Q128" s="468">
        <v>19</v>
      </c>
      <c r="R128" s="466">
        <v>86</v>
      </c>
      <c r="S128" s="468">
        <v>108</v>
      </c>
      <c r="T128" s="466">
        <v>400</v>
      </c>
      <c r="U128" s="468">
        <v>500</v>
      </c>
      <c r="V128" s="468">
        <v>0.5</v>
      </c>
      <c r="W128" s="466">
        <v>550</v>
      </c>
      <c r="X128" s="468">
        <v>610</v>
      </c>
      <c r="Y128" s="466">
        <v>120</v>
      </c>
      <c r="Z128" s="468">
        <v>140</v>
      </c>
      <c r="AA128" s="466">
        <v>2.7</v>
      </c>
      <c r="AB128" s="466">
        <v>0.3</v>
      </c>
      <c r="AC128" s="466">
        <v>4</v>
      </c>
      <c r="AD128" s="466">
        <v>0.4</v>
      </c>
      <c r="AE128" s="466">
        <v>0.5</v>
      </c>
      <c r="AF128" s="468">
        <v>0.53</v>
      </c>
      <c r="AG128" s="466">
        <v>0.63</v>
      </c>
      <c r="AH128" s="468">
        <v>0.66</v>
      </c>
      <c r="AI128" s="466">
        <v>0.97</v>
      </c>
      <c r="AJ128" s="466">
        <v>-8</v>
      </c>
      <c r="AK128" s="466">
        <v>2.7</v>
      </c>
      <c r="AL128" s="524">
        <v>22</v>
      </c>
      <c r="AM128" s="524">
        <v>22</v>
      </c>
    </row>
    <row r="129" spans="1:39" ht="25" customHeight="1" outlineLevel="1">
      <c r="A129" s="476" t="s">
        <v>1047</v>
      </c>
      <c r="B129" s="466">
        <v>790</v>
      </c>
      <c r="C129" s="466">
        <v>-32</v>
      </c>
      <c r="D129" s="466">
        <v>-34</v>
      </c>
      <c r="E129" s="466">
        <v>30</v>
      </c>
      <c r="F129" s="466">
        <v>19</v>
      </c>
      <c r="G129" s="468">
        <v>36</v>
      </c>
      <c r="H129" s="468">
        <v>23</v>
      </c>
      <c r="I129" s="466">
        <v>5640</v>
      </c>
      <c r="J129" s="466">
        <v>4660</v>
      </c>
      <c r="K129" s="472">
        <f t="shared" si="1"/>
        <v>5140</v>
      </c>
      <c r="L129" s="472">
        <v>666</v>
      </c>
      <c r="M129" s="472">
        <v>666</v>
      </c>
      <c r="N129" s="472">
        <v>666</v>
      </c>
      <c r="O129" s="472">
        <v>666</v>
      </c>
      <c r="P129" s="466">
        <v>20</v>
      </c>
      <c r="Q129" s="468">
        <v>25</v>
      </c>
      <c r="R129" s="466">
        <v>92</v>
      </c>
      <c r="S129" s="468">
        <v>117</v>
      </c>
      <c r="T129" s="466">
        <v>300</v>
      </c>
      <c r="U129" s="468">
        <v>360</v>
      </c>
      <c r="V129" s="468">
        <v>0.5</v>
      </c>
      <c r="W129" s="466">
        <v>400</v>
      </c>
      <c r="X129" s="468">
        <v>460</v>
      </c>
      <c r="Y129" s="466">
        <v>200</v>
      </c>
      <c r="Z129" s="468">
        <v>220</v>
      </c>
      <c r="AA129" s="466">
        <v>1.9</v>
      </c>
      <c r="AB129" s="466">
        <v>0.1</v>
      </c>
      <c r="AC129" s="466">
        <v>2.8</v>
      </c>
      <c r="AD129" s="466">
        <v>0.2</v>
      </c>
      <c r="AE129" s="466">
        <v>0.3</v>
      </c>
      <c r="AF129" s="468">
        <v>0.32</v>
      </c>
      <c r="AG129" s="466">
        <v>0.37</v>
      </c>
      <c r="AH129" s="468">
        <v>0.39</v>
      </c>
      <c r="AI129" s="466">
        <v>0.55000000000000004</v>
      </c>
      <c r="AJ129" s="466">
        <v>-10</v>
      </c>
      <c r="AK129" s="466">
        <v>4.3</v>
      </c>
      <c r="AL129" s="524">
        <v>23</v>
      </c>
      <c r="AM129" s="524">
        <v>23</v>
      </c>
    </row>
    <row r="130" spans="1:39" ht="25" customHeight="1" outlineLevel="1">
      <c r="A130" s="476" t="s">
        <v>1048</v>
      </c>
      <c r="B130" s="466">
        <v>1175</v>
      </c>
      <c r="C130" s="466">
        <v>-29</v>
      </c>
      <c r="D130" s="466">
        <v>-32</v>
      </c>
      <c r="E130" s="466">
        <v>29</v>
      </c>
      <c r="F130" s="466">
        <v>18</v>
      </c>
      <c r="G130" s="468">
        <v>34</v>
      </c>
      <c r="H130" s="468">
        <v>22</v>
      </c>
      <c r="I130" s="466">
        <v>4810</v>
      </c>
      <c r="J130" s="466">
        <v>3870</v>
      </c>
      <c r="K130" s="472">
        <f t="shared" si="1"/>
        <v>4310</v>
      </c>
      <c r="L130" s="472">
        <v>666</v>
      </c>
      <c r="M130" s="472">
        <v>666</v>
      </c>
      <c r="N130" s="472">
        <v>666</v>
      </c>
      <c r="O130" s="472">
        <v>666</v>
      </c>
      <c r="P130" s="466">
        <v>15</v>
      </c>
      <c r="Q130" s="468">
        <v>19</v>
      </c>
      <c r="R130" s="466">
        <v>92</v>
      </c>
      <c r="S130" s="468">
        <v>116</v>
      </c>
      <c r="T130" s="466">
        <v>310</v>
      </c>
      <c r="U130" s="468">
        <v>380</v>
      </c>
      <c r="V130" s="468">
        <v>0.4</v>
      </c>
      <c r="W130" s="466">
        <v>525</v>
      </c>
      <c r="X130" s="468">
        <v>600</v>
      </c>
      <c r="Y130" s="466">
        <v>140</v>
      </c>
      <c r="Z130" s="468">
        <v>150</v>
      </c>
      <c r="AA130" s="466">
        <v>1.6</v>
      </c>
      <c r="AB130" s="466">
        <v>0.1</v>
      </c>
      <c r="AC130" s="466">
        <v>2.2999999999999998</v>
      </c>
      <c r="AD130" s="466">
        <v>0.2</v>
      </c>
      <c r="AE130" s="466">
        <v>0.81</v>
      </c>
      <c r="AF130" s="468">
        <v>0.85</v>
      </c>
      <c r="AG130" s="466">
        <v>1.01</v>
      </c>
      <c r="AH130" s="468">
        <v>1.06</v>
      </c>
      <c r="AI130" s="466">
        <v>1.47</v>
      </c>
      <c r="AJ130" s="466">
        <v>-9</v>
      </c>
      <c r="AK130" s="466">
        <v>4</v>
      </c>
      <c r="AL130" s="524">
        <v>22</v>
      </c>
      <c r="AM130" s="524">
        <v>22</v>
      </c>
    </row>
    <row r="131" spans="1:39" ht="25" customHeight="1" outlineLevel="1">
      <c r="A131" s="476" t="s">
        <v>1049</v>
      </c>
      <c r="B131" s="466">
        <v>685</v>
      </c>
      <c r="C131" s="466">
        <v>-32</v>
      </c>
      <c r="D131" s="466">
        <v>-34</v>
      </c>
      <c r="E131" s="466">
        <v>30</v>
      </c>
      <c r="F131" s="466">
        <v>18</v>
      </c>
      <c r="G131" s="468">
        <v>36</v>
      </c>
      <c r="H131" s="468">
        <v>22</v>
      </c>
      <c r="I131" s="466">
        <v>5050</v>
      </c>
      <c r="J131" s="466">
        <v>4100</v>
      </c>
      <c r="K131" s="472">
        <f t="shared" si="1"/>
        <v>4550</v>
      </c>
      <c r="L131" s="472">
        <v>666</v>
      </c>
      <c r="M131" s="472">
        <v>666</v>
      </c>
      <c r="N131" s="472">
        <v>666</v>
      </c>
      <c r="O131" s="472">
        <v>666</v>
      </c>
      <c r="P131" s="466">
        <v>20</v>
      </c>
      <c r="Q131" s="468">
        <v>25</v>
      </c>
      <c r="R131" s="466">
        <v>86</v>
      </c>
      <c r="S131" s="468">
        <v>109</v>
      </c>
      <c r="T131" s="466">
        <v>300</v>
      </c>
      <c r="U131" s="468">
        <v>360</v>
      </c>
      <c r="V131" s="468">
        <v>0.4</v>
      </c>
      <c r="W131" s="466">
        <v>375</v>
      </c>
      <c r="X131" s="468">
        <v>430</v>
      </c>
      <c r="Y131" s="466">
        <v>220</v>
      </c>
      <c r="Z131" s="468">
        <v>230</v>
      </c>
      <c r="AA131" s="466">
        <v>1.2</v>
      </c>
      <c r="AB131" s="466">
        <v>0.1</v>
      </c>
      <c r="AC131" s="466">
        <v>1.7</v>
      </c>
      <c r="AD131" s="466">
        <v>0.1</v>
      </c>
      <c r="AE131" s="466">
        <v>0.35</v>
      </c>
      <c r="AF131" s="468">
        <v>0.37</v>
      </c>
      <c r="AG131" s="466">
        <v>0.44</v>
      </c>
      <c r="AH131" s="468">
        <v>0.46</v>
      </c>
      <c r="AI131" s="466">
        <v>0.67</v>
      </c>
      <c r="AJ131" s="466">
        <v>-10</v>
      </c>
      <c r="AK131" s="466">
        <v>2</v>
      </c>
      <c r="AL131" s="524">
        <v>22</v>
      </c>
      <c r="AM131" s="524">
        <v>22</v>
      </c>
    </row>
    <row r="132" spans="1:39" ht="25" customHeight="1" outlineLevel="1">
      <c r="A132" s="476" t="s">
        <v>1050</v>
      </c>
      <c r="B132" s="466">
        <v>645</v>
      </c>
      <c r="C132" s="466">
        <v>-30</v>
      </c>
      <c r="D132" s="466">
        <v>-33</v>
      </c>
      <c r="E132" s="466">
        <v>28</v>
      </c>
      <c r="F132" s="466">
        <v>19</v>
      </c>
      <c r="G132" s="468">
        <v>34</v>
      </c>
      <c r="H132" s="468">
        <v>23</v>
      </c>
      <c r="I132" s="466">
        <v>5120</v>
      </c>
      <c r="J132" s="466">
        <v>4160</v>
      </c>
      <c r="K132" s="472">
        <f t="shared" si="1"/>
        <v>4620</v>
      </c>
      <c r="L132" s="472">
        <v>666</v>
      </c>
      <c r="M132" s="472">
        <v>666</v>
      </c>
      <c r="N132" s="472">
        <v>666</v>
      </c>
      <c r="O132" s="472">
        <v>666</v>
      </c>
      <c r="P132" s="466">
        <v>23</v>
      </c>
      <c r="Q132" s="468">
        <v>29</v>
      </c>
      <c r="R132" s="466">
        <v>97</v>
      </c>
      <c r="S132" s="468">
        <v>123</v>
      </c>
      <c r="T132" s="466">
        <v>360</v>
      </c>
      <c r="U132" s="468">
        <v>430</v>
      </c>
      <c r="V132" s="468">
        <v>0.5</v>
      </c>
      <c r="W132" s="466">
        <v>460</v>
      </c>
      <c r="X132" s="468">
        <v>520</v>
      </c>
      <c r="Y132" s="466">
        <v>160</v>
      </c>
      <c r="Z132" s="468">
        <v>170</v>
      </c>
      <c r="AA132" s="466">
        <v>1.7</v>
      </c>
      <c r="AB132" s="466">
        <v>0.1</v>
      </c>
      <c r="AC132" s="466">
        <v>2.5</v>
      </c>
      <c r="AD132" s="466">
        <v>0.2</v>
      </c>
      <c r="AE132" s="466">
        <v>0.36</v>
      </c>
      <c r="AF132" s="468">
        <v>0.38</v>
      </c>
      <c r="AG132" s="466">
        <v>0.45</v>
      </c>
      <c r="AH132" s="468">
        <v>0.47</v>
      </c>
      <c r="AI132" s="466">
        <v>0.68</v>
      </c>
      <c r="AJ132" s="466">
        <v>-10</v>
      </c>
      <c r="AK132" s="466">
        <v>3</v>
      </c>
      <c r="AL132" s="524">
        <v>23</v>
      </c>
      <c r="AM132" s="524">
        <v>23</v>
      </c>
    </row>
    <row r="133" spans="1:39" ht="25" customHeight="1" outlineLevel="1">
      <c r="A133" s="476" t="s">
        <v>1051</v>
      </c>
      <c r="B133" s="466">
        <v>920</v>
      </c>
      <c r="C133" s="466">
        <v>-34</v>
      </c>
      <c r="D133" s="466">
        <v>-37</v>
      </c>
      <c r="E133" s="466">
        <v>27</v>
      </c>
      <c r="F133" s="466">
        <v>18</v>
      </c>
      <c r="G133" s="468">
        <v>32</v>
      </c>
      <c r="H133" s="468">
        <v>22</v>
      </c>
      <c r="I133" s="466">
        <v>5750</v>
      </c>
      <c r="J133" s="466">
        <v>4760</v>
      </c>
      <c r="K133" s="472">
        <f t="shared" si="1"/>
        <v>5250</v>
      </c>
      <c r="L133" s="472">
        <v>666</v>
      </c>
      <c r="M133" s="472">
        <v>666</v>
      </c>
      <c r="N133" s="472">
        <v>666</v>
      </c>
      <c r="O133" s="472">
        <v>666</v>
      </c>
      <c r="P133" s="466">
        <v>18</v>
      </c>
      <c r="Q133" s="468">
        <v>22</v>
      </c>
      <c r="R133" s="466">
        <v>81</v>
      </c>
      <c r="S133" s="468">
        <v>101</v>
      </c>
      <c r="T133" s="466">
        <v>450</v>
      </c>
      <c r="U133" s="468">
        <v>550</v>
      </c>
      <c r="V133" s="468">
        <v>0.6</v>
      </c>
      <c r="W133" s="466">
        <v>570</v>
      </c>
      <c r="X133" s="468">
        <v>660</v>
      </c>
      <c r="Y133" s="466">
        <v>100</v>
      </c>
      <c r="AA133" s="466">
        <v>2.1</v>
      </c>
      <c r="AB133" s="466">
        <v>0.1</v>
      </c>
      <c r="AC133" s="466">
        <v>3</v>
      </c>
      <c r="AD133" s="466">
        <v>0.1</v>
      </c>
      <c r="AE133" s="466">
        <v>0.37</v>
      </c>
      <c r="AF133" s="468">
        <v>0.39</v>
      </c>
      <c r="AG133" s="466">
        <v>0.46</v>
      </c>
      <c r="AH133" s="468">
        <v>0.48</v>
      </c>
      <c r="AI133" s="466">
        <v>0.69</v>
      </c>
      <c r="AJ133" s="466">
        <v>-9</v>
      </c>
      <c r="AK133" s="466">
        <v>2.2000000000000002</v>
      </c>
      <c r="AL133" s="524">
        <v>22</v>
      </c>
      <c r="AM133" s="524">
        <v>22</v>
      </c>
    </row>
    <row r="134" spans="1:39" ht="25" customHeight="1" outlineLevel="1">
      <c r="A134" s="476" t="s">
        <v>1052</v>
      </c>
      <c r="B134" s="466">
        <v>220</v>
      </c>
      <c r="C134" s="466">
        <v>-41</v>
      </c>
      <c r="D134" s="466">
        <v>-43</v>
      </c>
      <c r="E134" s="466">
        <v>28</v>
      </c>
      <c r="F134" s="466">
        <v>19</v>
      </c>
      <c r="G134" s="468">
        <v>32</v>
      </c>
      <c r="H134" s="468">
        <v>23</v>
      </c>
      <c r="I134" s="466">
        <v>7100</v>
      </c>
      <c r="J134" s="466">
        <v>6040</v>
      </c>
      <c r="K134" s="472">
        <f t="shared" ref="K134:K197" si="2">I134-500</f>
        <v>6600</v>
      </c>
      <c r="L134" s="472">
        <v>666</v>
      </c>
      <c r="M134" s="472">
        <v>666</v>
      </c>
      <c r="N134" s="472">
        <v>666</v>
      </c>
      <c r="O134" s="472">
        <v>666</v>
      </c>
      <c r="P134" s="466">
        <v>12</v>
      </c>
      <c r="Q134" s="468">
        <v>16</v>
      </c>
      <c r="R134" s="466">
        <v>81</v>
      </c>
      <c r="S134" s="468">
        <v>105</v>
      </c>
      <c r="T134" s="466">
        <v>250</v>
      </c>
      <c r="U134" s="468">
        <v>310</v>
      </c>
      <c r="V134" s="468">
        <v>0.6</v>
      </c>
      <c r="W134" s="466">
        <v>390</v>
      </c>
      <c r="X134" s="468">
        <v>450</v>
      </c>
      <c r="Y134" s="466">
        <v>80</v>
      </c>
      <c r="AA134" s="466">
        <v>2.2000000000000002</v>
      </c>
      <c r="AB134" s="466">
        <v>0.1</v>
      </c>
      <c r="AC134" s="466">
        <v>3</v>
      </c>
      <c r="AD134" s="466">
        <v>0.1</v>
      </c>
      <c r="AE134" s="466">
        <v>0.28000000000000003</v>
      </c>
      <c r="AF134" s="468">
        <v>0.28999999999999998</v>
      </c>
      <c r="AG134" s="466">
        <v>0.37</v>
      </c>
      <c r="AH134" s="468">
        <v>0.39</v>
      </c>
      <c r="AI134" s="466">
        <v>0.56999999999999995</v>
      </c>
      <c r="AJ134" s="466">
        <v>-14</v>
      </c>
      <c r="AK134" s="466">
        <v>2.9</v>
      </c>
      <c r="AL134" s="524">
        <v>23</v>
      </c>
      <c r="AM134" s="524">
        <v>23</v>
      </c>
    </row>
    <row r="135" spans="1:39" ht="25" customHeight="1" outlineLevel="1">
      <c r="A135" s="476" t="s">
        <v>1053</v>
      </c>
      <c r="B135" s="466">
        <v>670</v>
      </c>
      <c r="C135" s="466">
        <v>-37</v>
      </c>
      <c r="D135" s="466">
        <v>-40</v>
      </c>
      <c r="E135" s="466">
        <v>27</v>
      </c>
      <c r="F135" s="466">
        <v>18</v>
      </c>
      <c r="G135" s="468">
        <v>32</v>
      </c>
      <c r="H135" s="468">
        <v>22</v>
      </c>
      <c r="I135" s="466">
        <v>5840</v>
      </c>
      <c r="J135" s="466">
        <v>4850</v>
      </c>
      <c r="K135" s="472">
        <f t="shared" si="2"/>
        <v>5340</v>
      </c>
      <c r="L135" s="472">
        <v>666</v>
      </c>
      <c r="M135" s="472">
        <v>666</v>
      </c>
      <c r="N135" s="472">
        <v>666</v>
      </c>
      <c r="O135" s="472">
        <v>666</v>
      </c>
      <c r="P135" s="466">
        <v>15</v>
      </c>
      <c r="Q135" s="468">
        <v>19</v>
      </c>
      <c r="R135" s="466">
        <v>86</v>
      </c>
      <c r="S135" s="468">
        <v>109</v>
      </c>
      <c r="T135" s="466">
        <v>330</v>
      </c>
      <c r="U135" s="468">
        <v>420</v>
      </c>
      <c r="V135" s="468">
        <v>0.5</v>
      </c>
      <c r="W135" s="466">
        <v>450</v>
      </c>
      <c r="X135" s="468">
        <v>530</v>
      </c>
      <c r="Y135" s="466">
        <v>100</v>
      </c>
      <c r="Z135" s="468">
        <v>110</v>
      </c>
      <c r="AA135" s="466">
        <v>2.4</v>
      </c>
      <c r="AB135" s="466">
        <v>0.1</v>
      </c>
      <c r="AC135" s="466">
        <v>3.5</v>
      </c>
      <c r="AD135" s="466">
        <v>0.2</v>
      </c>
      <c r="AE135" s="466">
        <v>0.26</v>
      </c>
      <c r="AF135" s="468">
        <v>0.27</v>
      </c>
      <c r="AG135" s="466">
        <v>0.35</v>
      </c>
      <c r="AH135" s="468">
        <v>0.37</v>
      </c>
      <c r="AI135" s="466">
        <v>0.55000000000000004</v>
      </c>
      <c r="AJ135" s="466">
        <v>-11</v>
      </c>
      <c r="AK135" s="466">
        <v>2.8</v>
      </c>
      <c r="AL135" s="524">
        <v>22</v>
      </c>
      <c r="AM135" s="524">
        <v>22</v>
      </c>
    </row>
    <row r="136" spans="1:39" ht="25" customHeight="1" outlineLevel="1">
      <c r="A136" s="476" t="s">
        <v>1054</v>
      </c>
      <c r="B136" s="466">
        <v>945</v>
      </c>
      <c r="C136" s="466">
        <v>-30</v>
      </c>
      <c r="D136" s="466">
        <v>-32</v>
      </c>
      <c r="E136" s="466">
        <v>31</v>
      </c>
      <c r="F136" s="466">
        <v>19</v>
      </c>
      <c r="G136" s="468">
        <v>36</v>
      </c>
      <c r="H136" s="468">
        <v>23</v>
      </c>
      <c r="I136" s="466">
        <v>4600</v>
      </c>
      <c r="J136" s="466">
        <v>3670</v>
      </c>
      <c r="K136" s="472">
        <f t="shared" si="2"/>
        <v>4100</v>
      </c>
      <c r="L136" s="472">
        <v>666</v>
      </c>
      <c r="M136" s="472">
        <v>666</v>
      </c>
      <c r="N136" s="472">
        <v>666</v>
      </c>
      <c r="O136" s="472">
        <v>666</v>
      </c>
      <c r="P136" s="466">
        <v>16</v>
      </c>
      <c r="Q136" s="468">
        <v>20</v>
      </c>
      <c r="R136" s="466">
        <v>97</v>
      </c>
      <c r="S136" s="468">
        <v>122</v>
      </c>
      <c r="T136" s="466">
        <v>300</v>
      </c>
      <c r="U136" s="468">
        <v>360</v>
      </c>
      <c r="V136" s="468">
        <v>0.4</v>
      </c>
      <c r="W136" s="466">
        <v>425</v>
      </c>
      <c r="X136" s="468">
        <v>490</v>
      </c>
      <c r="Y136" s="466">
        <v>180</v>
      </c>
      <c r="Z136" s="468">
        <v>190</v>
      </c>
      <c r="AA136" s="466">
        <v>1.2</v>
      </c>
      <c r="AB136" s="466">
        <v>0.1</v>
      </c>
      <c r="AC136" s="466">
        <v>1.8</v>
      </c>
      <c r="AD136" s="466">
        <v>0.2</v>
      </c>
      <c r="AE136" s="466">
        <v>0.54</v>
      </c>
      <c r="AF136" s="468">
        <v>0.56999999999999995</v>
      </c>
      <c r="AG136" s="466">
        <v>0.68</v>
      </c>
      <c r="AH136" s="468">
        <v>0.71</v>
      </c>
      <c r="AI136" s="466">
        <v>0.99</v>
      </c>
      <c r="AJ136" s="466">
        <v>-9</v>
      </c>
      <c r="AK136" s="466">
        <v>3.8</v>
      </c>
      <c r="AL136" s="524">
        <v>23</v>
      </c>
      <c r="AM136" s="524">
        <v>23</v>
      </c>
    </row>
    <row r="137" spans="1:39" ht="25" customHeight="1" outlineLevel="1">
      <c r="A137" s="476" t="s">
        <v>1055</v>
      </c>
      <c r="B137" s="466">
        <v>255</v>
      </c>
      <c r="C137" s="466">
        <v>-38</v>
      </c>
      <c r="D137" s="466">
        <v>-40</v>
      </c>
      <c r="E137" s="466">
        <v>28</v>
      </c>
      <c r="F137" s="466">
        <v>19</v>
      </c>
      <c r="G137" s="468">
        <v>33</v>
      </c>
      <c r="H137" s="468">
        <v>23</v>
      </c>
      <c r="I137" s="466">
        <v>6250</v>
      </c>
      <c r="J137" s="466">
        <v>5230</v>
      </c>
      <c r="K137" s="472">
        <f t="shared" si="2"/>
        <v>5750</v>
      </c>
      <c r="L137" s="472">
        <v>666</v>
      </c>
      <c r="M137" s="472">
        <v>666</v>
      </c>
      <c r="N137" s="472">
        <v>666</v>
      </c>
      <c r="O137" s="472">
        <v>666</v>
      </c>
      <c r="P137" s="466">
        <v>13</v>
      </c>
      <c r="Q137" s="468">
        <v>17</v>
      </c>
      <c r="R137" s="466">
        <v>86</v>
      </c>
      <c r="S137" s="468">
        <v>111</v>
      </c>
      <c r="T137" s="466">
        <v>340</v>
      </c>
      <c r="U137" s="468">
        <v>410</v>
      </c>
      <c r="V137" s="468">
        <v>0.5</v>
      </c>
      <c r="W137" s="466">
        <v>460</v>
      </c>
      <c r="X137" s="468">
        <v>520</v>
      </c>
      <c r="Y137" s="466">
        <v>60</v>
      </c>
      <c r="AA137" s="466">
        <v>1.5</v>
      </c>
      <c r="AB137" s="466">
        <v>0.1</v>
      </c>
      <c r="AC137" s="466">
        <v>2.1</v>
      </c>
      <c r="AD137" s="466">
        <v>0.1</v>
      </c>
      <c r="AE137" s="466">
        <v>0.28000000000000003</v>
      </c>
      <c r="AF137" s="468">
        <v>0.28999999999999998</v>
      </c>
      <c r="AG137" s="466">
        <v>0.35</v>
      </c>
      <c r="AH137" s="468">
        <v>0.37</v>
      </c>
      <c r="AI137" s="466">
        <v>0.53</v>
      </c>
      <c r="AJ137" s="466">
        <v>-12</v>
      </c>
      <c r="AK137" s="466">
        <v>3.2</v>
      </c>
      <c r="AL137" s="524">
        <v>23</v>
      </c>
      <c r="AM137" s="524">
        <v>23</v>
      </c>
    </row>
    <row r="138" spans="1:39" ht="25" customHeight="1" outlineLevel="1">
      <c r="A138" s="476" t="s">
        <v>1056</v>
      </c>
      <c r="B138" s="466">
        <v>610</v>
      </c>
      <c r="C138" s="466">
        <v>-32</v>
      </c>
      <c r="D138" s="466">
        <v>-35</v>
      </c>
      <c r="E138" s="466">
        <v>28</v>
      </c>
      <c r="F138" s="466">
        <v>19</v>
      </c>
      <c r="G138" s="468">
        <v>34</v>
      </c>
      <c r="H138" s="468">
        <v>23</v>
      </c>
      <c r="I138" s="466">
        <v>5420</v>
      </c>
      <c r="J138" s="466">
        <v>4450</v>
      </c>
      <c r="K138" s="472">
        <f t="shared" si="2"/>
        <v>4920</v>
      </c>
      <c r="L138" s="472">
        <v>666</v>
      </c>
      <c r="M138" s="472">
        <v>666</v>
      </c>
      <c r="N138" s="472">
        <v>666</v>
      </c>
      <c r="O138" s="472">
        <v>666</v>
      </c>
      <c r="P138" s="466">
        <v>20</v>
      </c>
      <c r="Q138" s="468">
        <v>25</v>
      </c>
      <c r="R138" s="466">
        <v>86</v>
      </c>
      <c r="S138" s="468">
        <v>109</v>
      </c>
      <c r="T138" s="466">
        <v>350</v>
      </c>
      <c r="U138" s="468">
        <v>410</v>
      </c>
      <c r="V138" s="468">
        <v>0.5</v>
      </c>
      <c r="W138" s="466">
        <v>425</v>
      </c>
      <c r="X138" s="468">
        <v>480</v>
      </c>
      <c r="Y138" s="466">
        <v>140</v>
      </c>
      <c r="Z138" s="468">
        <v>150</v>
      </c>
      <c r="AA138" s="466">
        <v>1.6</v>
      </c>
      <c r="AB138" s="466">
        <v>0.1</v>
      </c>
      <c r="AC138" s="466">
        <v>2.2999999999999998</v>
      </c>
      <c r="AD138" s="466">
        <v>0.1</v>
      </c>
      <c r="AE138" s="466">
        <v>0.34</v>
      </c>
      <c r="AF138" s="468">
        <v>0.36</v>
      </c>
      <c r="AG138" s="466">
        <v>0.43</v>
      </c>
      <c r="AH138" s="468">
        <v>0.45</v>
      </c>
      <c r="AI138" s="466">
        <v>0.66</v>
      </c>
      <c r="AJ138" s="466">
        <v>-10</v>
      </c>
      <c r="AK138" s="466">
        <v>2</v>
      </c>
      <c r="AL138" s="524">
        <v>23</v>
      </c>
      <c r="AM138" s="524">
        <v>23</v>
      </c>
    </row>
    <row r="139" spans="1:39" ht="25" customHeight="1" outlineLevel="1">
      <c r="A139" s="476" t="s">
        <v>1057</v>
      </c>
      <c r="B139" s="466">
        <v>270</v>
      </c>
      <c r="C139" s="466">
        <v>-41</v>
      </c>
      <c r="D139" s="466">
        <v>-43</v>
      </c>
      <c r="E139" s="466">
        <v>28</v>
      </c>
      <c r="F139" s="466">
        <v>18</v>
      </c>
      <c r="G139" s="468">
        <v>32</v>
      </c>
      <c r="H139" s="468">
        <v>22</v>
      </c>
      <c r="I139" s="466">
        <v>6700</v>
      </c>
      <c r="J139" s="466">
        <v>5660</v>
      </c>
      <c r="K139" s="472">
        <f t="shared" si="2"/>
        <v>6200</v>
      </c>
      <c r="L139" s="472">
        <v>666</v>
      </c>
      <c r="M139" s="472">
        <v>666</v>
      </c>
      <c r="N139" s="472">
        <v>666</v>
      </c>
      <c r="O139" s="472">
        <v>666</v>
      </c>
      <c r="P139" s="466">
        <v>13</v>
      </c>
      <c r="Q139" s="468">
        <v>17</v>
      </c>
      <c r="R139" s="466">
        <v>70</v>
      </c>
      <c r="S139" s="468">
        <v>90</v>
      </c>
      <c r="T139" s="466">
        <v>250</v>
      </c>
      <c r="U139" s="468">
        <v>310</v>
      </c>
      <c r="V139" s="468">
        <v>0.5</v>
      </c>
      <c r="W139" s="466">
        <v>380</v>
      </c>
      <c r="X139" s="468">
        <v>440</v>
      </c>
      <c r="Y139" s="466">
        <v>60</v>
      </c>
      <c r="Z139" s="468">
        <v>70</v>
      </c>
      <c r="AA139" s="466">
        <v>2.1</v>
      </c>
      <c r="AB139" s="466">
        <v>0.1</v>
      </c>
      <c r="AC139" s="466">
        <v>3</v>
      </c>
      <c r="AD139" s="466">
        <v>0.1</v>
      </c>
      <c r="AE139" s="466">
        <v>0.23</v>
      </c>
      <c r="AF139" s="468">
        <v>0.24</v>
      </c>
      <c r="AG139" s="466">
        <v>0.3</v>
      </c>
      <c r="AH139" s="468">
        <v>0.32</v>
      </c>
      <c r="AI139" s="466">
        <v>0.45</v>
      </c>
      <c r="AJ139" s="466">
        <v>-14</v>
      </c>
      <c r="AK139" s="466">
        <v>3.1</v>
      </c>
      <c r="AL139" s="524">
        <v>22</v>
      </c>
      <c r="AM139" s="524">
        <v>22</v>
      </c>
    </row>
    <row r="140" spans="1:39" ht="25" customHeight="1" outlineLevel="1">
      <c r="A140" s="476" t="s">
        <v>1058</v>
      </c>
      <c r="B140" s="466">
        <v>650</v>
      </c>
      <c r="C140" s="466">
        <v>-36</v>
      </c>
      <c r="D140" s="466">
        <v>-39</v>
      </c>
      <c r="E140" s="466">
        <v>27</v>
      </c>
      <c r="F140" s="466">
        <v>18</v>
      </c>
      <c r="G140" s="468">
        <v>32</v>
      </c>
      <c r="H140" s="468">
        <v>22</v>
      </c>
      <c r="I140" s="466">
        <v>5790</v>
      </c>
      <c r="J140" s="466">
        <v>4800</v>
      </c>
      <c r="K140" s="472">
        <f t="shared" si="2"/>
        <v>5290</v>
      </c>
      <c r="L140" s="472">
        <v>666</v>
      </c>
      <c r="M140" s="472">
        <v>666</v>
      </c>
      <c r="N140" s="472">
        <v>666</v>
      </c>
      <c r="O140" s="472">
        <v>666</v>
      </c>
      <c r="P140" s="466">
        <v>20</v>
      </c>
      <c r="Q140" s="468">
        <v>25</v>
      </c>
      <c r="R140" s="466">
        <v>86</v>
      </c>
      <c r="S140" s="468">
        <v>109</v>
      </c>
      <c r="T140" s="466">
        <v>315</v>
      </c>
      <c r="U140" s="468">
        <v>400</v>
      </c>
      <c r="V140" s="468">
        <v>0.5</v>
      </c>
      <c r="W140" s="466">
        <v>450</v>
      </c>
      <c r="X140" s="468">
        <v>540</v>
      </c>
      <c r="Y140" s="466">
        <v>120</v>
      </c>
      <c r="AA140" s="466">
        <v>2.2000000000000002</v>
      </c>
      <c r="AB140" s="466">
        <v>0.1</v>
      </c>
      <c r="AC140" s="466">
        <v>3.2</v>
      </c>
      <c r="AD140" s="466">
        <v>0.2</v>
      </c>
      <c r="AE140" s="466">
        <v>0.32</v>
      </c>
      <c r="AF140" s="468">
        <v>0.34</v>
      </c>
      <c r="AG140" s="466">
        <v>0.43</v>
      </c>
      <c r="AH140" s="468">
        <v>0.45</v>
      </c>
      <c r="AI140" s="466">
        <v>0.7</v>
      </c>
      <c r="AJ140" s="466">
        <v>-11</v>
      </c>
      <c r="AK140" s="466">
        <v>2.9</v>
      </c>
      <c r="AL140" s="524">
        <v>22</v>
      </c>
      <c r="AM140" s="524">
        <v>22</v>
      </c>
    </row>
    <row r="141" spans="1:39" ht="25" customHeight="1" outlineLevel="1">
      <c r="A141" s="476" t="s">
        <v>1059</v>
      </c>
      <c r="B141" s="466">
        <v>335</v>
      </c>
      <c r="C141" s="466">
        <v>-41</v>
      </c>
      <c r="D141" s="466">
        <v>-43</v>
      </c>
      <c r="E141" s="466">
        <v>28</v>
      </c>
      <c r="F141" s="466">
        <v>18</v>
      </c>
      <c r="G141" s="468">
        <v>32</v>
      </c>
      <c r="H141" s="468">
        <v>22</v>
      </c>
      <c r="I141" s="466">
        <v>6750</v>
      </c>
      <c r="J141" s="466">
        <v>5710</v>
      </c>
      <c r="K141" s="472">
        <f t="shared" si="2"/>
        <v>6250</v>
      </c>
      <c r="L141" s="472">
        <v>666</v>
      </c>
      <c r="M141" s="472">
        <v>666</v>
      </c>
      <c r="N141" s="472">
        <v>666</v>
      </c>
      <c r="O141" s="472">
        <v>666</v>
      </c>
      <c r="P141" s="466">
        <v>13</v>
      </c>
      <c r="Q141" s="468">
        <v>17</v>
      </c>
      <c r="R141" s="466">
        <v>70</v>
      </c>
      <c r="S141" s="468">
        <v>90</v>
      </c>
      <c r="T141" s="466">
        <v>275</v>
      </c>
      <c r="U141" s="468">
        <v>350</v>
      </c>
      <c r="V141" s="468">
        <v>0.5</v>
      </c>
      <c r="W141" s="466">
        <v>425</v>
      </c>
      <c r="X141" s="468">
        <v>500</v>
      </c>
      <c r="Y141" s="466">
        <v>60</v>
      </c>
      <c r="Z141" s="468">
        <v>70</v>
      </c>
      <c r="AA141" s="466">
        <v>2.4</v>
      </c>
      <c r="AB141" s="466">
        <v>0.1</v>
      </c>
      <c r="AC141" s="466">
        <v>3.4</v>
      </c>
      <c r="AD141" s="466">
        <v>0.1</v>
      </c>
      <c r="AE141" s="466">
        <v>0.23</v>
      </c>
      <c r="AF141" s="468">
        <v>0.24</v>
      </c>
      <c r="AG141" s="466">
        <v>0.3</v>
      </c>
      <c r="AH141" s="468">
        <v>0.32</v>
      </c>
      <c r="AI141" s="466">
        <v>0.45</v>
      </c>
      <c r="AJ141" s="466">
        <v>-14</v>
      </c>
      <c r="AK141" s="466">
        <v>2</v>
      </c>
      <c r="AL141" s="524">
        <v>22</v>
      </c>
      <c r="AM141" s="524">
        <v>22</v>
      </c>
    </row>
    <row r="142" spans="1:39" ht="25" customHeight="1" outlineLevel="1">
      <c r="A142" s="476" t="s">
        <v>1060</v>
      </c>
      <c r="B142" s="466">
        <v>615</v>
      </c>
      <c r="C142" s="466">
        <v>-33</v>
      </c>
      <c r="D142" s="466">
        <v>-36</v>
      </c>
      <c r="E142" s="466">
        <v>30</v>
      </c>
      <c r="F142" s="466">
        <v>19</v>
      </c>
      <c r="G142" s="468">
        <v>36</v>
      </c>
      <c r="H142" s="468">
        <v>23</v>
      </c>
      <c r="I142" s="466">
        <v>5640</v>
      </c>
      <c r="J142" s="466">
        <v>4660</v>
      </c>
      <c r="K142" s="472">
        <f t="shared" si="2"/>
        <v>5140</v>
      </c>
      <c r="L142" s="472">
        <v>666</v>
      </c>
      <c r="M142" s="472">
        <v>666</v>
      </c>
      <c r="N142" s="472">
        <v>666</v>
      </c>
      <c r="O142" s="472">
        <v>666</v>
      </c>
      <c r="P142" s="466">
        <v>20</v>
      </c>
      <c r="Q142" s="468">
        <v>26</v>
      </c>
      <c r="R142" s="466">
        <v>81</v>
      </c>
      <c r="S142" s="468">
        <v>104</v>
      </c>
      <c r="T142" s="466">
        <v>325</v>
      </c>
      <c r="U142" s="468">
        <v>390</v>
      </c>
      <c r="V142" s="468">
        <v>0.5</v>
      </c>
      <c r="W142" s="466">
        <v>425</v>
      </c>
      <c r="X142" s="468">
        <v>480</v>
      </c>
      <c r="Y142" s="466">
        <v>140</v>
      </c>
      <c r="Z142" s="468">
        <v>150</v>
      </c>
      <c r="AA142" s="466">
        <v>1.7</v>
      </c>
      <c r="AB142" s="466">
        <v>0.1</v>
      </c>
      <c r="AC142" s="466">
        <v>2.5</v>
      </c>
      <c r="AD142" s="466">
        <v>0.2</v>
      </c>
      <c r="AE142" s="466">
        <v>0.28999999999999998</v>
      </c>
      <c r="AF142" s="468">
        <v>0.3</v>
      </c>
      <c r="AG142" s="466">
        <v>0.36</v>
      </c>
      <c r="AH142" s="468">
        <v>0.38</v>
      </c>
      <c r="AI142" s="466">
        <v>0.54</v>
      </c>
      <c r="AJ142" s="466">
        <v>-10</v>
      </c>
      <c r="AK142" s="466">
        <v>4</v>
      </c>
      <c r="AL142" s="524">
        <v>23</v>
      </c>
      <c r="AM142" s="524">
        <v>23</v>
      </c>
    </row>
    <row r="143" spans="1:39" ht="25" customHeight="1" outlineLevel="1">
      <c r="A143" s="476" t="s">
        <v>1061</v>
      </c>
      <c r="B143" s="466">
        <v>1040</v>
      </c>
      <c r="C143" s="466">
        <v>-31</v>
      </c>
      <c r="D143" s="466">
        <v>-32</v>
      </c>
      <c r="E143" s="466">
        <v>28</v>
      </c>
      <c r="F143" s="466">
        <v>17</v>
      </c>
      <c r="G143" s="468">
        <v>33</v>
      </c>
      <c r="H143" s="468">
        <v>21</v>
      </c>
      <c r="I143" s="466">
        <v>4900</v>
      </c>
      <c r="J143" s="466">
        <v>3960</v>
      </c>
      <c r="K143" s="472">
        <f t="shared" si="2"/>
        <v>4400</v>
      </c>
      <c r="L143" s="472">
        <v>666</v>
      </c>
      <c r="M143" s="472">
        <v>666</v>
      </c>
      <c r="N143" s="472">
        <v>666</v>
      </c>
      <c r="O143" s="472">
        <v>666</v>
      </c>
      <c r="P143" s="466">
        <v>18</v>
      </c>
      <c r="Q143" s="468">
        <v>23</v>
      </c>
      <c r="R143" s="466">
        <v>97</v>
      </c>
      <c r="S143" s="468">
        <v>122</v>
      </c>
      <c r="T143" s="466">
        <v>300</v>
      </c>
      <c r="U143" s="468">
        <v>360</v>
      </c>
      <c r="V143" s="468">
        <v>0.4</v>
      </c>
      <c r="W143" s="466">
        <v>425</v>
      </c>
      <c r="X143" s="468">
        <v>480</v>
      </c>
      <c r="Y143" s="466">
        <v>200</v>
      </c>
      <c r="Z143" s="468">
        <v>210</v>
      </c>
      <c r="AA143" s="466">
        <v>1.3</v>
      </c>
      <c r="AB143" s="466">
        <v>0.1</v>
      </c>
      <c r="AC143" s="466">
        <v>1.9</v>
      </c>
      <c r="AD143" s="466">
        <v>0.1</v>
      </c>
      <c r="AE143" s="466">
        <v>0.52</v>
      </c>
      <c r="AF143" s="468">
        <v>0.55000000000000004</v>
      </c>
      <c r="AG143" s="466">
        <v>0.65</v>
      </c>
      <c r="AH143" s="468">
        <v>0.68</v>
      </c>
      <c r="AI143" s="466">
        <v>0.99</v>
      </c>
      <c r="AJ143" s="466">
        <v>-9</v>
      </c>
      <c r="AK143" s="466">
        <v>2.8</v>
      </c>
      <c r="AL143" s="524">
        <v>21</v>
      </c>
      <c r="AM143" s="524">
        <v>21</v>
      </c>
    </row>
    <row r="144" spans="1:39" ht="25" customHeight="1" outlineLevel="1">
      <c r="A144" s="476" t="s">
        <v>1062</v>
      </c>
      <c r="B144" s="466">
        <v>990</v>
      </c>
      <c r="C144" s="466">
        <v>-34</v>
      </c>
      <c r="D144" s="466">
        <v>-38</v>
      </c>
      <c r="E144" s="466">
        <v>27</v>
      </c>
      <c r="F144" s="466">
        <v>17</v>
      </c>
      <c r="G144" s="468">
        <v>33</v>
      </c>
      <c r="H144" s="468">
        <v>21</v>
      </c>
      <c r="I144" s="466">
        <v>5500</v>
      </c>
      <c r="J144" s="466">
        <v>4520</v>
      </c>
      <c r="K144" s="472">
        <f t="shared" si="2"/>
        <v>5000</v>
      </c>
      <c r="L144" s="472">
        <v>666</v>
      </c>
      <c r="M144" s="472">
        <v>666</v>
      </c>
      <c r="N144" s="472">
        <v>666</v>
      </c>
      <c r="O144" s="472">
        <v>666</v>
      </c>
      <c r="P144" s="466">
        <v>13</v>
      </c>
      <c r="Q144" s="468">
        <v>16</v>
      </c>
      <c r="R144" s="466">
        <v>81</v>
      </c>
      <c r="S144" s="468">
        <v>101</v>
      </c>
      <c r="T144" s="466">
        <v>375</v>
      </c>
      <c r="U144" s="468">
        <v>460</v>
      </c>
      <c r="V144" s="468">
        <v>0.6</v>
      </c>
      <c r="W144" s="466">
        <v>500</v>
      </c>
      <c r="X144" s="468">
        <v>580</v>
      </c>
      <c r="Y144" s="466">
        <v>100</v>
      </c>
      <c r="Z144" s="468">
        <v>110</v>
      </c>
      <c r="AA144" s="466">
        <v>2.6</v>
      </c>
      <c r="AB144" s="466">
        <v>0.1</v>
      </c>
      <c r="AC144" s="466">
        <v>3.7</v>
      </c>
      <c r="AD144" s="466">
        <v>0.1</v>
      </c>
      <c r="AE144" s="466">
        <v>0.37</v>
      </c>
      <c r="AF144" s="468">
        <v>0.39</v>
      </c>
      <c r="AG144" s="466">
        <v>0.46</v>
      </c>
      <c r="AH144" s="468">
        <v>0.48</v>
      </c>
      <c r="AI144" s="466">
        <v>0.69</v>
      </c>
      <c r="AJ144" s="466">
        <v>-9</v>
      </c>
      <c r="AK144" s="466">
        <v>2</v>
      </c>
      <c r="AL144" s="524">
        <v>21</v>
      </c>
      <c r="AM144" s="524">
        <v>21</v>
      </c>
    </row>
    <row r="145" spans="1:39" ht="25" customHeight="1" outlineLevel="1">
      <c r="A145" s="476" t="s">
        <v>1063</v>
      </c>
      <c r="B145" s="466">
        <v>1060</v>
      </c>
      <c r="C145" s="466">
        <v>-31</v>
      </c>
      <c r="D145" s="466">
        <v>-34</v>
      </c>
      <c r="E145" s="466">
        <v>28</v>
      </c>
      <c r="F145" s="466">
        <v>17</v>
      </c>
      <c r="G145" s="468">
        <v>34</v>
      </c>
      <c r="H145" s="468">
        <v>22</v>
      </c>
      <c r="I145" s="466">
        <v>5300</v>
      </c>
      <c r="J145" s="466">
        <v>4330</v>
      </c>
      <c r="K145" s="472">
        <f t="shared" si="2"/>
        <v>4800</v>
      </c>
      <c r="L145" s="472">
        <v>666</v>
      </c>
      <c r="M145" s="472">
        <v>666</v>
      </c>
      <c r="N145" s="472">
        <v>666</v>
      </c>
      <c r="O145" s="472">
        <v>666</v>
      </c>
      <c r="P145" s="466">
        <v>12</v>
      </c>
      <c r="Q145" s="468">
        <v>15</v>
      </c>
      <c r="R145" s="466">
        <v>76</v>
      </c>
      <c r="S145" s="468">
        <v>96</v>
      </c>
      <c r="T145" s="466">
        <v>300</v>
      </c>
      <c r="U145" s="468">
        <v>390</v>
      </c>
      <c r="V145" s="468">
        <v>0.5</v>
      </c>
      <c r="W145" s="466">
        <v>400</v>
      </c>
      <c r="X145" s="468">
        <v>450</v>
      </c>
      <c r="Y145" s="466">
        <v>80</v>
      </c>
      <c r="Z145" s="468">
        <v>100</v>
      </c>
      <c r="AA145" s="466">
        <v>3</v>
      </c>
      <c r="AB145" s="466">
        <v>0.1</v>
      </c>
      <c r="AC145" s="466">
        <v>4.3</v>
      </c>
      <c r="AD145" s="466">
        <v>0.1</v>
      </c>
      <c r="AE145" s="466">
        <v>0.26</v>
      </c>
      <c r="AF145" s="468">
        <v>0.27</v>
      </c>
      <c r="AG145" s="466">
        <v>0.32</v>
      </c>
      <c r="AH145" s="468">
        <v>0.34</v>
      </c>
      <c r="AI145" s="466">
        <v>0.47</v>
      </c>
      <c r="AJ145" s="466">
        <v>-9</v>
      </c>
      <c r="AK145" s="466">
        <v>1.7</v>
      </c>
      <c r="AL145" s="524">
        <v>22</v>
      </c>
      <c r="AM145" s="524">
        <v>22</v>
      </c>
    </row>
    <row r="146" spans="1:39" ht="25" customHeight="1" outlineLevel="1">
      <c r="A146" s="476" t="s">
        <v>1064</v>
      </c>
      <c r="B146" s="466">
        <v>420</v>
      </c>
      <c r="C146" s="466">
        <v>-40</v>
      </c>
      <c r="D146" s="466">
        <v>-42</v>
      </c>
      <c r="E146" s="466">
        <v>28</v>
      </c>
      <c r="F146" s="466">
        <v>18</v>
      </c>
      <c r="G146" s="468">
        <v>32</v>
      </c>
      <c r="H146" s="468">
        <v>22</v>
      </c>
      <c r="I146" s="466">
        <v>6520</v>
      </c>
      <c r="J146" s="466">
        <v>5490</v>
      </c>
      <c r="K146" s="472">
        <f t="shared" si="2"/>
        <v>6020</v>
      </c>
      <c r="L146" s="472">
        <v>666</v>
      </c>
      <c r="M146" s="472">
        <v>666</v>
      </c>
      <c r="N146" s="472">
        <v>666</v>
      </c>
      <c r="O146" s="472">
        <v>666</v>
      </c>
      <c r="P146" s="466">
        <v>13</v>
      </c>
      <c r="Q146" s="468">
        <v>17</v>
      </c>
      <c r="R146" s="466">
        <v>70</v>
      </c>
      <c r="S146" s="468">
        <v>89</v>
      </c>
      <c r="T146" s="466">
        <v>310</v>
      </c>
      <c r="U146" s="468">
        <v>390</v>
      </c>
      <c r="V146" s="468">
        <v>0.5</v>
      </c>
      <c r="W146" s="466">
        <v>450</v>
      </c>
      <c r="X146" s="468">
        <v>530</v>
      </c>
      <c r="Y146" s="466">
        <v>80</v>
      </c>
      <c r="Z146" s="468">
        <v>90</v>
      </c>
      <c r="AA146" s="466">
        <v>2.4</v>
      </c>
      <c r="AB146" s="466">
        <v>0.1</v>
      </c>
      <c r="AC146" s="466">
        <v>3.5</v>
      </c>
      <c r="AD146" s="466">
        <v>0.1</v>
      </c>
      <c r="AE146" s="466">
        <v>0.23</v>
      </c>
      <c r="AF146" s="468">
        <v>0.24</v>
      </c>
      <c r="AG146" s="466">
        <v>0.3</v>
      </c>
      <c r="AH146" s="468">
        <v>0.32</v>
      </c>
      <c r="AI146" s="466">
        <v>0.45</v>
      </c>
      <c r="AJ146" s="466">
        <v>-13</v>
      </c>
      <c r="AK146" s="466">
        <v>3</v>
      </c>
      <c r="AL146" s="524">
        <v>22</v>
      </c>
      <c r="AM146" s="524">
        <v>22</v>
      </c>
    </row>
    <row r="147" spans="1:39" ht="25" customHeight="1" outlineLevel="1">
      <c r="A147" s="476" t="s">
        <v>1065</v>
      </c>
      <c r="B147" s="466">
        <v>560</v>
      </c>
      <c r="C147" s="466">
        <v>-35</v>
      </c>
      <c r="D147" s="466">
        <v>-38</v>
      </c>
      <c r="E147" s="466">
        <v>28</v>
      </c>
      <c r="F147" s="466">
        <v>19</v>
      </c>
      <c r="G147" s="468">
        <v>33</v>
      </c>
      <c r="H147" s="468">
        <v>23</v>
      </c>
      <c r="I147" s="466">
        <v>6100</v>
      </c>
      <c r="J147" s="466">
        <v>5090</v>
      </c>
      <c r="K147" s="472">
        <f t="shared" si="2"/>
        <v>5600</v>
      </c>
      <c r="L147" s="472">
        <v>666</v>
      </c>
      <c r="M147" s="472">
        <v>666</v>
      </c>
      <c r="N147" s="472">
        <v>666</v>
      </c>
      <c r="O147" s="472">
        <v>666</v>
      </c>
      <c r="P147" s="466">
        <v>15</v>
      </c>
      <c r="Q147" s="468">
        <v>19</v>
      </c>
      <c r="R147" s="466">
        <v>86</v>
      </c>
      <c r="S147" s="468">
        <v>109</v>
      </c>
      <c r="T147" s="466">
        <v>375</v>
      </c>
      <c r="U147" s="468">
        <v>440</v>
      </c>
      <c r="V147" s="468">
        <v>0.6</v>
      </c>
      <c r="W147" s="466">
        <v>475</v>
      </c>
      <c r="X147" s="468">
        <v>540</v>
      </c>
      <c r="Y147" s="466">
        <v>80</v>
      </c>
      <c r="AA147" s="466">
        <v>1.6</v>
      </c>
      <c r="AB147" s="466">
        <v>0.1</v>
      </c>
      <c r="AC147" s="466">
        <v>2.2999999999999998</v>
      </c>
      <c r="AD147" s="466">
        <v>0.1</v>
      </c>
      <c r="AE147" s="466">
        <v>0.27</v>
      </c>
      <c r="AF147" s="468">
        <v>0.28000000000000003</v>
      </c>
      <c r="AG147" s="466">
        <v>0.36</v>
      </c>
      <c r="AH147" s="468">
        <v>0.38</v>
      </c>
      <c r="AI147" s="466">
        <v>0.59</v>
      </c>
      <c r="AJ147" s="466">
        <v>-11</v>
      </c>
      <c r="AK147" s="466">
        <v>2.4</v>
      </c>
      <c r="AL147" s="524">
        <v>23</v>
      </c>
      <c r="AM147" s="524">
        <v>23</v>
      </c>
    </row>
    <row r="148" spans="1:39" ht="25" customHeight="1" outlineLevel="1">
      <c r="A148" s="476" t="s">
        <v>1066</v>
      </c>
      <c r="B148" s="466">
        <v>855</v>
      </c>
      <c r="C148" s="466">
        <v>-33</v>
      </c>
      <c r="D148" s="466">
        <v>-36</v>
      </c>
      <c r="E148" s="466">
        <v>28</v>
      </c>
      <c r="F148" s="466">
        <v>19</v>
      </c>
      <c r="G148" s="468">
        <v>34</v>
      </c>
      <c r="H148" s="468">
        <v>23</v>
      </c>
      <c r="I148" s="466">
        <v>5500</v>
      </c>
      <c r="J148" s="466">
        <v>4520</v>
      </c>
      <c r="K148" s="472">
        <f t="shared" si="2"/>
        <v>5000</v>
      </c>
      <c r="L148" s="472">
        <v>666</v>
      </c>
      <c r="M148" s="472">
        <v>666</v>
      </c>
      <c r="N148" s="472">
        <v>666</v>
      </c>
      <c r="O148" s="472">
        <v>666</v>
      </c>
      <c r="P148" s="466">
        <v>23</v>
      </c>
      <c r="Q148" s="468">
        <v>29</v>
      </c>
      <c r="R148" s="466">
        <v>92</v>
      </c>
      <c r="S148" s="468">
        <v>116</v>
      </c>
      <c r="T148" s="466">
        <v>350</v>
      </c>
      <c r="U148" s="468">
        <v>420</v>
      </c>
      <c r="V148" s="468">
        <v>0.5</v>
      </c>
      <c r="W148" s="466">
        <v>450</v>
      </c>
      <c r="X148" s="468">
        <v>520</v>
      </c>
      <c r="Y148" s="466">
        <v>180</v>
      </c>
      <c r="Z148" s="468">
        <v>190</v>
      </c>
      <c r="AA148" s="466">
        <v>1.9</v>
      </c>
      <c r="AB148" s="466">
        <v>0.1</v>
      </c>
      <c r="AC148" s="466">
        <v>2.8</v>
      </c>
      <c r="AD148" s="466">
        <v>0.1</v>
      </c>
      <c r="AE148" s="466">
        <v>0.32</v>
      </c>
      <c r="AF148" s="468">
        <v>0.34</v>
      </c>
      <c r="AG148" s="466">
        <v>0.4</v>
      </c>
      <c r="AH148" s="468">
        <v>0.42</v>
      </c>
      <c r="AI148" s="466">
        <v>0.61</v>
      </c>
      <c r="AJ148" s="466">
        <v>-10</v>
      </c>
      <c r="AK148" s="466">
        <v>2.2999999999999998</v>
      </c>
      <c r="AL148" s="524">
        <v>23</v>
      </c>
      <c r="AM148" s="524">
        <v>23</v>
      </c>
    </row>
    <row r="149" spans="1:39" ht="25" customHeight="1" outlineLevel="1">
      <c r="A149" s="476" t="s">
        <v>1067</v>
      </c>
      <c r="B149" s="466">
        <v>910</v>
      </c>
      <c r="C149" s="466">
        <v>-30</v>
      </c>
      <c r="D149" s="466">
        <v>-32</v>
      </c>
      <c r="E149" s="466">
        <v>31</v>
      </c>
      <c r="F149" s="466">
        <v>19</v>
      </c>
      <c r="G149" s="468">
        <v>36</v>
      </c>
      <c r="H149" s="468">
        <v>23</v>
      </c>
      <c r="I149" s="466">
        <v>4500</v>
      </c>
      <c r="J149" s="466">
        <v>3580</v>
      </c>
      <c r="K149" s="472">
        <f t="shared" si="2"/>
        <v>4000</v>
      </c>
      <c r="L149" s="472">
        <v>666</v>
      </c>
      <c r="M149" s="472">
        <v>666</v>
      </c>
      <c r="N149" s="472">
        <v>666</v>
      </c>
      <c r="O149" s="472">
        <v>666</v>
      </c>
      <c r="P149" s="466">
        <v>20</v>
      </c>
      <c r="Q149" s="468">
        <v>25</v>
      </c>
      <c r="R149" s="466">
        <v>97</v>
      </c>
      <c r="S149" s="468">
        <v>122</v>
      </c>
      <c r="T149" s="466">
        <v>250</v>
      </c>
      <c r="U149" s="468">
        <v>310</v>
      </c>
      <c r="V149" s="468">
        <v>0.3</v>
      </c>
      <c r="W149" s="466">
        <v>390</v>
      </c>
      <c r="X149" s="468">
        <v>450</v>
      </c>
      <c r="Y149" s="466">
        <v>200</v>
      </c>
      <c r="Z149" s="468">
        <v>210</v>
      </c>
      <c r="AA149" s="466">
        <v>1.2</v>
      </c>
      <c r="AB149" s="466">
        <v>0.1</v>
      </c>
      <c r="AC149" s="466">
        <v>1.8</v>
      </c>
      <c r="AD149" s="466">
        <v>0.2</v>
      </c>
      <c r="AE149" s="466">
        <v>0.53</v>
      </c>
      <c r="AF149" s="468">
        <v>0.56000000000000005</v>
      </c>
      <c r="AG149" s="466">
        <v>0.66</v>
      </c>
      <c r="AH149" s="468">
        <v>0.69</v>
      </c>
      <c r="AI149" s="466">
        <v>0.96</v>
      </c>
      <c r="AJ149" s="466">
        <v>-9</v>
      </c>
      <c r="AK149" s="466">
        <v>4</v>
      </c>
      <c r="AL149" s="524">
        <v>23</v>
      </c>
      <c r="AM149" s="524">
        <v>23</v>
      </c>
    </row>
    <row r="150" spans="1:39" ht="25" customHeight="1" outlineLevel="1">
      <c r="A150" s="476" t="s">
        <v>1068</v>
      </c>
      <c r="B150" s="466">
        <v>465</v>
      </c>
      <c r="C150" s="466">
        <v>-39</v>
      </c>
      <c r="D150" s="466">
        <v>-41</v>
      </c>
      <c r="E150" s="466">
        <v>27</v>
      </c>
      <c r="F150" s="466">
        <v>18</v>
      </c>
      <c r="G150" s="468">
        <v>32</v>
      </c>
      <c r="H150" s="468">
        <v>22</v>
      </c>
      <c r="I150" s="466">
        <v>6300</v>
      </c>
      <c r="J150" s="466">
        <v>5280</v>
      </c>
      <c r="K150" s="472">
        <f t="shared" si="2"/>
        <v>5800</v>
      </c>
      <c r="L150" s="472">
        <v>666</v>
      </c>
      <c r="M150" s="472">
        <v>666</v>
      </c>
      <c r="N150" s="472">
        <v>666</v>
      </c>
      <c r="O150" s="472">
        <v>666</v>
      </c>
      <c r="P150" s="466">
        <v>13</v>
      </c>
      <c r="Q150" s="468">
        <v>16</v>
      </c>
      <c r="R150" s="466">
        <v>76</v>
      </c>
      <c r="S150" s="468">
        <v>96</v>
      </c>
      <c r="T150" s="466">
        <v>280</v>
      </c>
      <c r="U150" s="468">
        <v>350</v>
      </c>
      <c r="V150" s="468">
        <v>0.5</v>
      </c>
      <c r="W150" s="466">
        <v>390</v>
      </c>
      <c r="X150" s="468">
        <v>460</v>
      </c>
      <c r="Y150" s="466">
        <v>80</v>
      </c>
      <c r="Z150" s="468">
        <v>90</v>
      </c>
      <c r="AA150" s="466">
        <v>2.2999999999999998</v>
      </c>
      <c r="AB150" s="466">
        <v>0.1</v>
      </c>
      <c r="AC150" s="466">
        <v>3.3</v>
      </c>
      <c r="AD150" s="466">
        <v>0.2</v>
      </c>
      <c r="AE150" s="466">
        <v>0.23</v>
      </c>
      <c r="AF150" s="468">
        <v>0.24</v>
      </c>
      <c r="AG150" s="466">
        <v>0.3</v>
      </c>
      <c r="AH150" s="468">
        <v>0.32</v>
      </c>
      <c r="AI150" s="466">
        <v>0.45</v>
      </c>
      <c r="AJ150" s="466">
        <v>-13</v>
      </c>
      <c r="AK150" s="466">
        <v>2.8</v>
      </c>
      <c r="AL150" s="524">
        <v>22</v>
      </c>
      <c r="AM150" s="524">
        <v>22</v>
      </c>
    </row>
    <row r="151" spans="1:39" ht="25" customHeight="1" outlineLevel="1">
      <c r="A151" s="476" t="s">
        <v>1069</v>
      </c>
      <c r="B151" s="466">
        <v>705</v>
      </c>
      <c r="C151" s="466">
        <v>-31</v>
      </c>
      <c r="D151" s="466">
        <v>-34</v>
      </c>
      <c r="E151" s="466">
        <v>32</v>
      </c>
      <c r="F151" s="466">
        <v>19</v>
      </c>
      <c r="G151" s="468">
        <v>37</v>
      </c>
      <c r="H151" s="468">
        <v>23</v>
      </c>
      <c r="I151" s="466">
        <v>4540</v>
      </c>
      <c r="J151" s="466">
        <v>3610</v>
      </c>
      <c r="K151" s="472">
        <f t="shared" si="2"/>
        <v>4040</v>
      </c>
      <c r="L151" s="472">
        <v>666</v>
      </c>
      <c r="M151" s="472">
        <v>666</v>
      </c>
      <c r="N151" s="472">
        <v>666</v>
      </c>
      <c r="O151" s="472">
        <v>666</v>
      </c>
      <c r="P151" s="466">
        <v>23</v>
      </c>
      <c r="Q151" s="468">
        <v>29</v>
      </c>
      <c r="R151" s="466">
        <v>92</v>
      </c>
      <c r="S151" s="468">
        <v>116</v>
      </c>
      <c r="T151" s="466">
        <v>250</v>
      </c>
      <c r="U151" s="468">
        <v>300</v>
      </c>
      <c r="V151" s="468">
        <v>0.3</v>
      </c>
      <c r="W151" s="466">
        <v>325</v>
      </c>
      <c r="X151" s="468">
        <v>370</v>
      </c>
      <c r="Y151" s="466">
        <v>220</v>
      </c>
      <c r="Z151" s="468">
        <v>230</v>
      </c>
      <c r="AA151" s="466">
        <v>1.1000000000000001</v>
      </c>
      <c r="AB151" s="466">
        <v>0.1</v>
      </c>
      <c r="AC151" s="466">
        <v>1.6</v>
      </c>
      <c r="AD151" s="466">
        <v>0.2</v>
      </c>
      <c r="AE151" s="466">
        <v>0.38</v>
      </c>
      <c r="AF151" s="468">
        <v>0.4</v>
      </c>
      <c r="AG151" s="466">
        <v>0.48</v>
      </c>
      <c r="AH151" s="468">
        <v>0.5</v>
      </c>
      <c r="AI151" s="466">
        <v>0.71</v>
      </c>
      <c r="AJ151" s="466">
        <v>-9</v>
      </c>
      <c r="AK151" s="466">
        <v>3.6</v>
      </c>
      <c r="AL151" s="524">
        <v>23</v>
      </c>
      <c r="AM151" s="524">
        <v>23</v>
      </c>
    </row>
    <row r="152" spans="1:39" ht="25" customHeight="1" outlineLevel="1">
      <c r="A152" s="476" t="s">
        <v>1070</v>
      </c>
      <c r="B152" s="466">
        <v>330</v>
      </c>
      <c r="C152" s="466">
        <v>-37</v>
      </c>
      <c r="D152" s="466">
        <v>-40</v>
      </c>
      <c r="E152" s="466">
        <v>27</v>
      </c>
      <c r="F152" s="466">
        <v>18</v>
      </c>
      <c r="G152" s="468">
        <v>32</v>
      </c>
      <c r="H152" s="468">
        <v>22</v>
      </c>
      <c r="I152" s="466">
        <v>6050</v>
      </c>
      <c r="J152" s="466">
        <v>5040</v>
      </c>
      <c r="K152" s="472">
        <f t="shared" si="2"/>
        <v>5550</v>
      </c>
      <c r="L152" s="472">
        <v>666</v>
      </c>
      <c r="M152" s="472">
        <v>666</v>
      </c>
      <c r="N152" s="472">
        <v>666</v>
      </c>
      <c r="O152" s="472">
        <v>666</v>
      </c>
      <c r="P152" s="466">
        <v>15</v>
      </c>
      <c r="Q152" s="468">
        <v>19</v>
      </c>
      <c r="R152" s="466">
        <v>81</v>
      </c>
      <c r="S152" s="468">
        <v>103</v>
      </c>
      <c r="T152" s="466">
        <v>300</v>
      </c>
      <c r="U152" s="468">
        <v>380</v>
      </c>
      <c r="V152" s="468">
        <v>0.5</v>
      </c>
      <c r="W152" s="466">
        <v>390</v>
      </c>
      <c r="X152" s="468">
        <v>460</v>
      </c>
      <c r="Y152" s="466">
        <v>100</v>
      </c>
      <c r="Z152" s="468">
        <v>110</v>
      </c>
      <c r="AA152" s="466">
        <v>2.2000000000000002</v>
      </c>
      <c r="AB152" s="466">
        <v>0.1</v>
      </c>
      <c r="AC152" s="466">
        <v>3.2</v>
      </c>
      <c r="AD152" s="466">
        <v>0.2</v>
      </c>
      <c r="AE152" s="466">
        <v>0.24</v>
      </c>
      <c r="AF152" s="468">
        <v>0.25</v>
      </c>
      <c r="AG152" s="466">
        <v>0.32</v>
      </c>
      <c r="AH152" s="468">
        <v>0.34</v>
      </c>
      <c r="AI152" s="466">
        <v>0.5</v>
      </c>
      <c r="AJ152" s="466">
        <v>-11</v>
      </c>
      <c r="AK152" s="466">
        <v>3.5</v>
      </c>
      <c r="AL152" s="524">
        <v>22</v>
      </c>
      <c r="AM152" s="524">
        <v>22</v>
      </c>
    </row>
    <row r="153" spans="1:39" ht="25" customHeight="1" outlineLevel="1">
      <c r="A153" s="476" t="s">
        <v>1071</v>
      </c>
      <c r="B153" s="466">
        <v>1130</v>
      </c>
      <c r="C153" s="466">
        <v>-29</v>
      </c>
      <c r="D153" s="466">
        <v>-32</v>
      </c>
      <c r="E153" s="466">
        <v>29</v>
      </c>
      <c r="F153" s="466">
        <v>18</v>
      </c>
      <c r="G153" s="468">
        <v>34</v>
      </c>
      <c r="H153" s="468">
        <v>22</v>
      </c>
      <c r="I153" s="466">
        <v>4740</v>
      </c>
      <c r="J153" s="466">
        <v>3800</v>
      </c>
      <c r="K153" s="472">
        <f t="shared" si="2"/>
        <v>4240</v>
      </c>
      <c r="L153" s="472">
        <v>666</v>
      </c>
      <c r="M153" s="472">
        <v>666</v>
      </c>
      <c r="N153" s="472">
        <v>666</v>
      </c>
      <c r="O153" s="472">
        <v>666</v>
      </c>
      <c r="P153" s="466">
        <v>16</v>
      </c>
      <c r="Q153" s="468">
        <v>20</v>
      </c>
      <c r="R153" s="466">
        <v>103</v>
      </c>
      <c r="S153" s="468">
        <v>130</v>
      </c>
      <c r="T153" s="466">
        <v>325</v>
      </c>
      <c r="U153" s="468">
        <v>400</v>
      </c>
      <c r="V153" s="468">
        <v>0.4</v>
      </c>
      <c r="W153" s="466">
        <v>575</v>
      </c>
      <c r="X153" s="468">
        <v>650</v>
      </c>
      <c r="Y153" s="466">
        <v>140</v>
      </c>
      <c r="Z153" s="468">
        <v>150</v>
      </c>
      <c r="AA153" s="466">
        <v>1.5</v>
      </c>
      <c r="AB153" s="466">
        <v>0.1</v>
      </c>
      <c r="AC153" s="466">
        <v>2.2000000000000002</v>
      </c>
      <c r="AD153" s="466">
        <v>0.2</v>
      </c>
      <c r="AE153" s="466">
        <v>0.77</v>
      </c>
      <c r="AF153" s="468">
        <v>0.81</v>
      </c>
      <c r="AG153" s="466">
        <v>0.96</v>
      </c>
      <c r="AH153" s="468">
        <v>1.01</v>
      </c>
      <c r="AI153" s="466">
        <v>1.39</v>
      </c>
      <c r="AJ153" s="466">
        <v>-9</v>
      </c>
      <c r="AK153" s="466">
        <v>4.5999999999999996</v>
      </c>
      <c r="AL153" s="524">
        <v>22</v>
      </c>
      <c r="AM153" s="524">
        <v>22</v>
      </c>
    </row>
    <row r="154" spans="1:39" ht="25" customHeight="1" outlineLevel="1">
      <c r="A154" s="476" t="s">
        <v>1072</v>
      </c>
      <c r="B154" s="466">
        <v>670</v>
      </c>
      <c r="C154" s="466">
        <v>-34</v>
      </c>
      <c r="D154" s="466">
        <v>-37</v>
      </c>
      <c r="E154" s="466">
        <v>29</v>
      </c>
      <c r="F154" s="466">
        <v>19</v>
      </c>
      <c r="G154" s="468">
        <v>34</v>
      </c>
      <c r="H154" s="468">
        <v>23</v>
      </c>
      <c r="I154" s="466">
        <v>5700</v>
      </c>
      <c r="J154" s="466">
        <v>4710</v>
      </c>
      <c r="K154" s="472">
        <f t="shared" si="2"/>
        <v>5200</v>
      </c>
      <c r="L154" s="472">
        <v>666</v>
      </c>
      <c r="M154" s="472">
        <v>666</v>
      </c>
      <c r="N154" s="472">
        <v>666</v>
      </c>
      <c r="O154" s="472">
        <v>666</v>
      </c>
      <c r="P154" s="466">
        <v>18</v>
      </c>
      <c r="Q154" s="468">
        <v>23</v>
      </c>
      <c r="R154" s="466">
        <v>92</v>
      </c>
      <c r="S154" s="468">
        <v>118</v>
      </c>
      <c r="T154" s="466">
        <v>325</v>
      </c>
      <c r="U154" s="468">
        <v>380</v>
      </c>
      <c r="V154" s="468">
        <v>0.5</v>
      </c>
      <c r="W154" s="466">
        <v>420</v>
      </c>
      <c r="X154" s="468">
        <v>480</v>
      </c>
      <c r="Y154" s="466">
        <v>100</v>
      </c>
      <c r="AA154" s="466">
        <v>1.9</v>
      </c>
      <c r="AB154" s="466">
        <v>0.1</v>
      </c>
      <c r="AC154" s="466">
        <v>2.7</v>
      </c>
      <c r="AD154" s="466">
        <v>0.1</v>
      </c>
      <c r="AE154" s="466">
        <v>0.28999999999999998</v>
      </c>
      <c r="AF154" s="468">
        <v>0.3</v>
      </c>
      <c r="AG154" s="466">
        <v>0.36</v>
      </c>
      <c r="AH154" s="468">
        <v>0.38</v>
      </c>
      <c r="AI154" s="466">
        <v>0.54</v>
      </c>
      <c r="AJ154" s="466">
        <v>-10</v>
      </c>
      <c r="AK154" s="466">
        <v>3.6</v>
      </c>
      <c r="AL154" s="524">
        <v>23</v>
      </c>
      <c r="AM154" s="524">
        <v>23</v>
      </c>
    </row>
    <row r="155" spans="1:39" ht="25" customHeight="1" outlineLevel="1">
      <c r="A155" s="476" t="s">
        <v>1073</v>
      </c>
      <c r="B155" s="466">
        <v>855</v>
      </c>
      <c r="C155" s="466">
        <v>-32</v>
      </c>
      <c r="D155" s="466">
        <v>-35</v>
      </c>
      <c r="E155" s="466">
        <v>28</v>
      </c>
      <c r="F155" s="466">
        <v>19</v>
      </c>
      <c r="G155" s="468">
        <v>34</v>
      </c>
      <c r="H155" s="468">
        <v>23</v>
      </c>
      <c r="I155" s="466">
        <v>5550</v>
      </c>
      <c r="J155" s="466">
        <v>4570</v>
      </c>
      <c r="K155" s="472">
        <f t="shared" si="2"/>
        <v>5050</v>
      </c>
      <c r="L155" s="472">
        <v>666</v>
      </c>
      <c r="M155" s="472">
        <v>666</v>
      </c>
      <c r="N155" s="472">
        <v>666</v>
      </c>
      <c r="O155" s="472">
        <v>666</v>
      </c>
      <c r="P155" s="466">
        <v>20</v>
      </c>
      <c r="Q155" s="468">
        <v>25</v>
      </c>
      <c r="R155" s="466">
        <v>97</v>
      </c>
      <c r="S155" s="468">
        <v>122</v>
      </c>
      <c r="T155" s="466">
        <v>375</v>
      </c>
      <c r="U155" s="468">
        <v>450</v>
      </c>
      <c r="V155" s="468">
        <v>0.5</v>
      </c>
      <c r="W155" s="466">
        <v>475</v>
      </c>
      <c r="X155" s="468">
        <v>550</v>
      </c>
      <c r="Y155" s="466">
        <v>200</v>
      </c>
      <c r="Z155" s="468">
        <v>210</v>
      </c>
      <c r="AA155" s="466">
        <v>1.8</v>
      </c>
      <c r="AB155" s="466">
        <v>0.1</v>
      </c>
      <c r="AC155" s="466">
        <v>2.6</v>
      </c>
      <c r="AD155" s="466">
        <v>0.1</v>
      </c>
      <c r="AE155" s="466">
        <v>0.32</v>
      </c>
      <c r="AF155" s="468">
        <v>0.34</v>
      </c>
      <c r="AG155" s="466">
        <v>0.4</v>
      </c>
      <c r="AH155" s="468">
        <v>0.42</v>
      </c>
      <c r="AI155" s="466">
        <v>0.61</v>
      </c>
      <c r="AJ155" s="466">
        <v>-10</v>
      </c>
      <c r="AK155" s="466">
        <v>2.8</v>
      </c>
      <c r="AL155" s="524">
        <v>23</v>
      </c>
      <c r="AM155" s="524">
        <v>23</v>
      </c>
    </row>
    <row r="156" spans="1:39" ht="25" customHeight="1" outlineLevel="1">
      <c r="A156" s="476" t="s">
        <v>1074</v>
      </c>
      <c r="B156" s="466">
        <v>985</v>
      </c>
      <c r="C156" s="466">
        <v>-32</v>
      </c>
      <c r="D156" s="466">
        <v>-34</v>
      </c>
      <c r="E156" s="466">
        <v>27</v>
      </c>
      <c r="F156" s="466">
        <v>18</v>
      </c>
      <c r="G156" s="468">
        <v>33</v>
      </c>
      <c r="H156" s="468">
        <v>22</v>
      </c>
      <c r="I156" s="466">
        <v>5640</v>
      </c>
      <c r="J156" s="466">
        <v>4660</v>
      </c>
      <c r="K156" s="472">
        <f t="shared" si="2"/>
        <v>5140</v>
      </c>
      <c r="L156" s="472">
        <v>666</v>
      </c>
      <c r="M156" s="472">
        <v>666</v>
      </c>
      <c r="N156" s="472">
        <v>666</v>
      </c>
      <c r="O156" s="472">
        <v>666</v>
      </c>
      <c r="P156" s="466">
        <v>20</v>
      </c>
      <c r="Q156" s="468">
        <v>25</v>
      </c>
      <c r="R156" s="466">
        <v>92</v>
      </c>
      <c r="S156" s="468">
        <v>115</v>
      </c>
      <c r="T156" s="466">
        <v>425</v>
      </c>
      <c r="U156" s="468">
        <v>510</v>
      </c>
      <c r="V156" s="468">
        <v>0.6</v>
      </c>
      <c r="W156" s="466">
        <v>550</v>
      </c>
      <c r="X156" s="468">
        <v>630</v>
      </c>
      <c r="Y156" s="466">
        <v>120</v>
      </c>
      <c r="Z156" s="468">
        <v>130</v>
      </c>
      <c r="AA156" s="466">
        <v>1.9</v>
      </c>
      <c r="AB156" s="466">
        <v>0.1</v>
      </c>
      <c r="AC156" s="466">
        <v>2.7</v>
      </c>
      <c r="AD156" s="466">
        <v>0.1</v>
      </c>
      <c r="AE156" s="466">
        <v>0.28999999999999998</v>
      </c>
      <c r="AF156" s="468">
        <v>0.3</v>
      </c>
      <c r="AG156" s="466">
        <v>0.36</v>
      </c>
      <c r="AH156" s="468">
        <v>0.38</v>
      </c>
      <c r="AI156" s="466">
        <v>0.54</v>
      </c>
      <c r="AJ156" s="466">
        <v>-10</v>
      </c>
      <c r="AK156" s="466">
        <v>1.9</v>
      </c>
      <c r="AL156" s="524">
        <v>22</v>
      </c>
      <c r="AM156" s="524">
        <v>22</v>
      </c>
    </row>
    <row r="157" spans="1:39" ht="25" customHeight="1" outlineLevel="1">
      <c r="A157" s="476" t="s">
        <v>1075</v>
      </c>
      <c r="B157" s="466">
        <v>590</v>
      </c>
      <c r="C157" s="466">
        <v>-35</v>
      </c>
      <c r="D157" s="466">
        <v>-38</v>
      </c>
      <c r="E157" s="466">
        <v>26</v>
      </c>
      <c r="F157" s="466">
        <v>19</v>
      </c>
      <c r="G157" s="468">
        <v>31</v>
      </c>
      <c r="H157" s="468">
        <v>23</v>
      </c>
      <c r="I157" s="466">
        <v>5850</v>
      </c>
      <c r="J157" s="466">
        <v>4850</v>
      </c>
      <c r="K157" s="472">
        <f t="shared" si="2"/>
        <v>5350</v>
      </c>
      <c r="L157" s="472">
        <v>666</v>
      </c>
      <c r="M157" s="472">
        <v>666</v>
      </c>
      <c r="N157" s="472">
        <v>666</v>
      </c>
      <c r="O157" s="472">
        <v>666</v>
      </c>
      <c r="P157" s="466">
        <v>15</v>
      </c>
      <c r="Q157" s="468">
        <v>19</v>
      </c>
      <c r="R157" s="466">
        <v>81</v>
      </c>
      <c r="S157" s="468">
        <v>102</v>
      </c>
      <c r="T157" s="466">
        <v>380</v>
      </c>
      <c r="U157" s="468">
        <v>450</v>
      </c>
      <c r="V157" s="468">
        <v>0.6</v>
      </c>
      <c r="W157" s="466">
        <v>500</v>
      </c>
      <c r="X157" s="468">
        <v>570</v>
      </c>
      <c r="Y157" s="466">
        <v>80</v>
      </c>
      <c r="AA157" s="466">
        <v>1.9</v>
      </c>
      <c r="AB157" s="466">
        <v>0.1</v>
      </c>
      <c r="AC157" s="466">
        <v>2.8</v>
      </c>
      <c r="AD157" s="466">
        <v>0.2</v>
      </c>
      <c r="AE157" s="466">
        <v>0.28000000000000003</v>
      </c>
      <c r="AF157" s="468">
        <v>0.28999999999999998</v>
      </c>
      <c r="AG157" s="466">
        <v>0.37</v>
      </c>
      <c r="AH157" s="468">
        <v>0.39</v>
      </c>
      <c r="AI157" s="466">
        <v>0.6</v>
      </c>
      <c r="AJ157" s="466">
        <v>-11</v>
      </c>
      <c r="AK157" s="466">
        <v>3.5</v>
      </c>
      <c r="AL157" s="524">
        <v>23</v>
      </c>
      <c r="AM157" s="524">
        <v>23</v>
      </c>
    </row>
    <row r="158" spans="1:39" ht="25" customHeight="1" outlineLevel="1">
      <c r="A158" s="476" t="s">
        <v>1076</v>
      </c>
      <c r="B158" s="466">
        <v>820</v>
      </c>
      <c r="C158" s="466">
        <v>-32</v>
      </c>
      <c r="D158" s="466">
        <v>-34</v>
      </c>
      <c r="E158" s="466">
        <v>30</v>
      </c>
      <c r="F158" s="466">
        <v>19</v>
      </c>
      <c r="G158" s="468">
        <v>36</v>
      </c>
      <c r="H158" s="468">
        <v>23</v>
      </c>
      <c r="I158" s="466">
        <v>5300</v>
      </c>
      <c r="J158" s="466">
        <v>4330</v>
      </c>
      <c r="K158" s="472">
        <f t="shared" si="2"/>
        <v>4800</v>
      </c>
      <c r="L158" s="472">
        <v>666</v>
      </c>
      <c r="M158" s="472">
        <v>666</v>
      </c>
      <c r="N158" s="472">
        <v>666</v>
      </c>
      <c r="O158" s="472">
        <v>666</v>
      </c>
      <c r="P158" s="466">
        <v>20</v>
      </c>
      <c r="Q158" s="468">
        <v>25</v>
      </c>
      <c r="R158" s="466">
        <v>97</v>
      </c>
      <c r="S158" s="468">
        <v>123</v>
      </c>
      <c r="T158" s="466">
        <v>370</v>
      </c>
      <c r="U158" s="468">
        <v>440</v>
      </c>
      <c r="V158" s="468">
        <v>0.5</v>
      </c>
      <c r="W158" s="466">
        <v>450</v>
      </c>
      <c r="X158" s="468">
        <v>520</v>
      </c>
      <c r="Y158" s="466">
        <v>200</v>
      </c>
      <c r="Z158" s="468">
        <v>210</v>
      </c>
      <c r="AA158" s="466">
        <v>1.9</v>
      </c>
      <c r="AB158" s="466">
        <v>0.1</v>
      </c>
      <c r="AC158" s="466">
        <v>2.7</v>
      </c>
      <c r="AD158" s="466">
        <v>0.1</v>
      </c>
      <c r="AE158" s="466">
        <v>0.28999999999999998</v>
      </c>
      <c r="AF158" s="468">
        <v>0.3</v>
      </c>
      <c r="AG158" s="466">
        <v>0.36</v>
      </c>
      <c r="AH158" s="468">
        <v>0.38</v>
      </c>
      <c r="AI158" s="466">
        <v>0.54</v>
      </c>
      <c r="AJ158" s="466">
        <v>-10</v>
      </c>
      <c r="AK158" s="466">
        <v>4.2</v>
      </c>
      <c r="AL158" s="524">
        <v>23</v>
      </c>
      <c r="AM158" s="524">
        <v>23</v>
      </c>
    </row>
    <row r="159" spans="1:39" ht="25" customHeight="1" outlineLevel="1">
      <c r="A159" s="476" t="s">
        <v>1077</v>
      </c>
      <c r="B159" s="466">
        <v>710</v>
      </c>
      <c r="C159" s="466">
        <v>-32</v>
      </c>
      <c r="D159" s="466">
        <v>-35</v>
      </c>
      <c r="E159" s="466">
        <v>28</v>
      </c>
      <c r="F159" s="466">
        <v>19</v>
      </c>
      <c r="G159" s="468">
        <v>33</v>
      </c>
      <c r="H159" s="468">
        <v>23</v>
      </c>
      <c r="I159" s="466">
        <v>5300</v>
      </c>
      <c r="J159" s="466">
        <v>4330</v>
      </c>
      <c r="K159" s="472">
        <f t="shared" si="2"/>
        <v>4800</v>
      </c>
      <c r="L159" s="472">
        <v>666</v>
      </c>
      <c r="M159" s="472">
        <v>666</v>
      </c>
      <c r="N159" s="472">
        <v>666</v>
      </c>
      <c r="O159" s="472">
        <v>666</v>
      </c>
      <c r="P159" s="466">
        <v>23</v>
      </c>
      <c r="Q159" s="468">
        <v>29</v>
      </c>
      <c r="R159" s="466">
        <v>97</v>
      </c>
      <c r="S159" s="468">
        <v>122</v>
      </c>
      <c r="T159" s="466">
        <v>410</v>
      </c>
      <c r="U159" s="468">
        <v>490</v>
      </c>
      <c r="V159" s="468">
        <v>0.5</v>
      </c>
      <c r="W159" s="466">
        <v>540</v>
      </c>
      <c r="X159" s="468">
        <v>620</v>
      </c>
      <c r="Y159" s="466">
        <v>120</v>
      </c>
      <c r="Z159" s="468">
        <v>130</v>
      </c>
      <c r="AA159" s="466">
        <v>1.7</v>
      </c>
      <c r="AB159" s="466">
        <v>0.1</v>
      </c>
      <c r="AC159" s="466">
        <v>2.5</v>
      </c>
      <c r="AD159" s="466">
        <v>0.2</v>
      </c>
      <c r="AE159" s="466">
        <v>0.36</v>
      </c>
      <c r="AF159" s="468">
        <v>0.38</v>
      </c>
      <c r="AG159" s="466">
        <v>0.45</v>
      </c>
      <c r="AH159" s="468">
        <v>0.47</v>
      </c>
      <c r="AI159" s="466">
        <v>0.68</v>
      </c>
      <c r="AJ159" s="466">
        <v>-10</v>
      </c>
      <c r="AK159" s="466">
        <v>2.9</v>
      </c>
      <c r="AL159" s="524">
        <v>23</v>
      </c>
      <c r="AM159" s="524">
        <v>23</v>
      </c>
    </row>
    <row r="160" spans="1:39" ht="25" customHeight="1" outlineLevel="1">
      <c r="A160" s="476" t="s">
        <v>1078</v>
      </c>
      <c r="B160" s="466">
        <v>755</v>
      </c>
      <c r="C160" s="466">
        <v>-31</v>
      </c>
      <c r="D160" s="466">
        <v>-34</v>
      </c>
      <c r="E160" s="466">
        <v>32</v>
      </c>
      <c r="F160" s="466">
        <v>20</v>
      </c>
      <c r="G160" s="468">
        <v>37</v>
      </c>
      <c r="H160" s="468">
        <v>24</v>
      </c>
      <c r="I160" s="466">
        <v>4770</v>
      </c>
      <c r="J160" s="466">
        <v>3830</v>
      </c>
      <c r="K160" s="472">
        <f t="shared" si="2"/>
        <v>4270</v>
      </c>
      <c r="L160" s="472">
        <v>666</v>
      </c>
      <c r="M160" s="472">
        <v>666</v>
      </c>
      <c r="N160" s="472">
        <v>666</v>
      </c>
      <c r="O160" s="472">
        <v>666</v>
      </c>
      <c r="P160" s="466">
        <v>20</v>
      </c>
      <c r="Q160" s="468">
        <v>25</v>
      </c>
      <c r="R160" s="466">
        <v>86</v>
      </c>
      <c r="S160" s="468">
        <v>108</v>
      </c>
      <c r="T160" s="466">
        <v>230</v>
      </c>
      <c r="U160" s="468">
        <v>280</v>
      </c>
      <c r="V160" s="468">
        <v>0.2</v>
      </c>
      <c r="W160" s="466">
        <v>325</v>
      </c>
      <c r="X160" s="468">
        <v>380</v>
      </c>
      <c r="Y160" s="466">
        <v>220</v>
      </c>
      <c r="Z160" s="468">
        <v>230</v>
      </c>
      <c r="AA160" s="466">
        <v>1.3</v>
      </c>
      <c r="AB160" s="466">
        <v>0.1</v>
      </c>
      <c r="AC160" s="466">
        <v>1.9</v>
      </c>
      <c r="AD160" s="466">
        <v>0.2</v>
      </c>
      <c r="AE160" s="466">
        <v>0.39</v>
      </c>
      <c r="AF160" s="468">
        <v>0.41</v>
      </c>
      <c r="AG160" s="466">
        <v>0.49</v>
      </c>
      <c r="AH160" s="468">
        <v>0.51</v>
      </c>
      <c r="AI160" s="466">
        <v>0.75</v>
      </c>
      <c r="AJ160" s="466">
        <v>-10</v>
      </c>
      <c r="AK160" s="466">
        <v>4.5</v>
      </c>
      <c r="AL160" s="524">
        <v>24</v>
      </c>
      <c r="AM160" s="524">
        <v>24</v>
      </c>
    </row>
    <row r="161" spans="1:40" ht="25" customHeight="1" outlineLevel="1">
      <c r="A161" s="476" t="s">
        <v>1079</v>
      </c>
      <c r="B161" s="466">
        <v>815</v>
      </c>
      <c r="C161" s="466">
        <v>-31</v>
      </c>
      <c r="D161" s="466">
        <v>-33</v>
      </c>
      <c r="E161" s="466">
        <v>31</v>
      </c>
      <c r="F161" s="466">
        <v>19</v>
      </c>
      <c r="G161" s="468">
        <v>36</v>
      </c>
      <c r="H161" s="468">
        <v>23</v>
      </c>
      <c r="I161" s="466">
        <v>4580</v>
      </c>
      <c r="J161" s="466">
        <v>3650</v>
      </c>
      <c r="K161" s="472">
        <f t="shared" si="2"/>
        <v>4080</v>
      </c>
      <c r="L161" s="472">
        <v>666</v>
      </c>
      <c r="M161" s="472">
        <v>666</v>
      </c>
      <c r="N161" s="472">
        <v>666</v>
      </c>
      <c r="O161" s="472">
        <v>666</v>
      </c>
      <c r="P161" s="466">
        <v>20</v>
      </c>
      <c r="Q161" s="468">
        <v>25</v>
      </c>
      <c r="R161" s="466">
        <v>92</v>
      </c>
      <c r="S161" s="468">
        <v>115</v>
      </c>
      <c r="T161" s="466">
        <v>260</v>
      </c>
      <c r="U161" s="468">
        <v>320</v>
      </c>
      <c r="V161" s="468">
        <v>0.3</v>
      </c>
      <c r="W161" s="466">
        <v>370</v>
      </c>
      <c r="X161" s="468">
        <v>430</v>
      </c>
      <c r="Y161" s="466">
        <v>200</v>
      </c>
      <c r="Z161" s="468">
        <v>210</v>
      </c>
      <c r="AA161" s="466">
        <v>1.2</v>
      </c>
      <c r="AB161" s="466">
        <v>0.1</v>
      </c>
      <c r="AC161" s="466">
        <v>1.8</v>
      </c>
      <c r="AD161" s="466">
        <v>0.2</v>
      </c>
      <c r="AE161" s="466">
        <v>0.5</v>
      </c>
      <c r="AF161" s="468">
        <v>0.53</v>
      </c>
      <c r="AG161" s="466">
        <v>0.63</v>
      </c>
      <c r="AH161" s="468">
        <v>0.66</v>
      </c>
      <c r="AI161" s="466">
        <v>0.93</v>
      </c>
      <c r="AJ161" s="466">
        <v>-9</v>
      </c>
      <c r="AK161" s="466">
        <v>3.8</v>
      </c>
      <c r="AL161" s="524">
        <v>23</v>
      </c>
      <c r="AM161" s="524">
        <v>23</v>
      </c>
    </row>
    <row r="162" spans="1:40" ht="25" customHeight="1" outlineLevel="1">
      <c r="A162" s="476" t="s">
        <v>1080</v>
      </c>
      <c r="B162" s="466">
        <v>1215</v>
      </c>
      <c r="C162" s="466">
        <v>-31</v>
      </c>
      <c r="D162" s="466">
        <v>-32</v>
      </c>
      <c r="E162" s="466">
        <v>28</v>
      </c>
      <c r="F162" s="466">
        <v>17</v>
      </c>
      <c r="G162" s="468">
        <v>33</v>
      </c>
      <c r="H162" s="468">
        <v>21</v>
      </c>
      <c r="I162" s="466">
        <v>5220</v>
      </c>
      <c r="J162" s="466">
        <v>4260</v>
      </c>
      <c r="K162" s="472">
        <f t="shared" si="2"/>
        <v>4720</v>
      </c>
      <c r="L162" s="472">
        <v>666</v>
      </c>
      <c r="M162" s="472">
        <v>666</v>
      </c>
      <c r="N162" s="472">
        <v>666</v>
      </c>
      <c r="O162" s="472">
        <v>666</v>
      </c>
      <c r="P162" s="466">
        <v>20</v>
      </c>
      <c r="Q162" s="468">
        <v>25</v>
      </c>
      <c r="R162" s="466">
        <v>97</v>
      </c>
      <c r="S162" s="468">
        <v>122</v>
      </c>
      <c r="T162" s="466">
        <v>350</v>
      </c>
      <c r="U162" s="468">
        <v>420</v>
      </c>
      <c r="V162" s="468">
        <v>0.5</v>
      </c>
      <c r="W162" s="466">
        <v>600</v>
      </c>
      <c r="X162" s="468">
        <v>670</v>
      </c>
      <c r="Y162" s="466">
        <v>180</v>
      </c>
      <c r="Z162" s="468">
        <v>190</v>
      </c>
      <c r="AA162" s="466">
        <v>1.4</v>
      </c>
      <c r="AB162" s="466">
        <v>0.1</v>
      </c>
      <c r="AC162" s="466">
        <v>2</v>
      </c>
      <c r="AD162" s="466">
        <v>0.2</v>
      </c>
      <c r="AE162" s="466">
        <v>0.52</v>
      </c>
      <c r="AF162" s="468">
        <v>0.55000000000000004</v>
      </c>
      <c r="AG162" s="466">
        <v>0.65</v>
      </c>
      <c r="AH162" s="468">
        <v>0.68</v>
      </c>
      <c r="AI162" s="466">
        <v>0.99</v>
      </c>
      <c r="AJ162" s="466">
        <v>-9</v>
      </c>
      <c r="AK162" s="466">
        <v>3.2</v>
      </c>
      <c r="AL162" s="524">
        <v>21</v>
      </c>
      <c r="AM162" s="524">
        <v>21</v>
      </c>
    </row>
    <row r="163" spans="1:40" ht="25" customHeight="1" outlineLevel="1">
      <c r="A163" s="476" t="s">
        <v>1081</v>
      </c>
      <c r="B163" s="466">
        <v>700</v>
      </c>
      <c r="C163" s="466">
        <v>-37</v>
      </c>
      <c r="D163" s="466">
        <v>-40</v>
      </c>
      <c r="E163" s="466">
        <v>27</v>
      </c>
      <c r="F163" s="466">
        <v>18</v>
      </c>
      <c r="G163" s="468">
        <v>32</v>
      </c>
      <c r="H163" s="468">
        <v>22</v>
      </c>
      <c r="I163" s="466">
        <v>5600</v>
      </c>
      <c r="J163" s="466">
        <v>4620</v>
      </c>
      <c r="K163" s="472">
        <f t="shared" si="2"/>
        <v>5100</v>
      </c>
      <c r="L163" s="472">
        <v>666</v>
      </c>
      <c r="M163" s="472">
        <v>666</v>
      </c>
      <c r="N163" s="472">
        <v>666</v>
      </c>
      <c r="O163" s="472">
        <v>666</v>
      </c>
      <c r="P163" s="466">
        <v>18</v>
      </c>
      <c r="Q163" s="468">
        <v>23</v>
      </c>
      <c r="R163" s="466">
        <v>86</v>
      </c>
      <c r="S163" s="468">
        <v>108</v>
      </c>
      <c r="T163" s="466">
        <v>360</v>
      </c>
      <c r="U163" s="468">
        <v>450</v>
      </c>
      <c r="V163" s="468">
        <v>0.5</v>
      </c>
      <c r="W163" s="466">
        <v>490</v>
      </c>
      <c r="X163" s="468">
        <v>570</v>
      </c>
      <c r="Y163" s="466">
        <v>80</v>
      </c>
      <c r="AA163" s="466">
        <v>2.2999999999999998</v>
      </c>
      <c r="AB163" s="466">
        <v>0.1</v>
      </c>
      <c r="AC163" s="466">
        <v>3.4</v>
      </c>
      <c r="AD163" s="466">
        <v>0.2</v>
      </c>
      <c r="AE163" s="466">
        <v>0.34</v>
      </c>
      <c r="AF163" s="468">
        <v>0.36</v>
      </c>
      <c r="AG163" s="466">
        <v>0.42</v>
      </c>
      <c r="AH163" s="468">
        <v>0.44</v>
      </c>
      <c r="AI163" s="466">
        <v>0.64</v>
      </c>
      <c r="AJ163" s="466">
        <v>-10</v>
      </c>
      <c r="AK163" s="466">
        <v>3.7</v>
      </c>
      <c r="AL163" s="524">
        <v>22</v>
      </c>
      <c r="AM163" s="524">
        <v>22</v>
      </c>
    </row>
    <row r="164" spans="1:40" ht="25" customHeight="1" outlineLevel="1">
      <c r="A164" s="476" t="s">
        <v>1082</v>
      </c>
      <c r="B164" s="466">
        <v>635</v>
      </c>
      <c r="C164" s="466">
        <v>-34</v>
      </c>
      <c r="D164" s="466">
        <v>-37</v>
      </c>
      <c r="E164" s="466">
        <v>29</v>
      </c>
      <c r="F164" s="466">
        <v>19</v>
      </c>
      <c r="G164" s="468">
        <v>34</v>
      </c>
      <c r="H164" s="468">
        <v>23</v>
      </c>
      <c r="I164" s="466">
        <v>5780</v>
      </c>
      <c r="J164" s="466">
        <v>4790</v>
      </c>
      <c r="K164" s="472">
        <f t="shared" si="2"/>
        <v>5280</v>
      </c>
      <c r="L164" s="472">
        <v>666</v>
      </c>
      <c r="M164" s="472">
        <v>666</v>
      </c>
      <c r="N164" s="472">
        <v>666</v>
      </c>
      <c r="O164" s="472">
        <v>666</v>
      </c>
      <c r="P164" s="466">
        <v>18</v>
      </c>
      <c r="Q164" s="468">
        <v>23</v>
      </c>
      <c r="R164" s="466">
        <v>86</v>
      </c>
      <c r="S164" s="468">
        <v>110</v>
      </c>
      <c r="T164" s="466">
        <v>325</v>
      </c>
      <c r="U164" s="468">
        <v>380</v>
      </c>
      <c r="V164" s="468">
        <v>0.5</v>
      </c>
      <c r="W164" s="466">
        <v>410</v>
      </c>
      <c r="X164" s="468">
        <v>460</v>
      </c>
      <c r="Y164" s="466">
        <v>100</v>
      </c>
      <c r="AA164" s="466">
        <v>1.9</v>
      </c>
      <c r="AB164" s="466">
        <v>0.1</v>
      </c>
      <c r="AC164" s="466">
        <v>2.8</v>
      </c>
      <c r="AD164" s="466">
        <v>0.1</v>
      </c>
      <c r="AE164" s="466">
        <v>0.28999999999999998</v>
      </c>
      <c r="AF164" s="468">
        <v>0.3</v>
      </c>
      <c r="AG164" s="466">
        <v>0.36</v>
      </c>
      <c r="AH164" s="468">
        <v>0.38</v>
      </c>
      <c r="AI164" s="466">
        <v>0.54</v>
      </c>
      <c r="AJ164" s="466">
        <v>-11</v>
      </c>
      <c r="AK164" s="466">
        <v>3.8</v>
      </c>
      <c r="AL164" s="524">
        <v>23</v>
      </c>
      <c r="AM164" s="524">
        <v>23</v>
      </c>
    </row>
    <row r="165" spans="1:40" ht="25" customHeight="1" outlineLevel="1">
      <c r="A165" s="476" t="s">
        <v>1083</v>
      </c>
      <c r="B165" s="466">
        <v>580</v>
      </c>
      <c r="C165" s="466">
        <v>-35</v>
      </c>
      <c r="D165" s="466">
        <v>-38</v>
      </c>
      <c r="E165" s="466">
        <v>29</v>
      </c>
      <c r="F165" s="466">
        <v>19</v>
      </c>
      <c r="G165" s="468">
        <v>35</v>
      </c>
      <c r="H165" s="468">
        <v>23</v>
      </c>
      <c r="I165" s="466">
        <v>5740</v>
      </c>
      <c r="J165" s="466">
        <v>4750</v>
      </c>
      <c r="K165" s="472">
        <f t="shared" si="2"/>
        <v>5240</v>
      </c>
      <c r="L165" s="472">
        <v>666</v>
      </c>
      <c r="M165" s="472">
        <v>666</v>
      </c>
      <c r="N165" s="472">
        <v>666</v>
      </c>
      <c r="O165" s="472">
        <v>666</v>
      </c>
      <c r="P165" s="466">
        <v>18</v>
      </c>
      <c r="Q165" s="468">
        <v>23</v>
      </c>
      <c r="R165" s="466">
        <v>86</v>
      </c>
      <c r="S165" s="468">
        <v>111</v>
      </c>
      <c r="T165" s="466">
        <v>310</v>
      </c>
      <c r="U165" s="468">
        <v>370</v>
      </c>
      <c r="V165" s="468">
        <v>0.5</v>
      </c>
      <c r="W165" s="466">
        <v>410</v>
      </c>
      <c r="X165" s="468">
        <v>460</v>
      </c>
      <c r="Y165" s="466">
        <v>100</v>
      </c>
      <c r="AA165" s="466">
        <v>1.7</v>
      </c>
      <c r="AB165" s="466">
        <v>0.1</v>
      </c>
      <c r="AC165" s="466">
        <v>2.5</v>
      </c>
      <c r="AD165" s="466">
        <v>0.2</v>
      </c>
      <c r="AE165" s="466">
        <v>0.28999999999999998</v>
      </c>
      <c r="AF165" s="468">
        <v>0.3</v>
      </c>
      <c r="AG165" s="466">
        <v>0.36</v>
      </c>
      <c r="AH165" s="468">
        <v>0.38</v>
      </c>
      <c r="AI165" s="466">
        <v>0.54</v>
      </c>
      <c r="AJ165" s="466">
        <v>-11</v>
      </c>
      <c r="AK165" s="466">
        <v>3.2</v>
      </c>
      <c r="AL165" s="524">
        <v>23</v>
      </c>
      <c r="AM165" s="524">
        <v>23</v>
      </c>
    </row>
    <row r="166" spans="1:40" ht="25" customHeight="1" outlineLevel="1">
      <c r="A166" s="476" t="s">
        <v>1084</v>
      </c>
      <c r="B166" s="466">
        <v>585</v>
      </c>
      <c r="C166" s="466">
        <v>-35</v>
      </c>
      <c r="D166" s="466">
        <v>-38</v>
      </c>
      <c r="E166" s="466">
        <v>26</v>
      </c>
      <c r="F166" s="466">
        <v>19</v>
      </c>
      <c r="G166" s="468">
        <v>31</v>
      </c>
      <c r="H166" s="468">
        <v>23</v>
      </c>
      <c r="I166" s="466">
        <v>5850</v>
      </c>
      <c r="J166" s="466">
        <v>4850</v>
      </c>
      <c r="K166" s="472">
        <f t="shared" si="2"/>
        <v>5350</v>
      </c>
      <c r="L166" s="472">
        <v>666</v>
      </c>
      <c r="M166" s="472">
        <v>666</v>
      </c>
      <c r="N166" s="472">
        <v>666</v>
      </c>
      <c r="O166" s="472">
        <v>666</v>
      </c>
      <c r="P166" s="466">
        <v>15</v>
      </c>
      <c r="Q166" s="468">
        <v>19</v>
      </c>
      <c r="R166" s="466">
        <v>81</v>
      </c>
      <c r="S166" s="468">
        <v>102</v>
      </c>
      <c r="T166" s="466">
        <v>380</v>
      </c>
      <c r="U166" s="468">
        <v>450</v>
      </c>
      <c r="V166" s="468">
        <v>0.6</v>
      </c>
      <c r="W166" s="466">
        <v>500</v>
      </c>
      <c r="X166" s="468">
        <v>570</v>
      </c>
      <c r="Y166" s="466">
        <v>80</v>
      </c>
      <c r="AA166" s="466">
        <v>1.9</v>
      </c>
      <c r="AB166" s="466">
        <v>0.1</v>
      </c>
      <c r="AC166" s="466">
        <v>2.8</v>
      </c>
      <c r="AD166" s="466">
        <v>0.2</v>
      </c>
      <c r="AE166" s="466">
        <v>0.28000000000000003</v>
      </c>
      <c r="AF166" s="468">
        <v>0.28999999999999998</v>
      </c>
      <c r="AG166" s="466">
        <v>0.37</v>
      </c>
      <c r="AH166" s="468">
        <v>0.39</v>
      </c>
      <c r="AI166" s="466">
        <v>0.6</v>
      </c>
      <c r="AJ166" s="466">
        <v>-11</v>
      </c>
      <c r="AK166" s="466">
        <v>3.5</v>
      </c>
      <c r="AL166" s="524">
        <v>23</v>
      </c>
      <c r="AM166" s="524">
        <v>23</v>
      </c>
    </row>
    <row r="167" spans="1:40" ht="25" customHeight="1" outlineLevel="1">
      <c r="A167" s="476" t="s">
        <v>1085</v>
      </c>
      <c r="B167" s="466">
        <v>675</v>
      </c>
      <c r="C167" s="466">
        <v>-33</v>
      </c>
      <c r="D167" s="466">
        <v>-36</v>
      </c>
      <c r="E167" s="466">
        <v>29</v>
      </c>
      <c r="F167" s="466">
        <v>19</v>
      </c>
      <c r="G167" s="468">
        <v>35</v>
      </c>
      <c r="H167" s="468">
        <v>23</v>
      </c>
      <c r="I167" s="466">
        <v>5700</v>
      </c>
      <c r="J167" s="466">
        <v>4710</v>
      </c>
      <c r="K167" s="472">
        <f t="shared" si="2"/>
        <v>5200</v>
      </c>
      <c r="L167" s="472">
        <v>666</v>
      </c>
      <c r="M167" s="472">
        <v>666</v>
      </c>
      <c r="N167" s="472">
        <v>666</v>
      </c>
      <c r="O167" s="472">
        <v>666</v>
      </c>
      <c r="P167" s="466">
        <v>20</v>
      </c>
      <c r="Q167" s="468">
        <v>26</v>
      </c>
      <c r="R167" s="466">
        <v>81</v>
      </c>
      <c r="S167" s="468">
        <v>104</v>
      </c>
      <c r="T167" s="466">
        <v>310</v>
      </c>
      <c r="U167" s="468">
        <v>370</v>
      </c>
      <c r="V167" s="468">
        <v>0.5</v>
      </c>
      <c r="W167" s="466">
        <v>425</v>
      </c>
      <c r="X167" s="468">
        <v>480</v>
      </c>
      <c r="Y167" s="466">
        <v>120</v>
      </c>
      <c r="Z167" s="468">
        <v>130</v>
      </c>
      <c r="AA167" s="466">
        <v>2</v>
      </c>
      <c r="AB167" s="466">
        <v>0.1</v>
      </c>
      <c r="AC167" s="466">
        <v>2.9</v>
      </c>
      <c r="AD167" s="466">
        <v>0.2</v>
      </c>
      <c r="AE167" s="466">
        <v>0.28999999999999998</v>
      </c>
      <c r="AF167" s="468">
        <v>0.3</v>
      </c>
      <c r="AG167" s="466">
        <v>0.36</v>
      </c>
      <c r="AH167" s="468">
        <v>0.38</v>
      </c>
      <c r="AI167" s="466">
        <v>0.54</v>
      </c>
      <c r="AJ167" s="466">
        <v>-11</v>
      </c>
      <c r="AK167" s="466">
        <v>3.7</v>
      </c>
      <c r="AL167" s="524">
        <v>23</v>
      </c>
      <c r="AM167" s="524">
        <v>23</v>
      </c>
    </row>
    <row r="168" spans="1:40" ht="25" customHeight="1" outlineLevel="1">
      <c r="A168" s="476" t="s">
        <v>1086</v>
      </c>
      <c r="B168" s="466">
        <v>760</v>
      </c>
      <c r="C168" s="466">
        <v>-33</v>
      </c>
      <c r="D168" s="466">
        <v>-35</v>
      </c>
      <c r="E168" s="466">
        <v>29</v>
      </c>
      <c r="F168" s="466">
        <v>19</v>
      </c>
      <c r="G168" s="468">
        <v>34</v>
      </c>
      <c r="H168" s="468">
        <v>23</v>
      </c>
      <c r="I168" s="466">
        <v>5500</v>
      </c>
      <c r="J168" s="466">
        <v>4520</v>
      </c>
      <c r="K168" s="472">
        <f t="shared" si="2"/>
        <v>5000</v>
      </c>
      <c r="L168" s="472">
        <v>666</v>
      </c>
      <c r="M168" s="472">
        <v>666</v>
      </c>
      <c r="N168" s="472">
        <v>666</v>
      </c>
      <c r="O168" s="472">
        <v>666</v>
      </c>
      <c r="P168" s="466">
        <v>23</v>
      </c>
      <c r="Q168" s="468">
        <v>29</v>
      </c>
      <c r="R168" s="466">
        <v>86</v>
      </c>
      <c r="S168" s="468">
        <v>109</v>
      </c>
      <c r="T168" s="466">
        <v>400</v>
      </c>
      <c r="U168" s="468">
        <v>480</v>
      </c>
      <c r="V168" s="468">
        <v>0.6</v>
      </c>
      <c r="W168" s="466">
        <v>500</v>
      </c>
      <c r="X168" s="468">
        <v>570</v>
      </c>
      <c r="Y168" s="466">
        <v>160</v>
      </c>
      <c r="Z168" s="468">
        <v>170</v>
      </c>
      <c r="AA168" s="466">
        <v>2</v>
      </c>
      <c r="AB168" s="466">
        <v>0.1</v>
      </c>
      <c r="AC168" s="466">
        <v>2.9</v>
      </c>
      <c r="AD168" s="466">
        <v>0.1</v>
      </c>
      <c r="AE168" s="466">
        <v>0.31</v>
      </c>
      <c r="AF168" s="468">
        <v>0.33</v>
      </c>
      <c r="AG168" s="466">
        <v>0.39</v>
      </c>
      <c r="AH168" s="468">
        <v>0.41</v>
      </c>
      <c r="AI168" s="466">
        <v>0.6</v>
      </c>
      <c r="AJ168" s="466">
        <v>-10</v>
      </c>
      <c r="AK168" s="466">
        <v>3.4</v>
      </c>
      <c r="AL168" s="524">
        <v>23</v>
      </c>
      <c r="AM168" s="524">
        <v>23</v>
      </c>
    </row>
    <row r="169" spans="1:40" ht="25" customHeight="1" outlineLevel="1">
      <c r="A169" s="476" t="s">
        <v>1087</v>
      </c>
      <c r="B169" s="466">
        <v>690</v>
      </c>
      <c r="C169" s="466">
        <v>-33</v>
      </c>
      <c r="D169" s="466">
        <v>-36</v>
      </c>
      <c r="E169" s="466">
        <v>27</v>
      </c>
      <c r="F169" s="466">
        <v>19</v>
      </c>
      <c r="G169" s="468">
        <v>32</v>
      </c>
      <c r="H169" s="468">
        <v>23</v>
      </c>
      <c r="I169" s="466">
        <v>5650</v>
      </c>
      <c r="J169" s="466">
        <v>4670</v>
      </c>
      <c r="K169" s="472">
        <f t="shared" si="2"/>
        <v>5150</v>
      </c>
      <c r="L169" s="472">
        <v>666</v>
      </c>
      <c r="M169" s="472">
        <v>666</v>
      </c>
      <c r="N169" s="472">
        <v>666</v>
      </c>
      <c r="O169" s="472">
        <v>666</v>
      </c>
      <c r="P169" s="466">
        <v>20</v>
      </c>
      <c r="Q169" s="468">
        <v>25</v>
      </c>
      <c r="R169" s="466">
        <v>97</v>
      </c>
      <c r="S169" s="468">
        <v>122</v>
      </c>
      <c r="T169" s="466">
        <v>440</v>
      </c>
      <c r="U169" s="468">
        <v>530</v>
      </c>
      <c r="V169" s="468">
        <v>0.6</v>
      </c>
      <c r="W169" s="466">
        <v>550</v>
      </c>
      <c r="X169" s="468">
        <v>640</v>
      </c>
      <c r="Y169" s="466">
        <v>80</v>
      </c>
      <c r="AA169" s="466">
        <v>1.9</v>
      </c>
      <c r="AB169" s="466">
        <v>0.1</v>
      </c>
      <c r="AC169" s="466">
        <v>2.8</v>
      </c>
      <c r="AD169" s="466">
        <v>0.1</v>
      </c>
      <c r="AE169" s="466">
        <v>0.28000000000000003</v>
      </c>
      <c r="AF169" s="468">
        <v>0.28999999999999998</v>
      </c>
      <c r="AG169" s="466">
        <v>0.37</v>
      </c>
      <c r="AH169" s="468">
        <v>0.39</v>
      </c>
      <c r="AI169" s="466">
        <v>0.6</v>
      </c>
      <c r="AJ169" s="466">
        <v>-9</v>
      </c>
      <c r="AK169" s="466">
        <v>3.1</v>
      </c>
      <c r="AL169" s="524">
        <v>23</v>
      </c>
      <c r="AM169" s="524">
        <v>23</v>
      </c>
    </row>
    <row r="170" spans="1:40" s="473" customFormat="1" ht="25" customHeight="1" outlineLevel="1" thickBot="1">
      <c r="A170" s="477" t="s">
        <v>1088</v>
      </c>
      <c r="B170" s="473">
        <v>975</v>
      </c>
      <c r="C170" s="473">
        <v>-31</v>
      </c>
      <c r="D170" s="473">
        <v>-34</v>
      </c>
      <c r="E170" s="473">
        <v>29</v>
      </c>
      <c r="F170" s="473">
        <v>18</v>
      </c>
      <c r="G170" s="474">
        <v>35</v>
      </c>
      <c r="H170" s="474">
        <v>22</v>
      </c>
      <c r="I170" s="473">
        <v>5310</v>
      </c>
      <c r="J170" s="473">
        <v>4340</v>
      </c>
      <c r="K170" s="472">
        <f t="shared" si="2"/>
        <v>4810</v>
      </c>
      <c r="L170" s="472">
        <v>666</v>
      </c>
      <c r="M170" s="472">
        <v>666</v>
      </c>
      <c r="N170" s="472">
        <v>666</v>
      </c>
      <c r="O170" s="472">
        <v>666</v>
      </c>
      <c r="P170" s="473">
        <v>23</v>
      </c>
      <c r="Q170" s="474">
        <v>29</v>
      </c>
      <c r="R170" s="473">
        <v>92</v>
      </c>
      <c r="S170" s="474">
        <v>116</v>
      </c>
      <c r="T170" s="473">
        <v>325</v>
      </c>
      <c r="U170" s="474">
        <v>390</v>
      </c>
      <c r="V170" s="474">
        <v>0.5</v>
      </c>
      <c r="W170" s="473">
        <v>450</v>
      </c>
      <c r="X170" s="474">
        <v>520</v>
      </c>
      <c r="Y170" s="473">
        <v>200</v>
      </c>
      <c r="Z170" s="474">
        <v>210</v>
      </c>
      <c r="AA170" s="473">
        <v>1.6</v>
      </c>
      <c r="AB170" s="473">
        <v>0.1</v>
      </c>
      <c r="AC170" s="473">
        <v>2.2999999999999998</v>
      </c>
      <c r="AD170" s="473">
        <v>0.1</v>
      </c>
      <c r="AE170" s="473">
        <v>0.32</v>
      </c>
      <c r="AF170" s="474">
        <v>0.34</v>
      </c>
      <c r="AG170" s="473">
        <v>0.4</v>
      </c>
      <c r="AH170" s="474">
        <v>0.42</v>
      </c>
      <c r="AI170" s="473">
        <v>0.61</v>
      </c>
      <c r="AJ170" s="473">
        <v>-9</v>
      </c>
      <c r="AK170" s="473">
        <v>3.7</v>
      </c>
      <c r="AL170" s="525">
        <v>22</v>
      </c>
      <c r="AM170" s="525">
        <v>22</v>
      </c>
      <c r="AN170" s="701"/>
    </row>
    <row r="171" spans="1:40" s="480" customFormat="1" ht="25" customHeight="1" thickTop="1" thickBot="1">
      <c r="A171" s="478" t="s">
        <v>1089</v>
      </c>
      <c r="K171" s="483"/>
      <c r="L171" s="483"/>
      <c r="M171" s="483"/>
      <c r="N171" s="483"/>
      <c r="O171" s="483"/>
      <c r="AL171" s="526"/>
      <c r="AM171" s="526"/>
      <c r="AN171" s="702"/>
    </row>
    <row r="172" spans="1:40" s="471" customFormat="1" ht="25" customHeight="1" outlineLevel="1" thickTop="1">
      <c r="A172" s="475" t="s">
        <v>1090</v>
      </c>
      <c r="B172" s="471">
        <v>740</v>
      </c>
      <c r="C172" s="471">
        <v>-32</v>
      </c>
      <c r="D172" s="471">
        <v>-34</v>
      </c>
      <c r="E172" s="471">
        <v>31</v>
      </c>
      <c r="F172" s="471">
        <v>21</v>
      </c>
      <c r="G172" s="472">
        <v>36</v>
      </c>
      <c r="H172" s="472">
        <v>25</v>
      </c>
      <c r="I172" s="471">
        <v>5180</v>
      </c>
      <c r="J172" s="471">
        <v>4300</v>
      </c>
      <c r="K172" s="472">
        <f t="shared" si="2"/>
        <v>4680</v>
      </c>
      <c r="L172" s="472">
        <v>666</v>
      </c>
      <c r="M172" s="472">
        <v>666</v>
      </c>
      <c r="N172" s="472">
        <v>666</v>
      </c>
      <c r="O172" s="472">
        <v>666</v>
      </c>
      <c r="P172" s="471">
        <v>25</v>
      </c>
      <c r="Q172" s="472">
        <v>32</v>
      </c>
      <c r="R172" s="471">
        <v>81</v>
      </c>
      <c r="S172" s="472">
        <v>103</v>
      </c>
      <c r="T172" s="471">
        <v>290</v>
      </c>
      <c r="U172" s="472">
        <v>340</v>
      </c>
      <c r="V172" s="472">
        <v>0.3</v>
      </c>
      <c r="W172" s="471">
        <v>375</v>
      </c>
      <c r="X172" s="472">
        <v>420</v>
      </c>
      <c r="Y172" s="471">
        <v>240</v>
      </c>
      <c r="Z172" s="472">
        <v>260</v>
      </c>
      <c r="AA172" s="471">
        <v>1.6</v>
      </c>
      <c r="AB172" s="471">
        <v>0.1</v>
      </c>
      <c r="AC172" s="471">
        <v>2.4</v>
      </c>
      <c r="AD172" s="471">
        <v>0.2</v>
      </c>
      <c r="AE172" s="471">
        <v>0.39</v>
      </c>
      <c r="AF172" s="472">
        <v>0.41</v>
      </c>
      <c r="AG172" s="471">
        <v>0.49</v>
      </c>
      <c r="AH172" s="472">
        <v>0.51</v>
      </c>
      <c r="AI172" s="471">
        <v>0.75</v>
      </c>
      <c r="AJ172" s="471">
        <v>-10</v>
      </c>
      <c r="AK172" s="471">
        <v>4.7</v>
      </c>
      <c r="AL172" s="490">
        <v>25</v>
      </c>
      <c r="AM172" s="490">
        <v>25</v>
      </c>
      <c r="AN172" s="699"/>
    </row>
    <row r="173" spans="1:40" ht="25" customHeight="1" outlineLevel="1">
      <c r="A173" s="476" t="s">
        <v>1091</v>
      </c>
      <c r="B173" s="466">
        <v>700</v>
      </c>
      <c r="C173" s="466">
        <v>-32</v>
      </c>
      <c r="D173" s="466">
        <v>-34</v>
      </c>
      <c r="E173" s="466">
        <v>32</v>
      </c>
      <c r="F173" s="466">
        <v>20</v>
      </c>
      <c r="G173" s="468">
        <v>37</v>
      </c>
      <c r="H173" s="468">
        <v>24</v>
      </c>
      <c r="I173" s="466">
        <v>5080</v>
      </c>
      <c r="J173" s="466">
        <v>4210</v>
      </c>
      <c r="K173" s="472">
        <f t="shared" si="2"/>
        <v>4580</v>
      </c>
      <c r="L173" s="472">
        <v>666</v>
      </c>
      <c r="M173" s="472">
        <v>666</v>
      </c>
      <c r="N173" s="472">
        <v>666</v>
      </c>
      <c r="O173" s="472">
        <v>666</v>
      </c>
      <c r="P173" s="466">
        <v>23</v>
      </c>
      <c r="Q173" s="468">
        <v>29</v>
      </c>
      <c r="R173" s="466">
        <v>81</v>
      </c>
      <c r="S173" s="468">
        <v>103</v>
      </c>
      <c r="T173" s="466">
        <v>270</v>
      </c>
      <c r="U173" s="468">
        <v>320</v>
      </c>
      <c r="V173" s="468">
        <v>0.4</v>
      </c>
      <c r="W173" s="466">
        <v>350</v>
      </c>
      <c r="X173" s="468">
        <v>390</v>
      </c>
      <c r="Y173" s="466">
        <v>260</v>
      </c>
      <c r="Z173" s="468">
        <v>280</v>
      </c>
      <c r="AA173" s="466">
        <v>1.2</v>
      </c>
      <c r="AB173" s="466">
        <v>0.1</v>
      </c>
      <c r="AC173" s="466">
        <v>1.8</v>
      </c>
      <c r="AD173" s="466">
        <v>0.2</v>
      </c>
      <c r="AE173" s="466">
        <v>0.43</v>
      </c>
      <c r="AF173" s="468">
        <v>0.45</v>
      </c>
      <c r="AG173" s="466">
        <v>0.54</v>
      </c>
      <c r="AH173" s="468">
        <v>0.56999999999999995</v>
      </c>
      <c r="AI173" s="466">
        <v>0.82</v>
      </c>
      <c r="AJ173" s="466">
        <v>-10</v>
      </c>
      <c r="AK173" s="466">
        <v>4.5</v>
      </c>
      <c r="AL173" s="524">
        <v>24</v>
      </c>
      <c r="AM173" s="524">
        <v>24</v>
      </c>
    </row>
    <row r="174" spans="1:40" ht="25" customHeight="1" outlineLevel="1">
      <c r="A174" s="476" t="s">
        <v>1092</v>
      </c>
      <c r="B174" s="466">
        <v>645</v>
      </c>
      <c r="C174" s="466">
        <v>-34</v>
      </c>
      <c r="D174" s="466">
        <v>-36</v>
      </c>
      <c r="E174" s="466">
        <v>30</v>
      </c>
      <c r="F174" s="466">
        <v>20</v>
      </c>
      <c r="G174" s="468">
        <v>35</v>
      </c>
      <c r="H174" s="468">
        <v>24</v>
      </c>
      <c r="I174" s="466">
        <v>5720</v>
      </c>
      <c r="J174" s="466">
        <v>4820</v>
      </c>
      <c r="K174" s="472">
        <f t="shared" si="2"/>
        <v>5220</v>
      </c>
      <c r="L174" s="472">
        <v>666</v>
      </c>
      <c r="M174" s="472">
        <v>666</v>
      </c>
      <c r="N174" s="472">
        <v>666</v>
      </c>
      <c r="O174" s="472">
        <v>666</v>
      </c>
      <c r="P174" s="466">
        <v>23</v>
      </c>
      <c r="Q174" s="468">
        <v>30</v>
      </c>
      <c r="R174" s="466">
        <v>81</v>
      </c>
      <c r="S174" s="468">
        <v>105</v>
      </c>
      <c r="T174" s="466">
        <v>270</v>
      </c>
      <c r="U174" s="468">
        <v>320</v>
      </c>
      <c r="V174" s="468">
        <v>0.4</v>
      </c>
      <c r="W174" s="466">
        <v>350</v>
      </c>
      <c r="X174" s="468">
        <v>390</v>
      </c>
      <c r="Y174" s="466">
        <v>180</v>
      </c>
      <c r="Z174" s="468">
        <v>200</v>
      </c>
      <c r="AA174" s="466">
        <v>2.1</v>
      </c>
      <c r="AB174" s="466">
        <v>0.1</v>
      </c>
      <c r="AC174" s="466">
        <v>3.1</v>
      </c>
      <c r="AD174" s="466">
        <v>0.2</v>
      </c>
      <c r="AE174" s="466">
        <v>0.36</v>
      </c>
      <c r="AF174" s="468">
        <v>0.38</v>
      </c>
      <c r="AG174" s="466">
        <v>0.45</v>
      </c>
      <c r="AH174" s="468">
        <v>0.47</v>
      </c>
      <c r="AI174" s="466">
        <v>0.68</v>
      </c>
      <c r="AJ174" s="466">
        <v>-11</v>
      </c>
      <c r="AK174" s="466">
        <v>4</v>
      </c>
      <c r="AL174" s="524">
        <v>24</v>
      </c>
      <c r="AM174" s="524">
        <v>24</v>
      </c>
    </row>
    <row r="175" spans="1:40" ht="25" customHeight="1" outlineLevel="1">
      <c r="A175" s="476" t="s">
        <v>1093</v>
      </c>
      <c r="B175" s="466">
        <v>600</v>
      </c>
      <c r="C175" s="466">
        <v>-34</v>
      </c>
      <c r="D175" s="466">
        <v>-35</v>
      </c>
      <c r="E175" s="466">
        <v>30</v>
      </c>
      <c r="F175" s="466">
        <v>21</v>
      </c>
      <c r="G175" s="468">
        <v>35</v>
      </c>
      <c r="H175" s="468">
        <v>25</v>
      </c>
      <c r="I175" s="466">
        <v>5760</v>
      </c>
      <c r="J175" s="466">
        <v>4850</v>
      </c>
      <c r="K175" s="472">
        <f t="shared" si="2"/>
        <v>5260</v>
      </c>
      <c r="L175" s="472">
        <v>666</v>
      </c>
      <c r="M175" s="472">
        <v>666</v>
      </c>
      <c r="N175" s="472">
        <v>666</v>
      </c>
      <c r="O175" s="472">
        <v>666</v>
      </c>
      <c r="P175" s="466">
        <v>25</v>
      </c>
      <c r="Q175" s="468">
        <v>32</v>
      </c>
      <c r="R175" s="466">
        <v>103</v>
      </c>
      <c r="S175" s="468">
        <v>134</v>
      </c>
      <c r="T175" s="466">
        <v>320</v>
      </c>
      <c r="U175" s="468">
        <v>380</v>
      </c>
      <c r="V175" s="468">
        <v>0.5</v>
      </c>
      <c r="W175" s="466">
        <v>420</v>
      </c>
      <c r="X175" s="468">
        <v>470</v>
      </c>
      <c r="Y175" s="466">
        <v>160</v>
      </c>
      <c r="Z175" s="468">
        <v>170</v>
      </c>
      <c r="AA175" s="466">
        <v>1.7</v>
      </c>
      <c r="AB175" s="466">
        <v>0.1</v>
      </c>
      <c r="AC175" s="466">
        <v>2.5</v>
      </c>
      <c r="AD175" s="466">
        <v>0.1</v>
      </c>
      <c r="AE175" s="466">
        <v>0.36</v>
      </c>
      <c r="AF175" s="468">
        <v>0.38</v>
      </c>
      <c r="AG175" s="466">
        <v>0.46</v>
      </c>
      <c r="AH175" s="468">
        <v>0.48</v>
      </c>
      <c r="AI175" s="466">
        <v>0.72</v>
      </c>
      <c r="AJ175" s="466">
        <v>-11</v>
      </c>
      <c r="AK175" s="466">
        <v>3.7</v>
      </c>
      <c r="AL175" s="524">
        <v>25</v>
      </c>
      <c r="AM175" s="524">
        <v>25</v>
      </c>
    </row>
    <row r="176" spans="1:40" ht="25" customHeight="1" outlineLevel="1">
      <c r="A176" s="476" t="s">
        <v>1094</v>
      </c>
      <c r="B176" s="466">
        <v>530</v>
      </c>
      <c r="C176" s="466">
        <v>-35</v>
      </c>
      <c r="D176" s="466">
        <v>-37</v>
      </c>
      <c r="E176" s="466">
        <v>29</v>
      </c>
      <c r="F176" s="466">
        <v>21</v>
      </c>
      <c r="G176" s="468">
        <v>34</v>
      </c>
      <c r="H176" s="468">
        <v>25</v>
      </c>
      <c r="I176" s="466">
        <v>5860</v>
      </c>
      <c r="J176" s="466">
        <v>4950</v>
      </c>
      <c r="K176" s="472">
        <f t="shared" si="2"/>
        <v>5360</v>
      </c>
      <c r="L176" s="472">
        <v>666</v>
      </c>
      <c r="M176" s="472">
        <v>666</v>
      </c>
      <c r="N176" s="472">
        <v>666</v>
      </c>
      <c r="O176" s="472">
        <v>666</v>
      </c>
      <c r="P176" s="466">
        <v>20</v>
      </c>
      <c r="Q176" s="468">
        <v>26</v>
      </c>
      <c r="R176" s="466">
        <v>92</v>
      </c>
      <c r="S176" s="468">
        <v>121</v>
      </c>
      <c r="T176" s="466">
        <v>300</v>
      </c>
      <c r="U176" s="468">
        <v>350</v>
      </c>
      <c r="V176" s="468">
        <v>0.5</v>
      </c>
      <c r="W176" s="466">
        <v>380</v>
      </c>
      <c r="X176" s="468">
        <v>430</v>
      </c>
      <c r="Y176" s="466">
        <v>140</v>
      </c>
      <c r="Z176" s="468">
        <v>150</v>
      </c>
      <c r="AA176" s="466">
        <v>1.7</v>
      </c>
      <c r="AB176" s="466">
        <v>0.1</v>
      </c>
      <c r="AC176" s="466">
        <v>2.5</v>
      </c>
      <c r="AD176" s="466">
        <v>0.1</v>
      </c>
      <c r="AE176" s="466">
        <v>0.28999999999999998</v>
      </c>
      <c r="AF176" s="468">
        <v>0.3</v>
      </c>
      <c r="AG176" s="466">
        <v>0.37</v>
      </c>
      <c r="AH176" s="468">
        <v>0.39</v>
      </c>
      <c r="AI176" s="466">
        <v>0.57999999999999996</v>
      </c>
      <c r="AJ176" s="466">
        <v>-11</v>
      </c>
      <c r="AK176" s="466">
        <v>4</v>
      </c>
      <c r="AL176" s="524">
        <v>25</v>
      </c>
      <c r="AM176" s="524">
        <v>25</v>
      </c>
    </row>
    <row r="177" spans="1:39" ht="25" customHeight="1" outlineLevel="1">
      <c r="A177" s="476" t="s">
        <v>1095</v>
      </c>
      <c r="B177" s="466">
        <v>525</v>
      </c>
      <c r="C177" s="466">
        <v>-35</v>
      </c>
      <c r="D177" s="466">
        <v>-37</v>
      </c>
      <c r="E177" s="466">
        <v>30</v>
      </c>
      <c r="F177" s="466">
        <v>21</v>
      </c>
      <c r="G177" s="468">
        <v>35</v>
      </c>
      <c r="H177" s="468">
        <v>25</v>
      </c>
      <c r="I177" s="466">
        <v>5600</v>
      </c>
      <c r="J177" s="466">
        <v>4700</v>
      </c>
      <c r="K177" s="472">
        <f t="shared" si="2"/>
        <v>5100</v>
      </c>
      <c r="L177" s="472">
        <v>666</v>
      </c>
      <c r="M177" s="472">
        <v>666</v>
      </c>
      <c r="N177" s="472">
        <v>666</v>
      </c>
      <c r="O177" s="472">
        <v>666</v>
      </c>
      <c r="P177" s="466">
        <v>23</v>
      </c>
      <c r="Q177" s="468">
        <v>30</v>
      </c>
      <c r="R177" s="466">
        <v>86</v>
      </c>
      <c r="S177" s="468">
        <v>112</v>
      </c>
      <c r="T177" s="466">
        <v>275</v>
      </c>
      <c r="U177" s="468">
        <v>330</v>
      </c>
      <c r="V177" s="468">
        <v>0.4</v>
      </c>
      <c r="W177" s="466">
        <v>380</v>
      </c>
      <c r="X177" s="468">
        <v>430</v>
      </c>
      <c r="Y177" s="466">
        <v>180</v>
      </c>
      <c r="Z177" s="468">
        <v>190</v>
      </c>
      <c r="AA177" s="466">
        <v>1.5</v>
      </c>
      <c r="AB177" s="466">
        <v>0.1</v>
      </c>
      <c r="AC177" s="466">
        <v>2.2000000000000002</v>
      </c>
      <c r="AD177" s="466">
        <v>0.2</v>
      </c>
      <c r="AE177" s="466">
        <v>0.36</v>
      </c>
      <c r="AF177" s="468">
        <v>0.38</v>
      </c>
      <c r="AG177" s="466">
        <v>0.46</v>
      </c>
      <c r="AH177" s="468">
        <v>0.48</v>
      </c>
      <c r="AI177" s="466">
        <v>0.72</v>
      </c>
      <c r="AJ177" s="466">
        <v>-11</v>
      </c>
      <c r="AK177" s="466">
        <v>4.2</v>
      </c>
      <c r="AL177" s="524">
        <v>25</v>
      </c>
      <c r="AM177" s="524">
        <v>25</v>
      </c>
    </row>
    <row r="178" spans="1:39" ht="25" customHeight="1" outlineLevel="1">
      <c r="A178" s="476" t="s">
        <v>1096</v>
      </c>
      <c r="B178" s="466">
        <v>565</v>
      </c>
      <c r="C178" s="466">
        <v>-32</v>
      </c>
      <c r="D178" s="466">
        <v>-34</v>
      </c>
      <c r="E178" s="466">
        <v>32</v>
      </c>
      <c r="F178" s="466">
        <v>22</v>
      </c>
      <c r="G178" s="468">
        <v>37</v>
      </c>
      <c r="H178" s="468">
        <v>25</v>
      </c>
      <c r="I178" s="466">
        <v>5340</v>
      </c>
      <c r="J178" s="466">
        <v>4450</v>
      </c>
      <c r="K178" s="472">
        <f t="shared" si="2"/>
        <v>4840</v>
      </c>
      <c r="L178" s="472">
        <v>666</v>
      </c>
      <c r="M178" s="472">
        <v>666</v>
      </c>
      <c r="N178" s="472">
        <v>666</v>
      </c>
      <c r="O178" s="472">
        <v>666</v>
      </c>
      <c r="P178" s="466">
        <v>28</v>
      </c>
      <c r="Q178" s="468">
        <v>36</v>
      </c>
      <c r="R178" s="466">
        <v>92</v>
      </c>
      <c r="S178" s="468">
        <v>120</v>
      </c>
      <c r="T178" s="466">
        <v>330</v>
      </c>
      <c r="U178" s="468">
        <v>390</v>
      </c>
      <c r="V178" s="468">
        <v>0.4</v>
      </c>
      <c r="W178" s="466">
        <v>420</v>
      </c>
      <c r="X178" s="468">
        <v>480</v>
      </c>
      <c r="Y178" s="466">
        <v>200</v>
      </c>
      <c r="Z178" s="468">
        <v>220</v>
      </c>
      <c r="AA178" s="466">
        <v>1.6</v>
      </c>
      <c r="AB178" s="466">
        <v>0.1</v>
      </c>
      <c r="AC178" s="466">
        <v>2.4</v>
      </c>
      <c r="AD178" s="466">
        <v>0.2</v>
      </c>
      <c r="AE178" s="466">
        <v>0.41</v>
      </c>
      <c r="AF178" s="468">
        <v>0.43</v>
      </c>
      <c r="AG178" s="466">
        <v>0.52</v>
      </c>
      <c r="AH178" s="468">
        <v>0.55000000000000004</v>
      </c>
      <c r="AI178" s="466">
        <v>0.81</v>
      </c>
      <c r="AJ178" s="466">
        <v>-11</v>
      </c>
      <c r="AK178" s="466">
        <v>4.7</v>
      </c>
      <c r="AL178" s="524">
        <v>25</v>
      </c>
      <c r="AM178" s="524">
        <v>25</v>
      </c>
    </row>
    <row r="179" spans="1:39" ht="25" customHeight="1" outlineLevel="1">
      <c r="A179" s="476" t="s">
        <v>1097</v>
      </c>
      <c r="B179" s="466">
        <v>370</v>
      </c>
      <c r="C179" s="466">
        <v>-36</v>
      </c>
      <c r="D179" s="466">
        <v>-38</v>
      </c>
      <c r="E179" s="466">
        <v>29</v>
      </c>
      <c r="F179" s="466">
        <v>21</v>
      </c>
      <c r="G179" s="468">
        <v>34</v>
      </c>
      <c r="H179" s="468">
        <v>25</v>
      </c>
      <c r="I179" s="466">
        <v>6280</v>
      </c>
      <c r="J179" s="466">
        <v>5350</v>
      </c>
      <c r="K179" s="472">
        <f t="shared" si="2"/>
        <v>5780</v>
      </c>
      <c r="L179" s="472">
        <v>666</v>
      </c>
      <c r="M179" s="472">
        <v>666</v>
      </c>
      <c r="N179" s="472">
        <v>666</v>
      </c>
      <c r="O179" s="472">
        <v>666</v>
      </c>
      <c r="P179" s="466">
        <v>20</v>
      </c>
      <c r="Q179" s="468">
        <v>26</v>
      </c>
      <c r="R179" s="466">
        <v>81</v>
      </c>
      <c r="S179" s="468">
        <v>105</v>
      </c>
      <c r="T179" s="466">
        <v>340</v>
      </c>
      <c r="U179" s="468">
        <v>400</v>
      </c>
      <c r="V179" s="468">
        <v>0.6</v>
      </c>
      <c r="W179" s="466">
        <v>450</v>
      </c>
      <c r="X179" s="468">
        <v>500</v>
      </c>
      <c r="Y179" s="466">
        <v>80</v>
      </c>
      <c r="AA179" s="466">
        <v>2</v>
      </c>
      <c r="AB179" s="466">
        <v>0.1</v>
      </c>
      <c r="AC179" s="466">
        <v>2.8</v>
      </c>
      <c r="AD179" s="466">
        <v>0.1</v>
      </c>
      <c r="AE179" s="466">
        <v>0.28999999999999998</v>
      </c>
      <c r="AF179" s="468">
        <v>0.3</v>
      </c>
      <c r="AG179" s="466">
        <v>0.37</v>
      </c>
      <c r="AH179" s="468">
        <v>0.39</v>
      </c>
      <c r="AI179" s="466">
        <v>0.57999999999999996</v>
      </c>
      <c r="AJ179" s="466">
        <v>-12</v>
      </c>
      <c r="AK179" s="466">
        <v>2.9</v>
      </c>
      <c r="AL179" s="524">
        <v>25</v>
      </c>
      <c r="AM179" s="524">
        <v>25</v>
      </c>
    </row>
    <row r="180" spans="1:39" ht="25" customHeight="1" outlineLevel="1">
      <c r="A180" s="476" t="s">
        <v>1098</v>
      </c>
      <c r="B180" s="466">
        <v>565</v>
      </c>
      <c r="C180" s="466">
        <v>-36</v>
      </c>
      <c r="D180" s="466">
        <v>-38</v>
      </c>
      <c r="E180" s="466">
        <v>28</v>
      </c>
      <c r="F180" s="466">
        <v>21</v>
      </c>
      <c r="G180" s="468">
        <v>33</v>
      </c>
      <c r="H180" s="468">
        <v>25</v>
      </c>
      <c r="I180" s="466">
        <v>6000</v>
      </c>
      <c r="J180" s="466">
        <v>5080</v>
      </c>
      <c r="K180" s="472">
        <f t="shared" si="2"/>
        <v>5500</v>
      </c>
      <c r="L180" s="472">
        <v>666</v>
      </c>
      <c r="M180" s="472">
        <v>666</v>
      </c>
      <c r="N180" s="472">
        <v>666</v>
      </c>
      <c r="O180" s="472">
        <v>666</v>
      </c>
      <c r="P180" s="466">
        <v>20</v>
      </c>
      <c r="Q180" s="468">
        <v>26</v>
      </c>
      <c r="R180" s="466">
        <v>86</v>
      </c>
      <c r="S180" s="468">
        <v>113</v>
      </c>
      <c r="T180" s="466">
        <v>320</v>
      </c>
      <c r="U180" s="468">
        <v>380</v>
      </c>
      <c r="V180" s="468">
        <v>0.5</v>
      </c>
      <c r="W180" s="466">
        <v>375</v>
      </c>
      <c r="X180" s="468">
        <v>420</v>
      </c>
      <c r="Y180" s="466">
        <v>140</v>
      </c>
      <c r="AA180" s="466">
        <v>2.1</v>
      </c>
      <c r="AB180" s="466">
        <v>0.1</v>
      </c>
      <c r="AC180" s="466">
        <v>3</v>
      </c>
      <c r="AD180" s="466">
        <v>0.1</v>
      </c>
      <c r="AE180" s="466">
        <v>0.31</v>
      </c>
      <c r="AF180" s="468">
        <v>0.33</v>
      </c>
      <c r="AG180" s="466">
        <v>0.39</v>
      </c>
      <c r="AH180" s="468">
        <v>0.41</v>
      </c>
      <c r="AI180" s="466">
        <v>0.6</v>
      </c>
      <c r="AJ180" s="466">
        <v>-12</v>
      </c>
      <c r="AK180" s="466">
        <v>4</v>
      </c>
      <c r="AL180" s="524">
        <v>25</v>
      </c>
      <c r="AM180" s="524">
        <v>25</v>
      </c>
    </row>
    <row r="181" spans="1:39" ht="25" customHeight="1" outlineLevel="1">
      <c r="A181" s="476" t="s">
        <v>1099</v>
      </c>
      <c r="B181" s="466">
        <v>305</v>
      </c>
      <c r="C181" s="466">
        <v>-39</v>
      </c>
      <c r="D181" s="466">
        <v>-41</v>
      </c>
      <c r="E181" s="466">
        <v>27</v>
      </c>
      <c r="F181" s="466">
        <v>20</v>
      </c>
      <c r="G181" s="468">
        <v>32</v>
      </c>
      <c r="H181" s="468">
        <v>24</v>
      </c>
      <c r="I181" s="466">
        <v>7100</v>
      </c>
      <c r="J181" s="466">
        <v>6130</v>
      </c>
      <c r="K181" s="472">
        <f t="shared" si="2"/>
        <v>6600</v>
      </c>
      <c r="L181" s="472">
        <v>666</v>
      </c>
      <c r="M181" s="472">
        <v>666</v>
      </c>
      <c r="N181" s="472">
        <v>666</v>
      </c>
      <c r="O181" s="472">
        <v>666</v>
      </c>
      <c r="P181" s="466">
        <v>18</v>
      </c>
      <c r="Q181" s="468">
        <v>24</v>
      </c>
      <c r="R181" s="466">
        <v>76</v>
      </c>
      <c r="S181" s="468">
        <v>99</v>
      </c>
      <c r="T181" s="466">
        <v>370</v>
      </c>
      <c r="U181" s="468">
        <v>440</v>
      </c>
      <c r="V181" s="468">
        <v>0.6</v>
      </c>
      <c r="W181" s="466">
        <v>510</v>
      </c>
      <c r="X181" s="468">
        <v>570</v>
      </c>
      <c r="Y181" s="466">
        <v>80</v>
      </c>
      <c r="AA181" s="466">
        <v>2.1</v>
      </c>
      <c r="AB181" s="466">
        <v>0.1</v>
      </c>
      <c r="AC181" s="466">
        <v>2.9</v>
      </c>
      <c r="AD181" s="466">
        <v>0.1</v>
      </c>
      <c r="AE181" s="466">
        <v>0.26</v>
      </c>
      <c r="AF181" s="468">
        <v>0.27</v>
      </c>
      <c r="AG181" s="466">
        <v>0.35</v>
      </c>
      <c r="AH181" s="468">
        <v>0.37</v>
      </c>
      <c r="AI181" s="466">
        <v>0.57999999999999996</v>
      </c>
      <c r="AJ181" s="466">
        <v>-14</v>
      </c>
      <c r="AK181" s="466">
        <v>1.8</v>
      </c>
      <c r="AL181" s="524">
        <v>24</v>
      </c>
      <c r="AM181" s="524">
        <v>24</v>
      </c>
    </row>
    <row r="182" spans="1:39" ht="25" customHeight="1" outlineLevel="1">
      <c r="A182" s="476" t="s">
        <v>1100</v>
      </c>
      <c r="B182" s="466">
        <v>455</v>
      </c>
      <c r="C182" s="466">
        <v>-34</v>
      </c>
      <c r="D182" s="466">
        <v>-37</v>
      </c>
      <c r="E182" s="466">
        <v>29</v>
      </c>
      <c r="F182" s="466">
        <v>22</v>
      </c>
      <c r="G182" s="468">
        <v>34</v>
      </c>
      <c r="H182" s="468">
        <v>26</v>
      </c>
      <c r="I182" s="466">
        <v>6040</v>
      </c>
      <c r="J182" s="466">
        <v>5120</v>
      </c>
      <c r="K182" s="472">
        <f t="shared" si="2"/>
        <v>5540</v>
      </c>
      <c r="L182" s="472">
        <v>666</v>
      </c>
      <c r="M182" s="472">
        <v>666</v>
      </c>
      <c r="N182" s="472">
        <v>666</v>
      </c>
      <c r="O182" s="472">
        <v>666</v>
      </c>
      <c r="P182" s="466">
        <v>20</v>
      </c>
      <c r="Q182" s="468">
        <v>26</v>
      </c>
      <c r="R182" s="466">
        <v>97</v>
      </c>
      <c r="S182" s="468">
        <v>126</v>
      </c>
      <c r="T182" s="466">
        <v>360</v>
      </c>
      <c r="U182" s="468">
        <v>420</v>
      </c>
      <c r="V182" s="468">
        <v>0.6</v>
      </c>
      <c r="W182" s="466">
        <v>450</v>
      </c>
      <c r="X182" s="468">
        <v>500</v>
      </c>
      <c r="Y182" s="466">
        <v>120</v>
      </c>
      <c r="AA182" s="466">
        <v>2.1</v>
      </c>
      <c r="AB182" s="466">
        <v>0.2</v>
      </c>
      <c r="AC182" s="466">
        <v>3</v>
      </c>
      <c r="AD182" s="466">
        <v>0.3</v>
      </c>
      <c r="AE182" s="466">
        <v>0.32</v>
      </c>
      <c r="AF182" s="468">
        <v>0.34</v>
      </c>
      <c r="AG182" s="466">
        <v>0.4</v>
      </c>
      <c r="AH182" s="468">
        <v>0.42</v>
      </c>
      <c r="AI182" s="466">
        <v>0.61</v>
      </c>
      <c r="AJ182" s="466">
        <v>-11</v>
      </c>
      <c r="AK182" s="466">
        <v>4</v>
      </c>
      <c r="AL182" s="524">
        <v>26</v>
      </c>
      <c r="AM182" s="524">
        <v>26</v>
      </c>
    </row>
    <row r="183" spans="1:39" ht="25" customHeight="1" outlineLevel="1">
      <c r="A183" s="476" t="s">
        <v>1101</v>
      </c>
      <c r="B183" s="466">
        <v>685</v>
      </c>
      <c r="C183" s="466">
        <v>-33</v>
      </c>
      <c r="D183" s="466">
        <v>-35</v>
      </c>
      <c r="E183" s="466">
        <v>31</v>
      </c>
      <c r="F183" s="466">
        <v>20</v>
      </c>
      <c r="G183" s="468">
        <v>36</v>
      </c>
      <c r="H183" s="468">
        <v>24</v>
      </c>
      <c r="I183" s="466">
        <v>5550</v>
      </c>
      <c r="J183" s="466">
        <v>4650</v>
      </c>
      <c r="K183" s="472">
        <f t="shared" si="2"/>
        <v>5050</v>
      </c>
      <c r="L183" s="472">
        <v>666</v>
      </c>
      <c r="M183" s="472">
        <v>666</v>
      </c>
      <c r="N183" s="472">
        <v>666</v>
      </c>
      <c r="O183" s="472">
        <v>666</v>
      </c>
      <c r="P183" s="466">
        <v>23</v>
      </c>
      <c r="Q183" s="468">
        <v>29</v>
      </c>
      <c r="R183" s="466">
        <v>81</v>
      </c>
      <c r="S183" s="468">
        <v>103</v>
      </c>
      <c r="T183" s="466">
        <v>260</v>
      </c>
      <c r="U183" s="468">
        <v>310</v>
      </c>
      <c r="V183" s="468">
        <v>0.4</v>
      </c>
      <c r="W183" s="466">
        <v>325</v>
      </c>
      <c r="X183" s="468">
        <v>370</v>
      </c>
      <c r="Y183" s="466">
        <v>200</v>
      </c>
      <c r="Z183" s="468">
        <v>220</v>
      </c>
      <c r="AA183" s="466">
        <v>1.4</v>
      </c>
      <c r="AB183" s="466">
        <v>0.1</v>
      </c>
      <c r="AC183" s="466">
        <v>2.1</v>
      </c>
      <c r="AD183" s="466">
        <v>0.2</v>
      </c>
      <c r="AE183" s="466">
        <v>0.36</v>
      </c>
      <c r="AF183" s="468">
        <v>0.38</v>
      </c>
      <c r="AG183" s="466">
        <v>0.46</v>
      </c>
      <c r="AH183" s="468">
        <v>0.48</v>
      </c>
      <c r="AI183" s="466">
        <v>0.72</v>
      </c>
      <c r="AJ183" s="466">
        <v>-11</v>
      </c>
      <c r="AK183" s="466">
        <v>4.8</v>
      </c>
      <c r="AL183" s="524">
        <v>24</v>
      </c>
      <c r="AM183" s="524">
        <v>24</v>
      </c>
    </row>
    <row r="184" spans="1:39" ht="25" customHeight="1" outlineLevel="1">
      <c r="A184" s="476" t="s">
        <v>1102</v>
      </c>
      <c r="B184" s="466">
        <v>645</v>
      </c>
      <c r="C184" s="466">
        <v>-34</v>
      </c>
      <c r="D184" s="466">
        <v>-37</v>
      </c>
      <c r="E184" s="466">
        <v>28</v>
      </c>
      <c r="F184" s="466">
        <v>20</v>
      </c>
      <c r="G184" s="468">
        <v>34</v>
      </c>
      <c r="H184" s="468">
        <v>24</v>
      </c>
      <c r="I184" s="466">
        <v>5880</v>
      </c>
      <c r="J184" s="466">
        <v>4970</v>
      </c>
      <c r="K184" s="472">
        <f t="shared" si="2"/>
        <v>5380</v>
      </c>
      <c r="L184" s="472">
        <v>666</v>
      </c>
      <c r="M184" s="472">
        <v>666</v>
      </c>
      <c r="N184" s="472">
        <v>666</v>
      </c>
      <c r="O184" s="472">
        <v>666</v>
      </c>
      <c r="P184" s="466">
        <v>18</v>
      </c>
      <c r="Q184" s="468">
        <v>23</v>
      </c>
      <c r="R184" s="466">
        <v>81</v>
      </c>
      <c r="S184" s="468">
        <v>105</v>
      </c>
      <c r="T184" s="466">
        <v>310</v>
      </c>
      <c r="U184" s="468">
        <v>370</v>
      </c>
      <c r="V184" s="468">
        <v>0.5</v>
      </c>
      <c r="W184" s="466">
        <v>430</v>
      </c>
      <c r="X184" s="468">
        <v>490</v>
      </c>
      <c r="Y184" s="466">
        <v>120</v>
      </c>
      <c r="AA184" s="466">
        <v>2</v>
      </c>
      <c r="AB184" s="466">
        <v>0.1</v>
      </c>
      <c r="AC184" s="466">
        <v>2.9</v>
      </c>
      <c r="AD184" s="466">
        <v>0.2</v>
      </c>
      <c r="AE184" s="466">
        <v>0.32</v>
      </c>
      <c r="AF184" s="468">
        <v>0.34</v>
      </c>
      <c r="AG184" s="466">
        <v>0.4</v>
      </c>
      <c r="AH184" s="468">
        <v>0.42</v>
      </c>
      <c r="AI184" s="466">
        <v>0.61</v>
      </c>
      <c r="AJ184" s="466">
        <v>-11</v>
      </c>
      <c r="AK184" s="466">
        <v>4.5999999999999996</v>
      </c>
      <c r="AL184" s="524">
        <v>24</v>
      </c>
      <c r="AM184" s="524">
        <v>24</v>
      </c>
    </row>
    <row r="185" spans="1:39" ht="25" customHeight="1" outlineLevel="1">
      <c r="A185" s="476" t="s">
        <v>1103</v>
      </c>
      <c r="B185" s="466">
        <v>765</v>
      </c>
      <c r="C185" s="466">
        <v>-31</v>
      </c>
      <c r="D185" s="466">
        <v>-34</v>
      </c>
      <c r="E185" s="466">
        <v>31</v>
      </c>
      <c r="F185" s="466">
        <v>20</v>
      </c>
      <c r="G185" s="468">
        <v>36</v>
      </c>
      <c r="H185" s="468">
        <v>24</v>
      </c>
      <c r="I185" s="466">
        <v>4780</v>
      </c>
      <c r="J185" s="466">
        <v>3920</v>
      </c>
      <c r="K185" s="472">
        <f t="shared" si="2"/>
        <v>4280</v>
      </c>
      <c r="L185" s="472">
        <v>666</v>
      </c>
      <c r="M185" s="472">
        <v>666</v>
      </c>
      <c r="N185" s="472">
        <v>666</v>
      </c>
      <c r="O185" s="472">
        <v>666</v>
      </c>
      <c r="P185" s="466">
        <v>25</v>
      </c>
      <c r="Q185" s="468">
        <v>32</v>
      </c>
      <c r="R185" s="466">
        <v>81</v>
      </c>
      <c r="S185" s="468">
        <v>102</v>
      </c>
      <c r="T185" s="466">
        <v>275</v>
      </c>
      <c r="U185" s="468">
        <v>330</v>
      </c>
      <c r="V185" s="468">
        <v>0.3</v>
      </c>
      <c r="W185" s="466">
        <v>380</v>
      </c>
      <c r="X185" s="468">
        <v>430</v>
      </c>
      <c r="Y185" s="466">
        <v>220</v>
      </c>
      <c r="Z185" s="468">
        <v>240</v>
      </c>
      <c r="AA185" s="466">
        <v>1.2</v>
      </c>
      <c r="AB185" s="466">
        <v>0.1</v>
      </c>
      <c r="AC185" s="466">
        <v>1.8</v>
      </c>
      <c r="AD185" s="466">
        <v>0.2</v>
      </c>
      <c r="AE185" s="466">
        <v>0.36</v>
      </c>
      <c r="AF185" s="468">
        <v>0.38</v>
      </c>
      <c r="AG185" s="466">
        <v>0.45</v>
      </c>
      <c r="AH185" s="468">
        <v>0.47</v>
      </c>
      <c r="AI185" s="466">
        <v>0.68</v>
      </c>
      <c r="AJ185" s="466">
        <v>-10</v>
      </c>
      <c r="AK185" s="466">
        <v>3.3</v>
      </c>
      <c r="AL185" s="524">
        <v>24</v>
      </c>
      <c r="AM185" s="524">
        <v>24</v>
      </c>
    </row>
    <row r="186" spans="1:39" ht="25" customHeight="1" outlineLevel="1">
      <c r="A186" s="476" t="s">
        <v>1104</v>
      </c>
      <c r="B186" s="466">
        <v>480</v>
      </c>
      <c r="C186" s="466">
        <v>-38</v>
      </c>
      <c r="D186" s="466">
        <v>-40</v>
      </c>
      <c r="E186" s="466">
        <v>28</v>
      </c>
      <c r="F186" s="466">
        <v>20</v>
      </c>
      <c r="G186" s="468">
        <v>33</v>
      </c>
      <c r="H186" s="468">
        <v>24</v>
      </c>
      <c r="I186" s="466">
        <v>6280</v>
      </c>
      <c r="J186" s="466">
        <v>5350</v>
      </c>
      <c r="K186" s="472">
        <f t="shared" si="2"/>
        <v>5780</v>
      </c>
      <c r="L186" s="472">
        <v>666</v>
      </c>
      <c r="M186" s="472">
        <v>666</v>
      </c>
      <c r="N186" s="472">
        <v>666</v>
      </c>
      <c r="O186" s="472">
        <v>666</v>
      </c>
      <c r="P186" s="466">
        <v>18</v>
      </c>
      <c r="Q186" s="468">
        <v>23</v>
      </c>
      <c r="R186" s="466">
        <v>81</v>
      </c>
      <c r="S186" s="468">
        <v>104</v>
      </c>
      <c r="T186" s="466">
        <v>320</v>
      </c>
      <c r="U186" s="468">
        <v>380</v>
      </c>
      <c r="V186" s="468">
        <v>0.5</v>
      </c>
      <c r="W186" s="466">
        <v>450</v>
      </c>
      <c r="X186" s="468">
        <v>510</v>
      </c>
      <c r="Y186" s="466">
        <v>120</v>
      </c>
      <c r="AA186" s="466">
        <v>1.7</v>
      </c>
      <c r="AB186" s="466">
        <v>0.1</v>
      </c>
      <c r="AC186" s="466">
        <v>2.4</v>
      </c>
      <c r="AD186" s="466">
        <v>0.1</v>
      </c>
      <c r="AE186" s="466">
        <v>0.3</v>
      </c>
      <c r="AF186" s="468">
        <v>0.32</v>
      </c>
      <c r="AG186" s="466">
        <v>0.4</v>
      </c>
      <c r="AH186" s="468">
        <v>0.42</v>
      </c>
      <c r="AI186" s="466">
        <v>0.65</v>
      </c>
      <c r="AJ186" s="466">
        <v>-12</v>
      </c>
      <c r="AK186" s="466">
        <v>3.6</v>
      </c>
      <c r="AL186" s="524">
        <v>24</v>
      </c>
      <c r="AM186" s="524">
        <v>24</v>
      </c>
    </row>
    <row r="187" spans="1:39" ht="25" customHeight="1" outlineLevel="1">
      <c r="A187" s="476" t="s">
        <v>1105</v>
      </c>
      <c r="B187" s="466">
        <v>455</v>
      </c>
      <c r="C187" s="466">
        <v>-36</v>
      </c>
      <c r="D187" s="466">
        <v>-38</v>
      </c>
      <c r="E187" s="466">
        <v>28</v>
      </c>
      <c r="F187" s="466">
        <v>21</v>
      </c>
      <c r="G187" s="468">
        <v>33</v>
      </c>
      <c r="H187" s="468">
        <v>25</v>
      </c>
      <c r="I187" s="466">
        <v>6050</v>
      </c>
      <c r="J187" s="466">
        <v>5130</v>
      </c>
      <c r="K187" s="472">
        <f t="shared" si="2"/>
        <v>5550</v>
      </c>
      <c r="L187" s="472">
        <v>666</v>
      </c>
      <c r="M187" s="472">
        <v>666</v>
      </c>
      <c r="N187" s="472">
        <v>666</v>
      </c>
      <c r="O187" s="472">
        <v>666</v>
      </c>
      <c r="P187" s="466">
        <v>20</v>
      </c>
      <c r="Q187" s="468">
        <v>26</v>
      </c>
      <c r="R187" s="466">
        <v>81</v>
      </c>
      <c r="S187" s="468">
        <v>106</v>
      </c>
      <c r="T187" s="466">
        <v>310</v>
      </c>
      <c r="U187" s="468">
        <v>370</v>
      </c>
      <c r="V187" s="468">
        <v>0.5</v>
      </c>
      <c r="W187" s="466">
        <v>410</v>
      </c>
      <c r="X187" s="468">
        <v>460</v>
      </c>
      <c r="Y187" s="466">
        <v>120</v>
      </c>
      <c r="AA187" s="466">
        <v>2.1</v>
      </c>
      <c r="AB187" s="466">
        <v>0.1</v>
      </c>
      <c r="AC187" s="466">
        <v>3</v>
      </c>
      <c r="AD187" s="466">
        <v>0.1</v>
      </c>
      <c r="AE187" s="466">
        <v>0.28000000000000003</v>
      </c>
      <c r="AF187" s="468">
        <v>0.28999999999999998</v>
      </c>
      <c r="AG187" s="466">
        <v>0.36</v>
      </c>
      <c r="AH187" s="468">
        <v>0.38</v>
      </c>
      <c r="AI187" s="466">
        <v>0.56999999999999995</v>
      </c>
      <c r="AJ187" s="466">
        <v>-12</v>
      </c>
      <c r="AK187" s="466">
        <v>3.9</v>
      </c>
      <c r="AL187" s="524">
        <v>25</v>
      </c>
      <c r="AM187" s="524">
        <v>25</v>
      </c>
    </row>
    <row r="188" spans="1:39" ht="25" customHeight="1" outlineLevel="1">
      <c r="A188" s="476" t="s">
        <v>1106</v>
      </c>
      <c r="B188" s="466">
        <v>550</v>
      </c>
      <c r="C188" s="466">
        <v>-34</v>
      </c>
      <c r="D188" s="466">
        <v>-36</v>
      </c>
      <c r="E188" s="466">
        <v>29</v>
      </c>
      <c r="F188" s="466">
        <v>21</v>
      </c>
      <c r="G188" s="468">
        <v>34</v>
      </c>
      <c r="H188" s="468">
        <v>25</v>
      </c>
      <c r="I188" s="466">
        <v>5880</v>
      </c>
      <c r="J188" s="466">
        <v>4970</v>
      </c>
      <c r="K188" s="472">
        <f t="shared" si="2"/>
        <v>5380</v>
      </c>
      <c r="L188" s="472">
        <v>666</v>
      </c>
      <c r="M188" s="472">
        <v>666</v>
      </c>
      <c r="N188" s="472">
        <v>666</v>
      </c>
      <c r="O188" s="472">
        <v>666</v>
      </c>
      <c r="P188" s="466">
        <v>23</v>
      </c>
      <c r="Q188" s="468">
        <v>30</v>
      </c>
      <c r="R188" s="466">
        <v>97</v>
      </c>
      <c r="S188" s="468">
        <v>127</v>
      </c>
      <c r="T188" s="466">
        <v>340</v>
      </c>
      <c r="U188" s="468">
        <v>400</v>
      </c>
      <c r="V188" s="468">
        <v>0.5</v>
      </c>
      <c r="W188" s="466">
        <v>410</v>
      </c>
      <c r="X188" s="468">
        <v>460</v>
      </c>
      <c r="Y188" s="466">
        <v>160</v>
      </c>
      <c r="AA188" s="466">
        <v>1.7</v>
      </c>
      <c r="AB188" s="466">
        <v>0.1</v>
      </c>
      <c r="AC188" s="466">
        <v>2.4</v>
      </c>
      <c r="AD188" s="466">
        <v>0.1</v>
      </c>
      <c r="AE188" s="466">
        <v>0.32</v>
      </c>
      <c r="AF188" s="468">
        <v>0.34</v>
      </c>
      <c r="AG188" s="466">
        <v>0.4</v>
      </c>
      <c r="AH188" s="468">
        <v>0.42</v>
      </c>
      <c r="AI188" s="466">
        <v>0.61</v>
      </c>
      <c r="AJ188" s="466">
        <v>-11</v>
      </c>
      <c r="AK188" s="466">
        <v>4.5</v>
      </c>
      <c r="AL188" s="524">
        <v>25</v>
      </c>
      <c r="AM188" s="524">
        <v>25</v>
      </c>
    </row>
    <row r="189" spans="1:39" ht="25" customHeight="1" outlineLevel="1">
      <c r="A189" s="476" t="s">
        <v>1107</v>
      </c>
      <c r="B189" s="466">
        <v>545</v>
      </c>
      <c r="C189" s="466">
        <v>-32</v>
      </c>
      <c r="D189" s="466">
        <v>-34</v>
      </c>
      <c r="E189" s="466">
        <v>31</v>
      </c>
      <c r="F189" s="466">
        <v>21</v>
      </c>
      <c r="G189" s="468">
        <v>36</v>
      </c>
      <c r="H189" s="468">
        <v>25</v>
      </c>
      <c r="I189" s="466">
        <v>5270</v>
      </c>
      <c r="J189" s="466">
        <v>4390</v>
      </c>
      <c r="K189" s="472">
        <f t="shared" si="2"/>
        <v>4770</v>
      </c>
      <c r="L189" s="472">
        <v>666</v>
      </c>
      <c r="M189" s="472">
        <v>666</v>
      </c>
      <c r="N189" s="472">
        <v>666</v>
      </c>
      <c r="O189" s="472">
        <v>666</v>
      </c>
      <c r="P189" s="466">
        <v>25</v>
      </c>
      <c r="Q189" s="468">
        <v>32</v>
      </c>
      <c r="R189" s="466">
        <v>86</v>
      </c>
      <c r="S189" s="468">
        <v>111</v>
      </c>
      <c r="T189" s="466">
        <v>270</v>
      </c>
      <c r="U189" s="468">
        <v>320</v>
      </c>
      <c r="V189" s="468">
        <v>0.3</v>
      </c>
      <c r="W189" s="466">
        <v>360</v>
      </c>
      <c r="X189" s="468">
        <v>400</v>
      </c>
      <c r="Y189" s="466">
        <v>200</v>
      </c>
      <c r="Z189" s="468">
        <v>210</v>
      </c>
      <c r="AA189" s="466">
        <v>1.4</v>
      </c>
      <c r="AB189" s="466">
        <v>0.1</v>
      </c>
      <c r="AC189" s="466">
        <v>2.1</v>
      </c>
      <c r="AD189" s="466">
        <v>0.2</v>
      </c>
      <c r="AE189" s="466">
        <v>0.41</v>
      </c>
      <c r="AF189" s="468">
        <v>0.43</v>
      </c>
      <c r="AG189" s="466">
        <v>0.52</v>
      </c>
      <c r="AH189" s="468">
        <v>0.55000000000000004</v>
      </c>
      <c r="AI189" s="466">
        <v>0.81</v>
      </c>
      <c r="AJ189" s="466">
        <v>-10</v>
      </c>
      <c r="AK189" s="466">
        <v>4.7</v>
      </c>
      <c r="AL189" s="524">
        <v>25</v>
      </c>
      <c r="AM189" s="524">
        <v>25</v>
      </c>
    </row>
    <row r="190" spans="1:39" ht="25" customHeight="1" outlineLevel="1">
      <c r="A190" s="476" t="s">
        <v>1108</v>
      </c>
      <c r="B190" s="466">
        <v>365</v>
      </c>
      <c r="C190" s="466">
        <v>-37</v>
      </c>
      <c r="D190" s="466">
        <v>-39</v>
      </c>
      <c r="E190" s="466">
        <v>28</v>
      </c>
      <c r="F190" s="466">
        <v>21</v>
      </c>
      <c r="G190" s="468">
        <v>33</v>
      </c>
      <c r="H190" s="468">
        <v>25</v>
      </c>
      <c r="I190" s="466">
        <v>6300</v>
      </c>
      <c r="J190" s="466">
        <v>5370</v>
      </c>
      <c r="K190" s="472">
        <f t="shared" si="2"/>
        <v>5800</v>
      </c>
      <c r="L190" s="472">
        <v>666</v>
      </c>
      <c r="M190" s="472">
        <v>666</v>
      </c>
      <c r="N190" s="472">
        <v>666</v>
      </c>
      <c r="O190" s="472">
        <v>666</v>
      </c>
      <c r="P190" s="466">
        <v>20</v>
      </c>
      <c r="Q190" s="468">
        <v>26</v>
      </c>
      <c r="R190" s="466">
        <v>76</v>
      </c>
      <c r="S190" s="468">
        <v>99</v>
      </c>
      <c r="T190" s="466">
        <v>340</v>
      </c>
      <c r="U190" s="468">
        <v>400</v>
      </c>
      <c r="V190" s="468">
        <v>0.6</v>
      </c>
      <c r="W190" s="466">
        <v>450</v>
      </c>
      <c r="X190" s="468">
        <v>510</v>
      </c>
      <c r="Y190" s="466">
        <v>100</v>
      </c>
      <c r="AA190" s="466">
        <v>2</v>
      </c>
      <c r="AB190" s="466">
        <v>0.1</v>
      </c>
      <c r="AC190" s="466">
        <v>2.9</v>
      </c>
      <c r="AD190" s="466">
        <v>0.1</v>
      </c>
      <c r="AE190" s="466">
        <v>0.3</v>
      </c>
      <c r="AF190" s="468">
        <v>0.32</v>
      </c>
      <c r="AG190" s="466">
        <v>0.38</v>
      </c>
      <c r="AH190" s="468">
        <v>0.4</v>
      </c>
      <c r="AI190" s="466">
        <v>0.59</v>
      </c>
      <c r="AJ190" s="466">
        <v>-12</v>
      </c>
      <c r="AK190" s="466">
        <v>4</v>
      </c>
      <c r="AL190" s="524">
        <v>25</v>
      </c>
      <c r="AM190" s="524">
        <v>25</v>
      </c>
    </row>
    <row r="191" spans="1:39" ht="25" customHeight="1" outlineLevel="1">
      <c r="A191" s="476" t="s">
        <v>1109</v>
      </c>
      <c r="B191" s="466">
        <v>545</v>
      </c>
      <c r="C191" s="466">
        <v>-34</v>
      </c>
      <c r="D191" s="466">
        <v>-36</v>
      </c>
      <c r="E191" s="466">
        <v>29</v>
      </c>
      <c r="F191" s="466">
        <v>20</v>
      </c>
      <c r="G191" s="468">
        <v>34</v>
      </c>
      <c r="H191" s="468">
        <v>24</v>
      </c>
      <c r="I191" s="466">
        <v>5900</v>
      </c>
      <c r="J191" s="466">
        <v>4990</v>
      </c>
      <c r="K191" s="472">
        <f t="shared" si="2"/>
        <v>5400</v>
      </c>
      <c r="L191" s="472">
        <v>666</v>
      </c>
      <c r="M191" s="472">
        <v>666</v>
      </c>
      <c r="N191" s="472">
        <v>666</v>
      </c>
      <c r="O191" s="472">
        <v>666</v>
      </c>
      <c r="P191" s="466">
        <v>20</v>
      </c>
      <c r="Q191" s="468">
        <v>26</v>
      </c>
      <c r="R191" s="466">
        <v>81</v>
      </c>
      <c r="S191" s="468">
        <v>105</v>
      </c>
      <c r="T191" s="466">
        <v>280</v>
      </c>
      <c r="U191" s="468">
        <v>330</v>
      </c>
      <c r="V191" s="468">
        <v>0.5</v>
      </c>
      <c r="W191" s="466">
        <v>370</v>
      </c>
      <c r="X191" s="468">
        <v>420</v>
      </c>
      <c r="Y191" s="466">
        <v>120</v>
      </c>
      <c r="Z191" s="468">
        <v>130</v>
      </c>
      <c r="AA191" s="466">
        <v>1.7</v>
      </c>
      <c r="AB191" s="466">
        <v>0.1</v>
      </c>
      <c r="AC191" s="466">
        <v>2.5</v>
      </c>
      <c r="AD191" s="466">
        <v>0.2</v>
      </c>
      <c r="AE191" s="466">
        <v>0.36</v>
      </c>
      <c r="AF191" s="468">
        <v>0.38</v>
      </c>
      <c r="AG191" s="466">
        <v>0.46</v>
      </c>
      <c r="AH191" s="468">
        <v>0.48</v>
      </c>
      <c r="AI191" s="466">
        <v>0.72</v>
      </c>
      <c r="AJ191" s="466">
        <v>-11</v>
      </c>
      <c r="AK191" s="466">
        <v>4.0999999999999996</v>
      </c>
      <c r="AL191" s="524">
        <v>24</v>
      </c>
      <c r="AM191" s="524">
        <v>24</v>
      </c>
    </row>
    <row r="192" spans="1:39" ht="25" customHeight="1" outlineLevel="1">
      <c r="A192" s="476" t="s">
        <v>1110</v>
      </c>
      <c r="B192" s="466">
        <v>435</v>
      </c>
      <c r="C192" s="466">
        <v>-37</v>
      </c>
      <c r="D192" s="466">
        <v>-40</v>
      </c>
      <c r="E192" s="466">
        <v>28</v>
      </c>
      <c r="F192" s="466">
        <v>21</v>
      </c>
      <c r="G192" s="468">
        <v>33</v>
      </c>
      <c r="H192" s="468">
        <v>25</v>
      </c>
      <c r="I192" s="466">
        <v>6100</v>
      </c>
      <c r="J192" s="466">
        <v>5180</v>
      </c>
      <c r="K192" s="472">
        <f t="shared" si="2"/>
        <v>5600</v>
      </c>
      <c r="L192" s="472">
        <v>666</v>
      </c>
      <c r="M192" s="472">
        <v>666</v>
      </c>
      <c r="N192" s="472">
        <v>666</v>
      </c>
      <c r="O192" s="472">
        <v>666</v>
      </c>
      <c r="P192" s="466">
        <v>20</v>
      </c>
      <c r="Q192" s="468">
        <v>26</v>
      </c>
      <c r="R192" s="466">
        <v>81</v>
      </c>
      <c r="S192" s="468">
        <v>105</v>
      </c>
      <c r="T192" s="466">
        <v>320</v>
      </c>
      <c r="U192" s="468">
        <v>380</v>
      </c>
      <c r="V192" s="468">
        <v>0.5</v>
      </c>
      <c r="W192" s="466">
        <v>410</v>
      </c>
      <c r="X192" s="468">
        <v>460</v>
      </c>
      <c r="Y192" s="466">
        <v>140</v>
      </c>
      <c r="AA192" s="466">
        <v>1.9</v>
      </c>
      <c r="AB192" s="466">
        <v>0.1</v>
      </c>
      <c r="AC192" s="466">
        <v>2.7</v>
      </c>
      <c r="AD192" s="466">
        <v>0.1</v>
      </c>
      <c r="AE192" s="466">
        <v>0.3</v>
      </c>
      <c r="AF192" s="468">
        <v>0.32</v>
      </c>
      <c r="AG192" s="466">
        <v>0.38</v>
      </c>
      <c r="AH192" s="468">
        <v>0.4</v>
      </c>
      <c r="AI192" s="466">
        <v>0.59</v>
      </c>
      <c r="AJ192" s="466">
        <v>-12</v>
      </c>
      <c r="AK192" s="466">
        <v>3.3</v>
      </c>
      <c r="AL192" s="524">
        <v>25</v>
      </c>
      <c r="AM192" s="524">
        <v>25</v>
      </c>
    </row>
    <row r="193" spans="1:40" ht="25" customHeight="1" outlineLevel="1">
      <c r="A193" s="476" t="s">
        <v>1111</v>
      </c>
      <c r="B193" s="466">
        <v>645</v>
      </c>
      <c r="C193" s="466">
        <v>-34</v>
      </c>
      <c r="D193" s="466">
        <v>-36</v>
      </c>
      <c r="E193" s="466">
        <v>30</v>
      </c>
      <c r="F193" s="466">
        <v>22</v>
      </c>
      <c r="G193" s="468">
        <v>35</v>
      </c>
      <c r="H193" s="468">
        <v>26</v>
      </c>
      <c r="I193" s="466">
        <v>5620</v>
      </c>
      <c r="J193" s="466">
        <v>4720</v>
      </c>
      <c r="K193" s="472">
        <f t="shared" si="2"/>
        <v>5120</v>
      </c>
      <c r="L193" s="472">
        <v>666</v>
      </c>
      <c r="M193" s="472">
        <v>666</v>
      </c>
      <c r="N193" s="472">
        <v>666</v>
      </c>
      <c r="O193" s="472">
        <v>666</v>
      </c>
      <c r="P193" s="466">
        <v>25</v>
      </c>
      <c r="Q193" s="468">
        <v>33</v>
      </c>
      <c r="R193" s="466">
        <v>97</v>
      </c>
      <c r="S193" s="468">
        <v>127</v>
      </c>
      <c r="T193" s="466">
        <v>340</v>
      </c>
      <c r="U193" s="468">
        <v>400</v>
      </c>
      <c r="V193" s="468">
        <v>0.5</v>
      </c>
      <c r="W193" s="466">
        <v>430</v>
      </c>
      <c r="X193" s="468">
        <v>480</v>
      </c>
      <c r="Y193" s="466">
        <v>160</v>
      </c>
      <c r="Z193" s="468">
        <v>170</v>
      </c>
      <c r="AA193" s="466">
        <v>1.7</v>
      </c>
      <c r="AB193" s="466">
        <v>0.1</v>
      </c>
      <c r="AC193" s="466">
        <v>2.5</v>
      </c>
      <c r="AD193" s="466">
        <v>0.2</v>
      </c>
      <c r="AE193" s="466">
        <v>0.33</v>
      </c>
      <c r="AF193" s="468">
        <v>0.35</v>
      </c>
      <c r="AG193" s="466">
        <v>0.42</v>
      </c>
      <c r="AH193" s="468">
        <v>0.44</v>
      </c>
      <c r="AI193" s="466">
        <v>0.65</v>
      </c>
      <c r="AJ193" s="466">
        <v>-11</v>
      </c>
      <c r="AK193" s="466">
        <v>4.8</v>
      </c>
      <c r="AL193" s="524">
        <v>26</v>
      </c>
      <c r="AM193" s="524">
        <v>26</v>
      </c>
    </row>
    <row r="194" spans="1:40" ht="25" customHeight="1" outlineLevel="1">
      <c r="A194" s="476" t="s">
        <v>1112</v>
      </c>
      <c r="B194" s="466">
        <v>575</v>
      </c>
      <c r="C194" s="466">
        <v>-34</v>
      </c>
      <c r="D194" s="466">
        <v>-36</v>
      </c>
      <c r="E194" s="466">
        <v>31</v>
      </c>
      <c r="F194" s="466">
        <v>21</v>
      </c>
      <c r="G194" s="468">
        <v>36</v>
      </c>
      <c r="H194" s="468">
        <v>25</v>
      </c>
      <c r="I194" s="466">
        <v>5600</v>
      </c>
      <c r="J194" s="466">
        <v>4700</v>
      </c>
      <c r="K194" s="472">
        <f t="shared" si="2"/>
        <v>5100</v>
      </c>
      <c r="L194" s="472">
        <v>666</v>
      </c>
      <c r="M194" s="472">
        <v>666</v>
      </c>
      <c r="N194" s="472">
        <v>666</v>
      </c>
      <c r="O194" s="472">
        <v>666</v>
      </c>
      <c r="P194" s="466">
        <v>28</v>
      </c>
      <c r="Q194" s="468">
        <v>37</v>
      </c>
      <c r="R194" s="466">
        <v>103</v>
      </c>
      <c r="S194" s="468">
        <v>134</v>
      </c>
      <c r="T194" s="466">
        <v>300</v>
      </c>
      <c r="U194" s="468">
        <v>350</v>
      </c>
      <c r="V194" s="468">
        <v>0.4</v>
      </c>
      <c r="W194" s="466">
        <v>365</v>
      </c>
      <c r="X194" s="468">
        <v>410</v>
      </c>
      <c r="Y194" s="466">
        <v>200</v>
      </c>
      <c r="Z194" s="468">
        <v>210</v>
      </c>
      <c r="AA194" s="466">
        <v>1.4</v>
      </c>
      <c r="AB194" s="466">
        <v>0.1</v>
      </c>
      <c r="AC194" s="466">
        <v>2.1</v>
      </c>
      <c r="AD194" s="466">
        <v>0.2</v>
      </c>
      <c r="AE194" s="466">
        <v>0.39</v>
      </c>
      <c r="AF194" s="468">
        <v>0.41</v>
      </c>
      <c r="AG194" s="466">
        <v>0.49</v>
      </c>
      <c r="AH194" s="468">
        <v>0.51</v>
      </c>
      <c r="AI194" s="466">
        <v>0.75</v>
      </c>
      <c r="AJ194" s="466">
        <v>-11</v>
      </c>
      <c r="AK194" s="466">
        <v>5.2</v>
      </c>
      <c r="AL194" s="524">
        <v>25</v>
      </c>
      <c r="AM194" s="524">
        <v>25</v>
      </c>
    </row>
    <row r="195" spans="1:40" ht="25" customHeight="1" outlineLevel="1">
      <c r="A195" s="476" t="s">
        <v>1113</v>
      </c>
      <c r="B195" s="466">
        <v>595</v>
      </c>
      <c r="C195" s="466">
        <v>-34</v>
      </c>
      <c r="D195" s="466">
        <v>-36</v>
      </c>
      <c r="E195" s="466">
        <v>31</v>
      </c>
      <c r="F195" s="466">
        <v>20</v>
      </c>
      <c r="G195" s="468">
        <v>36</v>
      </c>
      <c r="H195" s="468">
        <v>24</v>
      </c>
      <c r="I195" s="466">
        <v>5620</v>
      </c>
      <c r="J195" s="466">
        <v>4720</v>
      </c>
      <c r="K195" s="472">
        <f t="shared" si="2"/>
        <v>5120</v>
      </c>
      <c r="L195" s="472">
        <v>666</v>
      </c>
      <c r="M195" s="472">
        <v>666</v>
      </c>
      <c r="N195" s="472">
        <v>666</v>
      </c>
      <c r="O195" s="472">
        <v>666</v>
      </c>
      <c r="P195" s="466">
        <v>23</v>
      </c>
      <c r="Q195" s="468">
        <v>30</v>
      </c>
      <c r="R195" s="466">
        <v>81</v>
      </c>
      <c r="S195" s="468">
        <v>104</v>
      </c>
      <c r="T195" s="466">
        <v>260</v>
      </c>
      <c r="U195" s="468">
        <v>310</v>
      </c>
      <c r="V195" s="468">
        <v>0.4</v>
      </c>
      <c r="W195" s="466">
        <v>330</v>
      </c>
      <c r="X195" s="468">
        <v>370</v>
      </c>
      <c r="Y195" s="466">
        <v>200</v>
      </c>
      <c r="Z195" s="468">
        <v>220</v>
      </c>
      <c r="AA195" s="466">
        <v>1.7</v>
      </c>
      <c r="AB195" s="466">
        <v>0.1</v>
      </c>
      <c r="AC195" s="466">
        <v>2.5</v>
      </c>
      <c r="AD195" s="466">
        <v>0.2</v>
      </c>
      <c r="AE195" s="466">
        <v>0.39</v>
      </c>
      <c r="AF195" s="468">
        <v>0.41</v>
      </c>
      <c r="AG195" s="466">
        <v>0.49</v>
      </c>
      <c r="AH195" s="468">
        <v>0.51</v>
      </c>
      <c r="AI195" s="466">
        <v>0.75</v>
      </c>
      <c r="AJ195" s="466">
        <v>-11</v>
      </c>
      <c r="AK195" s="466">
        <v>3.9</v>
      </c>
      <c r="AL195" s="524">
        <v>24</v>
      </c>
      <c r="AM195" s="524">
        <v>24</v>
      </c>
    </row>
    <row r="196" spans="1:40" ht="25" customHeight="1" outlineLevel="1">
      <c r="A196" s="476" t="s">
        <v>1114</v>
      </c>
      <c r="B196" s="466">
        <v>500</v>
      </c>
      <c r="C196" s="466">
        <v>-35</v>
      </c>
      <c r="D196" s="466">
        <v>-37</v>
      </c>
      <c r="E196" s="466">
        <v>30</v>
      </c>
      <c r="F196" s="466">
        <v>21</v>
      </c>
      <c r="G196" s="468">
        <v>35</v>
      </c>
      <c r="H196" s="468">
        <v>25</v>
      </c>
      <c r="I196" s="466">
        <v>5700</v>
      </c>
      <c r="J196" s="466">
        <v>4800</v>
      </c>
      <c r="K196" s="472">
        <f t="shared" si="2"/>
        <v>5200</v>
      </c>
      <c r="L196" s="472">
        <v>666</v>
      </c>
      <c r="M196" s="472">
        <v>666</v>
      </c>
      <c r="N196" s="472">
        <v>666</v>
      </c>
      <c r="O196" s="472">
        <v>666</v>
      </c>
      <c r="P196" s="466">
        <v>23</v>
      </c>
      <c r="Q196" s="468">
        <v>30</v>
      </c>
      <c r="R196" s="466">
        <v>86</v>
      </c>
      <c r="S196" s="468">
        <v>112</v>
      </c>
      <c r="T196" s="466">
        <v>265</v>
      </c>
      <c r="U196" s="468">
        <v>310</v>
      </c>
      <c r="V196" s="468">
        <v>0.4</v>
      </c>
      <c r="W196" s="466">
        <v>350</v>
      </c>
      <c r="X196" s="468">
        <v>390</v>
      </c>
      <c r="Y196" s="466">
        <v>160</v>
      </c>
      <c r="Z196" s="468">
        <v>170</v>
      </c>
      <c r="AA196" s="466">
        <v>1.7</v>
      </c>
      <c r="AB196" s="466">
        <v>0.1</v>
      </c>
      <c r="AC196" s="466">
        <v>2.5</v>
      </c>
      <c r="AD196" s="466">
        <v>0.2</v>
      </c>
      <c r="AE196" s="466">
        <v>0.36</v>
      </c>
      <c r="AF196" s="468">
        <v>0.38</v>
      </c>
      <c r="AG196" s="466">
        <v>0.46</v>
      </c>
      <c r="AH196" s="468">
        <v>0.48</v>
      </c>
      <c r="AI196" s="466">
        <v>0.72</v>
      </c>
      <c r="AJ196" s="466">
        <v>-11</v>
      </c>
      <c r="AK196" s="466">
        <v>4.4000000000000004</v>
      </c>
      <c r="AL196" s="524">
        <v>25</v>
      </c>
      <c r="AM196" s="524">
        <v>25</v>
      </c>
    </row>
    <row r="197" spans="1:40" ht="25" customHeight="1" outlineLevel="1">
      <c r="A197" s="476" t="s">
        <v>1115</v>
      </c>
      <c r="B197" s="466">
        <v>645</v>
      </c>
      <c r="C197" s="466">
        <v>-34</v>
      </c>
      <c r="D197" s="466">
        <v>-36</v>
      </c>
      <c r="E197" s="466">
        <v>30</v>
      </c>
      <c r="F197" s="466">
        <v>20</v>
      </c>
      <c r="G197" s="468">
        <v>35</v>
      </c>
      <c r="H197" s="468">
        <v>24</v>
      </c>
      <c r="I197" s="466">
        <v>5960</v>
      </c>
      <c r="J197" s="466">
        <v>5040</v>
      </c>
      <c r="K197" s="472">
        <f t="shared" si="2"/>
        <v>5460</v>
      </c>
      <c r="L197" s="472">
        <v>666</v>
      </c>
      <c r="M197" s="472">
        <v>666</v>
      </c>
      <c r="N197" s="472">
        <v>666</v>
      </c>
      <c r="O197" s="472">
        <v>666</v>
      </c>
      <c r="P197" s="466">
        <v>20</v>
      </c>
      <c r="Q197" s="468">
        <v>26</v>
      </c>
      <c r="R197" s="466">
        <v>81</v>
      </c>
      <c r="S197" s="468">
        <v>105</v>
      </c>
      <c r="T197" s="466">
        <v>270</v>
      </c>
      <c r="U197" s="468">
        <v>320</v>
      </c>
      <c r="V197" s="468">
        <v>0.4</v>
      </c>
      <c r="W197" s="466">
        <v>360</v>
      </c>
      <c r="X197" s="468">
        <v>410</v>
      </c>
      <c r="Y197" s="466">
        <v>140</v>
      </c>
      <c r="Z197" s="468">
        <v>150</v>
      </c>
      <c r="AA197" s="466">
        <v>1.9</v>
      </c>
      <c r="AB197" s="466">
        <v>0.1</v>
      </c>
      <c r="AC197" s="466">
        <v>2.8</v>
      </c>
      <c r="AD197" s="466">
        <v>0.2</v>
      </c>
      <c r="AE197" s="466">
        <v>0.36</v>
      </c>
      <c r="AF197" s="468">
        <v>0.38</v>
      </c>
      <c r="AG197" s="466">
        <v>0.45</v>
      </c>
      <c r="AH197" s="468">
        <v>0.47</v>
      </c>
      <c r="AI197" s="466">
        <v>0.68</v>
      </c>
      <c r="AJ197" s="466">
        <v>-11</v>
      </c>
      <c r="AK197" s="466">
        <v>3.5</v>
      </c>
      <c r="AL197" s="524">
        <v>24</v>
      </c>
      <c r="AM197" s="524">
        <v>24</v>
      </c>
    </row>
    <row r="198" spans="1:40" ht="25" customHeight="1" outlineLevel="1">
      <c r="A198" s="476" t="s">
        <v>1116</v>
      </c>
      <c r="B198" s="466">
        <v>545</v>
      </c>
      <c r="C198" s="466">
        <v>-34</v>
      </c>
      <c r="D198" s="466">
        <v>-36</v>
      </c>
      <c r="E198" s="466">
        <v>30</v>
      </c>
      <c r="F198" s="466">
        <v>22</v>
      </c>
      <c r="G198" s="468">
        <v>35</v>
      </c>
      <c r="H198" s="468">
        <v>26</v>
      </c>
      <c r="I198" s="466">
        <v>5600</v>
      </c>
      <c r="J198" s="466">
        <v>4700</v>
      </c>
      <c r="K198" s="472">
        <f t="shared" ref="K198:K261" si="3">I198-500</f>
        <v>5100</v>
      </c>
      <c r="L198" s="472">
        <v>666</v>
      </c>
      <c r="M198" s="472">
        <v>666</v>
      </c>
      <c r="N198" s="472">
        <v>666</v>
      </c>
      <c r="O198" s="472">
        <v>666</v>
      </c>
      <c r="P198" s="466">
        <v>25</v>
      </c>
      <c r="Q198" s="468">
        <v>33</v>
      </c>
      <c r="R198" s="466">
        <v>92</v>
      </c>
      <c r="S198" s="468">
        <v>120</v>
      </c>
      <c r="T198" s="466">
        <v>300</v>
      </c>
      <c r="U198" s="468">
        <v>360</v>
      </c>
      <c r="V198" s="468">
        <v>0.4</v>
      </c>
      <c r="W198" s="466">
        <v>390</v>
      </c>
      <c r="X198" s="468">
        <v>440</v>
      </c>
      <c r="Y198" s="466">
        <v>180</v>
      </c>
      <c r="Z198" s="468">
        <v>190</v>
      </c>
      <c r="AA198" s="466">
        <v>1.5</v>
      </c>
      <c r="AB198" s="466">
        <v>0.1</v>
      </c>
      <c r="AC198" s="466">
        <v>2.2000000000000002</v>
      </c>
      <c r="AD198" s="466">
        <v>0.2</v>
      </c>
      <c r="AE198" s="466">
        <v>0.33</v>
      </c>
      <c r="AF198" s="468">
        <v>0.35</v>
      </c>
      <c r="AG198" s="466">
        <v>0.42</v>
      </c>
      <c r="AH198" s="468">
        <v>0.44</v>
      </c>
      <c r="AI198" s="466">
        <v>0.65</v>
      </c>
      <c r="AJ198" s="466">
        <v>-11</v>
      </c>
      <c r="AK198" s="466">
        <v>4.5</v>
      </c>
      <c r="AL198" s="524">
        <v>26</v>
      </c>
      <c r="AM198" s="524">
        <v>26</v>
      </c>
    </row>
    <row r="199" spans="1:40" ht="25" customHeight="1" outlineLevel="1">
      <c r="A199" s="476" t="s">
        <v>1117</v>
      </c>
      <c r="B199" s="466">
        <v>750</v>
      </c>
      <c r="C199" s="466">
        <v>-31</v>
      </c>
      <c r="D199" s="466">
        <v>-34</v>
      </c>
      <c r="E199" s="466">
        <v>31</v>
      </c>
      <c r="F199" s="466">
        <v>20</v>
      </c>
      <c r="G199" s="468">
        <v>36</v>
      </c>
      <c r="H199" s="468">
        <v>24</v>
      </c>
      <c r="I199" s="466">
        <v>5150</v>
      </c>
      <c r="J199" s="466">
        <v>4270</v>
      </c>
      <c r="K199" s="472">
        <f t="shared" si="3"/>
        <v>4650</v>
      </c>
      <c r="L199" s="472">
        <v>666</v>
      </c>
      <c r="M199" s="472">
        <v>666</v>
      </c>
      <c r="N199" s="472">
        <v>666</v>
      </c>
      <c r="O199" s="472">
        <v>666</v>
      </c>
      <c r="P199" s="466">
        <v>25</v>
      </c>
      <c r="Q199" s="468">
        <v>32</v>
      </c>
      <c r="R199" s="466">
        <v>81</v>
      </c>
      <c r="S199" s="468">
        <v>103</v>
      </c>
      <c r="T199" s="466">
        <v>260</v>
      </c>
      <c r="U199" s="468">
        <v>310</v>
      </c>
      <c r="V199" s="468">
        <v>0.3</v>
      </c>
      <c r="W199" s="466">
        <v>350</v>
      </c>
      <c r="X199" s="468">
        <v>400</v>
      </c>
      <c r="Y199" s="466">
        <v>240</v>
      </c>
      <c r="Z199" s="468">
        <v>260</v>
      </c>
      <c r="AA199" s="466">
        <v>1.4</v>
      </c>
      <c r="AB199" s="466">
        <v>0.1</v>
      </c>
      <c r="AC199" s="466">
        <v>2</v>
      </c>
      <c r="AD199" s="466">
        <v>0.2</v>
      </c>
      <c r="AE199" s="466">
        <v>0.43</v>
      </c>
      <c r="AF199" s="468">
        <v>0.45</v>
      </c>
      <c r="AG199" s="466">
        <v>0.54</v>
      </c>
      <c r="AH199" s="468">
        <v>0.56999999999999995</v>
      </c>
      <c r="AI199" s="466">
        <v>0.82</v>
      </c>
      <c r="AJ199" s="466">
        <v>-10</v>
      </c>
      <c r="AK199" s="466">
        <v>6</v>
      </c>
      <c r="AL199" s="524">
        <v>24</v>
      </c>
      <c r="AM199" s="524">
        <v>24</v>
      </c>
    </row>
    <row r="200" spans="1:40" ht="25" customHeight="1" outlineLevel="1">
      <c r="A200" s="476" t="s">
        <v>1118</v>
      </c>
      <c r="B200" s="466">
        <v>265</v>
      </c>
      <c r="C200" s="466">
        <v>-42</v>
      </c>
      <c r="D200" s="466">
        <v>-44</v>
      </c>
      <c r="E200" s="466">
        <v>26</v>
      </c>
      <c r="F200" s="466">
        <v>19</v>
      </c>
      <c r="G200" s="468">
        <v>30</v>
      </c>
      <c r="H200" s="468">
        <v>22</v>
      </c>
      <c r="I200" s="466">
        <v>7500</v>
      </c>
      <c r="J200" s="466">
        <v>6510</v>
      </c>
      <c r="K200" s="472">
        <f t="shared" si="3"/>
        <v>7000</v>
      </c>
      <c r="L200" s="472">
        <v>666</v>
      </c>
      <c r="M200" s="472">
        <v>666</v>
      </c>
      <c r="N200" s="472">
        <v>666</v>
      </c>
      <c r="O200" s="472">
        <v>666</v>
      </c>
      <c r="P200" s="466">
        <v>12</v>
      </c>
      <c r="Q200" s="468">
        <v>16</v>
      </c>
      <c r="R200" s="466">
        <v>54</v>
      </c>
      <c r="S200" s="468">
        <v>72</v>
      </c>
      <c r="T200" s="466">
        <v>300</v>
      </c>
      <c r="U200" s="468">
        <v>370</v>
      </c>
      <c r="V200" s="468">
        <v>0.6</v>
      </c>
      <c r="W200" s="466">
        <v>360</v>
      </c>
      <c r="X200" s="468">
        <v>410</v>
      </c>
      <c r="Y200" s="466">
        <v>100</v>
      </c>
      <c r="AA200" s="466">
        <v>2</v>
      </c>
      <c r="AB200" s="466">
        <v>0.1</v>
      </c>
      <c r="AC200" s="466">
        <v>2.7</v>
      </c>
      <c r="AD200" s="466">
        <v>0.1</v>
      </c>
      <c r="AE200" s="466">
        <v>0.27</v>
      </c>
      <c r="AF200" s="468">
        <v>0.28000000000000003</v>
      </c>
      <c r="AG200" s="466">
        <v>0.36</v>
      </c>
      <c r="AH200" s="468">
        <v>0.38</v>
      </c>
      <c r="AI200" s="466">
        <v>0.56000000000000005</v>
      </c>
      <c r="AJ200" s="466">
        <v>-16</v>
      </c>
      <c r="AK200" s="466">
        <v>2.8</v>
      </c>
      <c r="AL200" s="524">
        <v>22</v>
      </c>
      <c r="AM200" s="524">
        <v>22</v>
      </c>
    </row>
    <row r="201" spans="1:40" ht="25" customHeight="1" outlineLevel="1">
      <c r="A201" s="476" t="s">
        <v>1119</v>
      </c>
      <c r="B201" s="466">
        <v>575</v>
      </c>
      <c r="C201" s="466">
        <v>-33</v>
      </c>
      <c r="D201" s="466">
        <v>-35</v>
      </c>
      <c r="E201" s="466">
        <v>31</v>
      </c>
      <c r="F201" s="466">
        <v>23</v>
      </c>
      <c r="G201" s="468">
        <v>36</v>
      </c>
      <c r="H201" s="468">
        <v>27</v>
      </c>
      <c r="I201" s="466">
        <v>5400</v>
      </c>
      <c r="J201" s="466">
        <v>4510</v>
      </c>
      <c r="K201" s="472">
        <f t="shared" si="3"/>
        <v>4900</v>
      </c>
      <c r="L201" s="472">
        <v>666</v>
      </c>
      <c r="M201" s="472">
        <v>666</v>
      </c>
      <c r="N201" s="472">
        <v>666</v>
      </c>
      <c r="O201" s="472">
        <v>666</v>
      </c>
      <c r="P201" s="466">
        <v>28</v>
      </c>
      <c r="Q201" s="468">
        <v>36</v>
      </c>
      <c r="R201" s="466">
        <v>97</v>
      </c>
      <c r="S201" s="468">
        <v>126</v>
      </c>
      <c r="T201" s="466">
        <v>320</v>
      </c>
      <c r="U201" s="468">
        <v>380</v>
      </c>
      <c r="V201" s="468">
        <v>0.4</v>
      </c>
      <c r="W201" s="466">
        <v>400</v>
      </c>
      <c r="X201" s="468">
        <v>450</v>
      </c>
      <c r="Y201" s="466">
        <v>200</v>
      </c>
      <c r="Z201" s="468">
        <v>210</v>
      </c>
      <c r="AA201" s="466">
        <v>1.8</v>
      </c>
      <c r="AB201" s="466">
        <v>0.1</v>
      </c>
      <c r="AC201" s="466">
        <v>2.7</v>
      </c>
      <c r="AD201" s="466">
        <v>0.2</v>
      </c>
      <c r="AE201" s="466">
        <v>0.38</v>
      </c>
      <c r="AF201" s="468">
        <v>0.4</v>
      </c>
      <c r="AG201" s="466">
        <v>0.48</v>
      </c>
      <c r="AH201" s="468">
        <v>0.5</v>
      </c>
      <c r="AI201" s="466">
        <v>0.74</v>
      </c>
      <c r="AJ201" s="466">
        <v>-11</v>
      </c>
      <c r="AK201" s="466">
        <v>4.7</v>
      </c>
      <c r="AL201" s="524">
        <v>27</v>
      </c>
      <c r="AM201" s="524">
        <v>27</v>
      </c>
    </row>
    <row r="202" spans="1:40" s="473" customFormat="1" ht="25" customHeight="1" outlineLevel="1" thickBot="1">
      <c r="A202" s="477" t="s">
        <v>1120</v>
      </c>
      <c r="B202" s="473">
        <v>510</v>
      </c>
      <c r="C202" s="473">
        <v>-34</v>
      </c>
      <c r="D202" s="473">
        <v>-37</v>
      </c>
      <c r="E202" s="473">
        <v>29</v>
      </c>
      <c r="F202" s="473">
        <v>21</v>
      </c>
      <c r="G202" s="474">
        <v>34</v>
      </c>
      <c r="H202" s="474">
        <v>25</v>
      </c>
      <c r="I202" s="473">
        <v>6000</v>
      </c>
      <c r="J202" s="473">
        <v>5080</v>
      </c>
      <c r="K202" s="472">
        <f t="shared" si="3"/>
        <v>5500</v>
      </c>
      <c r="L202" s="472">
        <v>666</v>
      </c>
      <c r="M202" s="472">
        <v>666</v>
      </c>
      <c r="N202" s="472">
        <v>666</v>
      </c>
      <c r="O202" s="472">
        <v>666</v>
      </c>
      <c r="P202" s="473">
        <v>23</v>
      </c>
      <c r="Q202" s="474">
        <v>30</v>
      </c>
      <c r="R202" s="473">
        <v>97</v>
      </c>
      <c r="S202" s="474">
        <v>127</v>
      </c>
      <c r="T202" s="473">
        <v>350</v>
      </c>
      <c r="U202" s="474">
        <v>410</v>
      </c>
      <c r="V202" s="474">
        <v>0.5</v>
      </c>
      <c r="W202" s="473">
        <v>440</v>
      </c>
      <c r="X202" s="474">
        <v>490</v>
      </c>
      <c r="Y202" s="473">
        <v>140</v>
      </c>
      <c r="Z202" s="474"/>
      <c r="AA202" s="473">
        <v>1.9</v>
      </c>
      <c r="AB202" s="473">
        <v>0.1</v>
      </c>
      <c r="AC202" s="473">
        <v>2.7</v>
      </c>
      <c r="AD202" s="473">
        <v>0.1</v>
      </c>
      <c r="AE202" s="473">
        <v>0.32</v>
      </c>
      <c r="AF202" s="474">
        <v>0.34</v>
      </c>
      <c r="AG202" s="473">
        <v>0.4</v>
      </c>
      <c r="AH202" s="474">
        <v>0.42</v>
      </c>
      <c r="AI202" s="473">
        <v>0.61</v>
      </c>
      <c r="AJ202" s="473">
        <v>-11</v>
      </c>
      <c r="AK202" s="473">
        <v>4.5999999999999996</v>
      </c>
      <c r="AL202" s="525">
        <v>25</v>
      </c>
      <c r="AM202" s="525">
        <v>25</v>
      </c>
      <c r="AN202" s="701"/>
    </row>
    <row r="203" spans="1:40" s="480" customFormat="1" ht="25" customHeight="1" thickTop="1" thickBot="1">
      <c r="A203" s="478" t="s">
        <v>1121</v>
      </c>
      <c r="K203" s="483"/>
      <c r="L203" s="483"/>
      <c r="M203" s="483"/>
      <c r="N203" s="483"/>
      <c r="O203" s="483"/>
      <c r="AL203" s="526"/>
      <c r="AM203" s="526"/>
      <c r="AN203" s="702"/>
    </row>
    <row r="204" spans="1:40" s="471" customFormat="1" ht="25" customHeight="1" outlineLevel="1" thickTop="1">
      <c r="A204" s="475" t="s">
        <v>1122</v>
      </c>
      <c r="B204" s="471">
        <v>245</v>
      </c>
      <c r="C204" s="471">
        <v>-33</v>
      </c>
      <c r="D204" s="471">
        <v>-35</v>
      </c>
      <c r="E204" s="471">
        <v>29</v>
      </c>
      <c r="F204" s="471">
        <v>23</v>
      </c>
      <c r="G204" s="472">
        <v>33</v>
      </c>
      <c r="H204" s="472">
        <v>26</v>
      </c>
      <c r="I204" s="471">
        <v>5680</v>
      </c>
      <c r="J204" s="471">
        <v>4780</v>
      </c>
      <c r="K204" s="472">
        <f t="shared" si="3"/>
        <v>5180</v>
      </c>
      <c r="L204" s="472">
        <v>666</v>
      </c>
      <c r="M204" s="472">
        <v>666</v>
      </c>
      <c r="N204" s="472">
        <v>666</v>
      </c>
      <c r="O204" s="472">
        <v>666</v>
      </c>
      <c r="P204" s="471">
        <v>28</v>
      </c>
      <c r="Q204" s="472">
        <v>37</v>
      </c>
      <c r="R204" s="471">
        <v>103</v>
      </c>
      <c r="S204" s="472">
        <v>135</v>
      </c>
      <c r="T204" s="471">
        <v>430</v>
      </c>
      <c r="U204" s="472">
        <v>510</v>
      </c>
      <c r="V204" s="472">
        <v>0.6</v>
      </c>
      <c r="W204" s="471">
        <v>530</v>
      </c>
      <c r="X204" s="472">
        <v>590</v>
      </c>
      <c r="Y204" s="471">
        <v>180</v>
      </c>
      <c r="Z204" s="472">
        <v>200</v>
      </c>
      <c r="AA204" s="471">
        <v>2</v>
      </c>
      <c r="AB204" s="471">
        <v>0.2</v>
      </c>
      <c r="AC204" s="471">
        <v>2.9</v>
      </c>
      <c r="AD204" s="471">
        <v>0.3</v>
      </c>
      <c r="AE204" s="471">
        <v>0.32</v>
      </c>
      <c r="AF204" s="472">
        <v>0.34</v>
      </c>
      <c r="AG204" s="471">
        <v>0.41</v>
      </c>
      <c r="AH204" s="472">
        <v>0.43</v>
      </c>
      <c r="AI204" s="471">
        <v>0.64</v>
      </c>
      <c r="AJ204" s="471">
        <v>-12</v>
      </c>
      <c r="AK204" s="471">
        <v>3.3</v>
      </c>
      <c r="AL204" s="490">
        <v>26</v>
      </c>
      <c r="AM204" s="490">
        <v>26</v>
      </c>
      <c r="AN204" s="699"/>
    </row>
    <row r="205" spans="1:40" ht="25" customHeight="1" outlineLevel="1">
      <c r="A205" s="476" t="s">
        <v>1123</v>
      </c>
      <c r="B205" s="466">
        <v>510</v>
      </c>
      <c r="C205" s="466">
        <v>-32</v>
      </c>
      <c r="D205" s="466">
        <v>-34</v>
      </c>
      <c r="E205" s="466">
        <v>30</v>
      </c>
      <c r="F205" s="466">
        <v>23</v>
      </c>
      <c r="G205" s="468">
        <v>34</v>
      </c>
      <c r="H205" s="468">
        <v>26</v>
      </c>
      <c r="I205" s="466">
        <v>5500</v>
      </c>
      <c r="J205" s="466">
        <v>4610</v>
      </c>
      <c r="K205" s="472">
        <f t="shared" si="3"/>
        <v>5000</v>
      </c>
      <c r="L205" s="472">
        <v>666</v>
      </c>
      <c r="M205" s="472">
        <v>666</v>
      </c>
      <c r="N205" s="472">
        <v>666</v>
      </c>
      <c r="O205" s="472">
        <v>666</v>
      </c>
      <c r="P205" s="466">
        <v>28</v>
      </c>
      <c r="Q205" s="468">
        <v>37</v>
      </c>
      <c r="R205" s="466">
        <v>119</v>
      </c>
      <c r="S205" s="468">
        <v>155</v>
      </c>
      <c r="T205" s="466">
        <v>390</v>
      </c>
      <c r="U205" s="468">
        <v>460</v>
      </c>
      <c r="V205" s="468">
        <v>0.5</v>
      </c>
      <c r="W205" s="466">
        <v>510</v>
      </c>
      <c r="X205" s="468">
        <v>570</v>
      </c>
      <c r="Y205" s="466">
        <v>180</v>
      </c>
      <c r="Z205" s="468">
        <v>190</v>
      </c>
      <c r="AA205" s="466">
        <v>2.2000000000000002</v>
      </c>
      <c r="AB205" s="466">
        <v>0.2</v>
      </c>
      <c r="AC205" s="466">
        <v>3.2</v>
      </c>
      <c r="AD205" s="466">
        <v>0.3</v>
      </c>
      <c r="AE205" s="466">
        <v>0.41</v>
      </c>
      <c r="AF205" s="468">
        <v>0.43</v>
      </c>
      <c r="AG205" s="466">
        <v>0.52</v>
      </c>
      <c r="AH205" s="468">
        <v>0.55000000000000004</v>
      </c>
      <c r="AI205" s="466">
        <v>0.81</v>
      </c>
      <c r="AJ205" s="466">
        <v>-11</v>
      </c>
      <c r="AK205" s="466">
        <v>4.5</v>
      </c>
      <c r="AL205" s="524">
        <v>26</v>
      </c>
      <c r="AM205" s="524">
        <v>26</v>
      </c>
    </row>
    <row r="206" spans="1:40" ht="25" customHeight="1" outlineLevel="1">
      <c r="A206" s="476" t="s">
        <v>1124</v>
      </c>
      <c r="B206" s="466">
        <v>395</v>
      </c>
      <c r="C206" s="466">
        <v>-33</v>
      </c>
      <c r="D206" s="466">
        <v>-35</v>
      </c>
      <c r="E206" s="466">
        <v>30</v>
      </c>
      <c r="F206" s="466">
        <v>22</v>
      </c>
      <c r="G206" s="468">
        <v>35</v>
      </c>
      <c r="H206" s="468">
        <v>25</v>
      </c>
      <c r="I206" s="466">
        <v>5760</v>
      </c>
      <c r="J206" s="466">
        <v>4850</v>
      </c>
      <c r="K206" s="472">
        <f t="shared" si="3"/>
        <v>5260</v>
      </c>
      <c r="L206" s="472">
        <v>666</v>
      </c>
      <c r="M206" s="472">
        <v>666</v>
      </c>
      <c r="N206" s="472">
        <v>666</v>
      </c>
      <c r="O206" s="472">
        <v>666</v>
      </c>
      <c r="P206" s="466">
        <v>28</v>
      </c>
      <c r="Q206" s="468">
        <v>37</v>
      </c>
      <c r="R206" s="466">
        <v>108</v>
      </c>
      <c r="S206" s="468">
        <v>141</v>
      </c>
      <c r="T206" s="466">
        <v>375</v>
      </c>
      <c r="U206" s="468">
        <v>440</v>
      </c>
      <c r="V206" s="468">
        <v>0.6</v>
      </c>
      <c r="W206" s="466">
        <v>460</v>
      </c>
      <c r="X206" s="468">
        <v>520</v>
      </c>
      <c r="Y206" s="466">
        <v>180</v>
      </c>
      <c r="Z206" s="468">
        <v>200</v>
      </c>
      <c r="AA206" s="466">
        <v>2.1</v>
      </c>
      <c r="AB206" s="466">
        <v>0.2</v>
      </c>
      <c r="AC206" s="466">
        <v>3</v>
      </c>
      <c r="AD206" s="466">
        <v>0.3</v>
      </c>
      <c r="AE206" s="466">
        <v>0.39</v>
      </c>
      <c r="AF206" s="468">
        <v>0.41</v>
      </c>
      <c r="AG206" s="466">
        <v>0.49</v>
      </c>
      <c r="AH206" s="468">
        <v>0.51</v>
      </c>
      <c r="AI206" s="466">
        <v>0.75</v>
      </c>
      <c r="AJ206" s="466">
        <v>-11</v>
      </c>
      <c r="AK206" s="466">
        <v>4.7</v>
      </c>
      <c r="AL206" s="524">
        <v>25</v>
      </c>
      <c r="AM206" s="524">
        <v>25</v>
      </c>
    </row>
    <row r="207" spans="1:40" ht="25" customHeight="1" outlineLevel="1">
      <c r="A207" s="476" t="s">
        <v>1125</v>
      </c>
      <c r="B207" s="466">
        <v>10</v>
      </c>
      <c r="C207" s="466">
        <v>-38</v>
      </c>
      <c r="D207" s="466">
        <v>-40</v>
      </c>
      <c r="E207" s="466">
        <v>25</v>
      </c>
      <c r="F207" s="466">
        <v>18</v>
      </c>
      <c r="G207" s="468">
        <v>29</v>
      </c>
      <c r="H207" s="468">
        <v>22</v>
      </c>
      <c r="I207" s="466">
        <v>8950</v>
      </c>
      <c r="J207" s="466">
        <v>7890</v>
      </c>
      <c r="K207" s="472">
        <f t="shared" si="3"/>
        <v>8450</v>
      </c>
      <c r="L207" s="472">
        <v>666</v>
      </c>
      <c r="M207" s="472">
        <v>666</v>
      </c>
      <c r="N207" s="472">
        <v>666</v>
      </c>
      <c r="O207" s="472">
        <v>666</v>
      </c>
      <c r="P207" s="466">
        <v>12</v>
      </c>
      <c r="Q207" s="468">
        <v>17</v>
      </c>
      <c r="R207" s="466">
        <v>76</v>
      </c>
      <c r="S207" s="468">
        <v>106</v>
      </c>
      <c r="T207" s="466">
        <v>265</v>
      </c>
      <c r="U207" s="468">
        <v>330</v>
      </c>
      <c r="V207" s="468">
        <v>0.8</v>
      </c>
      <c r="W207" s="466">
        <v>410</v>
      </c>
      <c r="X207" s="468">
        <v>470</v>
      </c>
      <c r="Y207" s="466">
        <v>260</v>
      </c>
      <c r="Z207" s="468">
        <v>280</v>
      </c>
      <c r="AA207" s="466">
        <v>3</v>
      </c>
      <c r="AB207" s="466">
        <v>0.2</v>
      </c>
      <c r="AC207" s="466">
        <v>4.3</v>
      </c>
      <c r="AD207" s="466">
        <v>0.3</v>
      </c>
      <c r="AE207" s="466">
        <v>0.43</v>
      </c>
      <c r="AF207" s="468">
        <v>0.45</v>
      </c>
      <c r="AG207" s="466">
        <v>0.55000000000000004</v>
      </c>
      <c r="AH207" s="468">
        <v>0.57999999999999996</v>
      </c>
      <c r="AI207" s="466">
        <v>0.82</v>
      </c>
      <c r="AJ207" s="466">
        <v>-16</v>
      </c>
      <c r="AK207" s="466">
        <v>5.9</v>
      </c>
      <c r="AL207" s="524">
        <v>22</v>
      </c>
      <c r="AM207" s="524">
        <v>22</v>
      </c>
    </row>
    <row r="208" spans="1:40" ht="25" customHeight="1" outlineLevel="1">
      <c r="A208" s="476" t="s">
        <v>1126</v>
      </c>
      <c r="B208" s="466">
        <v>295</v>
      </c>
      <c r="C208" s="466">
        <v>-33</v>
      </c>
      <c r="D208" s="466">
        <v>-35</v>
      </c>
      <c r="E208" s="466">
        <v>30</v>
      </c>
      <c r="F208" s="466">
        <v>22</v>
      </c>
      <c r="G208" s="468">
        <v>35</v>
      </c>
      <c r="H208" s="468">
        <v>26</v>
      </c>
      <c r="I208" s="466">
        <v>5900</v>
      </c>
      <c r="J208" s="466">
        <v>4990</v>
      </c>
      <c r="K208" s="472">
        <f t="shared" si="3"/>
        <v>5400</v>
      </c>
      <c r="L208" s="472">
        <v>666</v>
      </c>
      <c r="M208" s="472">
        <v>666</v>
      </c>
      <c r="N208" s="472">
        <v>666</v>
      </c>
      <c r="O208" s="472">
        <v>666</v>
      </c>
      <c r="P208" s="466">
        <v>28</v>
      </c>
      <c r="Q208" s="468">
        <v>36</v>
      </c>
      <c r="R208" s="466">
        <v>103</v>
      </c>
      <c r="S208" s="468">
        <v>133</v>
      </c>
      <c r="T208" s="466">
        <v>400</v>
      </c>
      <c r="U208" s="468">
        <v>480</v>
      </c>
      <c r="V208" s="468">
        <v>0.6</v>
      </c>
      <c r="W208" s="466">
        <v>490</v>
      </c>
      <c r="X208" s="468">
        <v>550</v>
      </c>
      <c r="Y208" s="466">
        <v>160</v>
      </c>
      <c r="Z208" s="468">
        <v>170</v>
      </c>
      <c r="AA208" s="466">
        <v>1.9</v>
      </c>
      <c r="AB208" s="466">
        <v>0.2</v>
      </c>
      <c r="AC208" s="466">
        <v>2.8</v>
      </c>
      <c r="AD208" s="466">
        <v>0.3</v>
      </c>
      <c r="AE208" s="466">
        <v>0.32</v>
      </c>
      <c r="AF208" s="468">
        <v>0.34</v>
      </c>
      <c r="AG208" s="466">
        <v>0.4</v>
      </c>
      <c r="AH208" s="468">
        <v>0.42</v>
      </c>
      <c r="AI208" s="466">
        <v>0.61</v>
      </c>
      <c r="AJ208" s="466">
        <v>-11</v>
      </c>
      <c r="AK208" s="466">
        <v>4</v>
      </c>
      <c r="AL208" s="524">
        <v>26</v>
      </c>
      <c r="AM208" s="524">
        <v>26</v>
      </c>
    </row>
    <row r="209" spans="1:39" ht="25" customHeight="1" outlineLevel="1">
      <c r="A209" s="476" t="s">
        <v>1127</v>
      </c>
      <c r="B209" s="466">
        <v>300</v>
      </c>
      <c r="C209" s="466">
        <v>-38</v>
      </c>
      <c r="D209" s="466">
        <v>-40</v>
      </c>
      <c r="E209" s="466">
        <v>27</v>
      </c>
      <c r="F209" s="466">
        <v>20</v>
      </c>
      <c r="G209" s="468">
        <v>32</v>
      </c>
      <c r="H209" s="468">
        <v>24</v>
      </c>
      <c r="I209" s="466">
        <v>6440</v>
      </c>
      <c r="J209" s="466">
        <v>5500</v>
      </c>
      <c r="K209" s="472">
        <f t="shared" si="3"/>
        <v>5940</v>
      </c>
      <c r="L209" s="472">
        <v>666</v>
      </c>
      <c r="M209" s="472">
        <v>666</v>
      </c>
      <c r="N209" s="472">
        <v>666</v>
      </c>
      <c r="O209" s="472">
        <v>666</v>
      </c>
      <c r="P209" s="466">
        <v>18</v>
      </c>
      <c r="Q209" s="468">
        <v>23</v>
      </c>
      <c r="R209" s="466">
        <v>81</v>
      </c>
      <c r="S209" s="468">
        <v>106</v>
      </c>
      <c r="T209" s="466">
        <v>340</v>
      </c>
      <c r="U209" s="468">
        <v>400</v>
      </c>
      <c r="V209" s="468">
        <v>0.6</v>
      </c>
      <c r="W209" s="466">
        <v>475</v>
      </c>
      <c r="X209" s="468">
        <v>530</v>
      </c>
      <c r="Y209" s="466">
        <v>80</v>
      </c>
      <c r="AA209" s="466">
        <v>2.2000000000000002</v>
      </c>
      <c r="AB209" s="466">
        <v>0.2</v>
      </c>
      <c r="AC209" s="466">
        <v>3</v>
      </c>
      <c r="AD209" s="466">
        <v>0.3</v>
      </c>
      <c r="AE209" s="466">
        <v>0.28000000000000003</v>
      </c>
      <c r="AF209" s="468">
        <v>0.28999999999999998</v>
      </c>
      <c r="AG209" s="466">
        <v>0.35</v>
      </c>
      <c r="AH209" s="468">
        <v>0.37</v>
      </c>
      <c r="AI209" s="466">
        <v>0.53</v>
      </c>
      <c r="AJ209" s="466">
        <v>-14</v>
      </c>
      <c r="AK209" s="466">
        <v>3</v>
      </c>
      <c r="AL209" s="524">
        <v>24</v>
      </c>
      <c r="AM209" s="524">
        <v>24</v>
      </c>
    </row>
    <row r="210" spans="1:39" ht="25" customHeight="1" outlineLevel="1">
      <c r="A210" s="476" t="s">
        <v>1128</v>
      </c>
      <c r="B210" s="466">
        <v>220</v>
      </c>
      <c r="C210" s="466">
        <v>-34</v>
      </c>
      <c r="D210" s="466">
        <v>-36</v>
      </c>
      <c r="E210" s="466">
        <v>29</v>
      </c>
      <c r="F210" s="466">
        <v>23</v>
      </c>
      <c r="G210" s="468">
        <v>33</v>
      </c>
      <c r="H210" s="468">
        <v>26</v>
      </c>
      <c r="I210" s="466">
        <v>5800</v>
      </c>
      <c r="J210" s="466">
        <v>4890</v>
      </c>
      <c r="K210" s="472">
        <f t="shared" si="3"/>
        <v>5300</v>
      </c>
      <c r="L210" s="472">
        <v>666</v>
      </c>
      <c r="M210" s="472">
        <v>666</v>
      </c>
      <c r="N210" s="472">
        <v>666</v>
      </c>
      <c r="O210" s="472">
        <v>666</v>
      </c>
      <c r="P210" s="466">
        <v>28</v>
      </c>
      <c r="Q210" s="468">
        <v>37</v>
      </c>
      <c r="R210" s="466">
        <v>108</v>
      </c>
      <c r="S210" s="468">
        <v>141</v>
      </c>
      <c r="T210" s="466">
        <v>410</v>
      </c>
      <c r="U210" s="468">
        <v>490</v>
      </c>
      <c r="V210" s="468">
        <v>0.7</v>
      </c>
      <c r="W210" s="466">
        <v>530</v>
      </c>
      <c r="X210" s="468">
        <v>600</v>
      </c>
      <c r="Y210" s="466">
        <v>180</v>
      </c>
      <c r="Z210" s="468">
        <v>190</v>
      </c>
      <c r="AA210" s="466">
        <v>1.9</v>
      </c>
      <c r="AB210" s="466">
        <v>0.2</v>
      </c>
      <c r="AC210" s="466">
        <v>2.7</v>
      </c>
      <c r="AD210" s="466">
        <v>0.3</v>
      </c>
      <c r="AE210" s="466">
        <v>0.32</v>
      </c>
      <c r="AF210" s="468">
        <v>0.34</v>
      </c>
      <c r="AG210" s="466">
        <v>0.4</v>
      </c>
      <c r="AH210" s="468">
        <v>0.42</v>
      </c>
      <c r="AI210" s="466">
        <v>0.61</v>
      </c>
      <c r="AJ210" s="466">
        <v>-12</v>
      </c>
      <c r="AK210" s="466">
        <v>4.0999999999999996</v>
      </c>
      <c r="AL210" s="524">
        <v>26</v>
      </c>
      <c r="AM210" s="524">
        <v>26</v>
      </c>
    </row>
    <row r="211" spans="1:39" ht="25" customHeight="1" outlineLevel="1">
      <c r="A211" s="476" t="s">
        <v>1129</v>
      </c>
      <c r="B211" s="466">
        <v>240</v>
      </c>
      <c r="C211" s="466">
        <v>-36</v>
      </c>
      <c r="D211" s="466">
        <v>-38</v>
      </c>
      <c r="E211" s="466">
        <v>27</v>
      </c>
      <c r="F211" s="466">
        <v>20</v>
      </c>
      <c r="G211" s="468">
        <v>31</v>
      </c>
      <c r="H211" s="468">
        <v>23</v>
      </c>
      <c r="I211" s="466">
        <v>6900</v>
      </c>
      <c r="J211" s="466">
        <v>5940</v>
      </c>
      <c r="K211" s="472">
        <f t="shared" si="3"/>
        <v>6400</v>
      </c>
      <c r="L211" s="472">
        <v>666</v>
      </c>
      <c r="M211" s="472">
        <v>666</v>
      </c>
      <c r="N211" s="472">
        <v>666</v>
      </c>
      <c r="O211" s="472">
        <v>666</v>
      </c>
      <c r="P211" s="466">
        <v>18</v>
      </c>
      <c r="Q211" s="468">
        <v>24</v>
      </c>
      <c r="R211" s="466">
        <v>86</v>
      </c>
      <c r="S211" s="468">
        <v>114</v>
      </c>
      <c r="T211" s="466">
        <v>380</v>
      </c>
      <c r="U211" s="468">
        <v>460</v>
      </c>
      <c r="V211" s="468">
        <v>0.7</v>
      </c>
      <c r="W211" s="466">
        <v>550</v>
      </c>
      <c r="X211" s="468">
        <v>620</v>
      </c>
      <c r="Y211" s="466">
        <v>80</v>
      </c>
      <c r="AA211" s="466">
        <v>2.6</v>
      </c>
      <c r="AB211" s="466">
        <v>0.2</v>
      </c>
      <c r="AC211" s="466">
        <v>3.6</v>
      </c>
      <c r="AD211" s="466">
        <v>0.3</v>
      </c>
      <c r="AE211" s="466">
        <v>0.28999999999999998</v>
      </c>
      <c r="AF211" s="468">
        <v>0.3</v>
      </c>
      <c r="AG211" s="466">
        <v>0.37</v>
      </c>
      <c r="AH211" s="468">
        <v>0.39</v>
      </c>
      <c r="AI211" s="466">
        <v>0.57999999999999996</v>
      </c>
      <c r="AJ211" s="466">
        <v>-14</v>
      </c>
      <c r="AK211" s="466">
        <v>3.3</v>
      </c>
      <c r="AL211" s="524">
        <v>23</v>
      </c>
      <c r="AM211" s="524">
        <v>23</v>
      </c>
    </row>
    <row r="212" spans="1:39" ht="25" customHeight="1" outlineLevel="1">
      <c r="A212" s="476" t="s">
        <v>1130</v>
      </c>
      <c r="B212" s="466">
        <v>260</v>
      </c>
      <c r="C212" s="466">
        <v>-34</v>
      </c>
      <c r="D212" s="466">
        <v>-36</v>
      </c>
      <c r="E212" s="466">
        <v>29</v>
      </c>
      <c r="F212" s="466">
        <v>23</v>
      </c>
      <c r="G212" s="468">
        <v>33</v>
      </c>
      <c r="H212" s="468">
        <v>26</v>
      </c>
      <c r="I212" s="466">
        <v>5730</v>
      </c>
      <c r="J212" s="466">
        <v>4830</v>
      </c>
      <c r="K212" s="472">
        <f t="shared" si="3"/>
        <v>5230</v>
      </c>
      <c r="L212" s="472">
        <v>666</v>
      </c>
      <c r="M212" s="472">
        <v>666</v>
      </c>
      <c r="N212" s="472">
        <v>666</v>
      </c>
      <c r="O212" s="472">
        <v>666</v>
      </c>
      <c r="P212" s="466">
        <v>28</v>
      </c>
      <c r="Q212" s="468">
        <v>37</v>
      </c>
      <c r="R212" s="466">
        <v>103</v>
      </c>
      <c r="S212" s="468">
        <v>134</v>
      </c>
      <c r="T212" s="466">
        <v>445</v>
      </c>
      <c r="U212" s="468">
        <v>530</v>
      </c>
      <c r="V212" s="468">
        <v>0.7</v>
      </c>
      <c r="W212" s="466">
        <v>560</v>
      </c>
      <c r="X212" s="468">
        <v>630</v>
      </c>
      <c r="Y212" s="466">
        <v>180</v>
      </c>
      <c r="Z212" s="468">
        <v>190</v>
      </c>
      <c r="AA212" s="466">
        <v>1.9</v>
      </c>
      <c r="AB212" s="466">
        <v>0.2</v>
      </c>
      <c r="AC212" s="466">
        <v>2.7</v>
      </c>
      <c r="AD212" s="466">
        <v>0.3</v>
      </c>
      <c r="AE212" s="466">
        <v>0.28999999999999998</v>
      </c>
      <c r="AF212" s="468">
        <v>0.3</v>
      </c>
      <c r="AG212" s="466">
        <v>0.37</v>
      </c>
      <c r="AH212" s="468">
        <v>0.39</v>
      </c>
      <c r="AI212" s="466">
        <v>0.57999999999999996</v>
      </c>
      <c r="AJ212" s="466">
        <v>-12</v>
      </c>
      <c r="AK212" s="466">
        <v>2.8</v>
      </c>
      <c r="AL212" s="524">
        <v>26</v>
      </c>
      <c r="AM212" s="524">
        <v>26</v>
      </c>
    </row>
    <row r="213" spans="1:39" ht="25" customHeight="1" outlineLevel="1">
      <c r="A213" s="476" t="s">
        <v>1131</v>
      </c>
      <c r="B213" s="466">
        <v>350</v>
      </c>
      <c r="C213" s="466">
        <v>-40</v>
      </c>
      <c r="D213" s="466">
        <v>-42</v>
      </c>
      <c r="E213" s="466">
        <v>27</v>
      </c>
      <c r="F213" s="466">
        <v>19</v>
      </c>
      <c r="G213" s="468">
        <v>31</v>
      </c>
      <c r="H213" s="468">
        <v>23</v>
      </c>
      <c r="I213" s="466">
        <v>7770</v>
      </c>
      <c r="J213" s="466">
        <v>6770</v>
      </c>
      <c r="K213" s="472">
        <f t="shared" si="3"/>
        <v>7270</v>
      </c>
      <c r="L213" s="472">
        <v>666</v>
      </c>
      <c r="M213" s="472">
        <v>666</v>
      </c>
      <c r="N213" s="472">
        <v>666</v>
      </c>
      <c r="O213" s="472">
        <v>666</v>
      </c>
      <c r="P213" s="466">
        <v>18</v>
      </c>
      <c r="Q213" s="468">
        <v>24</v>
      </c>
      <c r="R213" s="466">
        <v>86</v>
      </c>
      <c r="S213" s="468">
        <v>113</v>
      </c>
      <c r="T213" s="466">
        <v>310</v>
      </c>
      <c r="U213" s="468">
        <v>370</v>
      </c>
      <c r="V213" s="468">
        <v>0.6</v>
      </c>
      <c r="W213" s="466">
        <v>490</v>
      </c>
      <c r="X213" s="468">
        <v>550</v>
      </c>
      <c r="Y213" s="466">
        <v>100</v>
      </c>
      <c r="AA213" s="466">
        <v>2.4</v>
      </c>
      <c r="AB213" s="466">
        <v>0.2</v>
      </c>
      <c r="AC213" s="466">
        <v>3.4</v>
      </c>
      <c r="AD213" s="466">
        <v>0.3</v>
      </c>
      <c r="AE213" s="466">
        <v>0.28999999999999998</v>
      </c>
      <c r="AF213" s="468">
        <v>0.3</v>
      </c>
      <c r="AG213" s="466">
        <v>0.37</v>
      </c>
      <c r="AH213" s="468">
        <v>0.39</v>
      </c>
      <c r="AI213" s="466">
        <v>0.55000000000000004</v>
      </c>
      <c r="AJ213" s="466">
        <v>-15</v>
      </c>
      <c r="AK213" s="466">
        <v>2</v>
      </c>
      <c r="AL213" s="524">
        <v>23</v>
      </c>
      <c r="AM213" s="524">
        <v>23</v>
      </c>
    </row>
    <row r="214" spans="1:39" ht="25" customHeight="1" outlineLevel="1">
      <c r="A214" s="476" t="s">
        <v>1132</v>
      </c>
      <c r="B214" s="466">
        <v>300</v>
      </c>
      <c r="C214" s="466">
        <v>-31</v>
      </c>
      <c r="D214" s="466">
        <v>-33</v>
      </c>
      <c r="E214" s="466">
        <v>30</v>
      </c>
      <c r="F214" s="466">
        <v>24</v>
      </c>
      <c r="G214" s="468">
        <v>34</v>
      </c>
      <c r="H214" s="468">
        <v>27</v>
      </c>
      <c r="I214" s="466">
        <v>5400</v>
      </c>
      <c r="J214" s="466">
        <v>4510</v>
      </c>
      <c r="K214" s="472">
        <f t="shared" si="3"/>
        <v>4900</v>
      </c>
      <c r="L214" s="472">
        <v>666</v>
      </c>
      <c r="M214" s="472">
        <v>666</v>
      </c>
      <c r="N214" s="472">
        <v>666</v>
      </c>
      <c r="O214" s="472">
        <v>666</v>
      </c>
      <c r="P214" s="466">
        <v>28</v>
      </c>
      <c r="Q214" s="468">
        <v>37</v>
      </c>
      <c r="R214" s="466">
        <v>119</v>
      </c>
      <c r="S214" s="468">
        <v>156</v>
      </c>
      <c r="T214" s="466">
        <v>420</v>
      </c>
      <c r="U214" s="468">
        <v>500</v>
      </c>
      <c r="V214" s="468">
        <v>0.6</v>
      </c>
      <c r="W214" s="466">
        <v>520</v>
      </c>
      <c r="X214" s="468">
        <v>580</v>
      </c>
      <c r="Y214" s="466">
        <v>180</v>
      </c>
      <c r="Z214" s="468">
        <v>200</v>
      </c>
      <c r="AA214" s="466">
        <v>2.2000000000000002</v>
      </c>
      <c r="AB214" s="466">
        <v>0.2</v>
      </c>
      <c r="AC214" s="466">
        <v>3.3</v>
      </c>
      <c r="AD214" s="466">
        <v>0.3</v>
      </c>
      <c r="AE214" s="466">
        <v>0.41</v>
      </c>
      <c r="AF214" s="468">
        <v>0.43</v>
      </c>
      <c r="AG214" s="466">
        <v>0.52</v>
      </c>
      <c r="AH214" s="468">
        <v>0.55000000000000004</v>
      </c>
      <c r="AI214" s="466">
        <v>0.81</v>
      </c>
      <c r="AJ214" s="466">
        <v>-10</v>
      </c>
      <c r="AK214" s="466">
        <v>3.7</v>
      </c>
      <c r="AL214" s="524">
        <v>27</v>
      </c>
      <c r="AM214" s="524">
        <v>27</v>
      </c>
    </row>
    <row r="215" spans="1:39" ht="25" customHeight="1" outlineLevel="1">
      <c r="A215" s="476" t="s">
        <v>1133</v>
      </c>
      <c r="B215" s="466">
        <v>365</v>
      </c>
      <c r="C215" s="466">
        <v>-32</v>
      </c>
      <c r="D215" s="466">
        <v>-34</v>
      </c>
      <c r="E215" s="466">
        <v>29</v>
      </c>
      <c r="F215" s="466">
        <v>23</v>
      </c>
      <c r="G215" s="468">
        <v>34</v>
      </c>
      <c r="H215" s="468">
        <v>26</v>
      </c>
      <c r="I215" s="466">
        <v>5760</v>
      </c>
      <c r="J215" s="466">
        <v>4850</v>
      </c>
      <c r="K215" s="472">
        <f t="shared" si="3"/>
        <v>5260</v>
      </c>
      <c r="L215" s="472">
        <v>666</v>
      </c>
      <c r="M215" s="472">
        <v>666</v>
      </c>
      <c r="N215" s="472">
        <v>666</v>
      </c>
      <c r="O215" s="472">
        <v>666</v>
      </c>
      <c r="P215" s="466">
        <v>28</v>
      </c>
      <c r="Q215" s="468">
        <v>36</v>
      </c>
      <c r="R215" s="466">
        <v>108</v>
      </c>
      <c r="S215" s="468">
        <v>141</v>
      </c>
      <c r="T215" s="466">
        <v>410</v>
      </c>
      <c r="U215" s="468">
        <v>490</v>
      </c>
      <c r="V215" s="468">
        <v>0.6</v>
      </c>
      <c r="W215" s="466">
        <v>470</v>
      </c>
      <c r="X215" s="468">
        <v>530</v>
      </c>
      <c r="Y215" s="466">
        <v>180</v>
      </c>
      <c r="Z215" s="468">
        <v>200</v>
      </c>
      <c r="AA215" s="466">
        <v>2.2000000000000002</v>
      </c>
      <c r="AB215" s="466">
        <v>0.2</v>
      </c>
      <c r="AC215" s="466">
        <v>3.3</v>
      </c>
      <c r="AD215" s="466">
        <v>0.3</v>
      </c>
      <c r="AE215" s="466">
        <v>0.35</v>
      </c>
      <c r="AF215" s="468">
        <v>0.37</v>
      </c>
      <c r="AG215" s="466">
        <v>0.44</v>
      </c>
      <c r="AH215" s="468">
        <v>0.46</v>
      </c>
      <c r="AI215" s="466">
        <v>0.67</v>
      </c>
      <c r="AJ215" s="466">
        <v>-11</v>
      </c>
      <c r="AK215" s="466">
        <v>4</v>
      </c>
      <c r="AL215" s="524">
        <v>26</v>
      </c>
      <c r="AM215" s="524">
        <v>26</v>
      </c>
    </row>
    <row r="216" spans="1:39" ht="25" customHeight="1" outlineLevel="1">
      <c r="A216" s="476" t="s">
        <v>1134</v>
      </c>
      <c r="B216" s="466">
        <v>220</v>
      </c>
      <c r="C216" s="466">
        <v>-34</v>
      </c>
      <c r="D216" s="466">
        <v>-36</v>
      </c>
      <c r="E216" s="466">
        <v>28</v>
      </c>
      <c r="F216" s="466">
        <v>23</v>
      </c>
      <c r="G216" s="468">
        <v>32</v>
      </c>
      <c r="H216" s="468">
        <v>26</v>
      </c>
      <c r="I216" s="466">
        <v>5900</v>
      </c>
      <c r="J216" s="466">
        <v>4990</v>
      </c>
      <c r="K216" s="472">
        <f t="shared" si="3"/>
        <v>5400</v>
      </c>
      <c r="L216" s="472">
        <v>666</v>
      </c>
      <c r="M216" s="472">
        <v>666</v>
      </c>
      <c r="N216" s="472">
        <v>666</v>
      </c>
      <c r="O216" s="472">
        <v>666</v>
      </c>
      <c r="P216" s="466">
        <v>25</v>
      </c>
      <c r="Q216" s="468">
        <v>33</v>
      </c>
      <c r="R216" s="466">
        <v>97</v>
      </c>
      <c r="S216" s="468">
        <v>126</v>
      </c>
      <c r="T216" s="466">
        <v>440</v>
      </c>
      <c r="U216" s="468">
        <v>520</v>
      </c>
      <c r="V216" s="468">
        <v>0.7</v>
      </c>
      <c r="W216" s="466">
        <v>420</v>
      </c>
      <c r="X216" s="468">
        <v>470</v>
      </c>
      <c r="Y216" s="466">
        <v>180</v>
      </c>
      <c r="Z216" s="468">
        <v>190</v>
      </c>
      <c r="AA216" s="466">
        <v>1.9</v>
      </c>
      <c r="AB216" s="466">
        <v>0.2</v>
      </c>
      <c r="AC216" s="466">
        <v>2.7</v>
      </c>
      <c r="AD216" s="466">
        <v>0.3</v>
      </c>
      <c r="AE216" s="466">
        <v>0.31</v>
      </c>
      <c r="AF216" s="468">
        <v>0.33</v>
      </c>
      <c r="AG216" s="466">
        <v>0.39</v>
      </c>
      <c r="AH216" s="468">
        <v>0.41</v>
      </c>
      <c r="AI216" s="466">
        <v>0.6</v>
      </c>
      <c r="AJ216" s="466">
        <v>-12</v>
      </c>
      <c r="AK216" s="466">
        <v>4</v>
      </c>
      <c r="AL216" s="524">
        <v>26</v>
      </c>
      <c r="AM216" s="524">
        <v>26</v>
      </c>
    </row>
    <row r="217" spans="1:39" ht="25" customHeight="1" outlineLevel="1">
      <c r="A217" s="476" t="s">
        <v>1135</v>
      </c>
      <c r="B217" s="466">
        <v>260</v>
      </c>
      <c r="C217" s="466">
        <v>-31</v>
      </c>
      <c r="D217" s="466">
        <v>-33</v>
      </c>
      <c r="E217" s="466">
        <v>30</v>
      </c>
      <c r="F217" s="466">
        <v>23</v>
      </c>
      <c r="G217" s="468">
        <v>34</v>
      </c>
      <c r="H217" s="468">
        <v>26</v>
      </c>
      <c r="I217" s="466">
        <v>5600</v>
      </c>
      <c r="J217" s="466">
        <v>4700</v>
      </c>
      <c r="K217" s="472">
        <f t="shared" si="3"/>
        <v>5100</v>
      </c>
      <c r="L217" s="472">
        <v>666</v>
      </c>
      <c r="M217" s="472">
        <v>666</v>
      </c>
      <c r="N217" s="472">
        <v>666</v>
      </c>
      <c r="O217" s="472">
        <v>666</v>
      </c>
      <c r="P217" s="466">
        <v>28</v>
      </c>
      <c r="Q217" s="468">
        <v>37</v>
      </c>
      <c r="R217" s="466">
        <v>108</v>
      </c>
      <c r="S217" s="468">
        <v>142</v>
      </c>
      <c r="T217" s="466">
        <v>390</v>
      </c>
      <c r="U217" s="468">
        <v>460</v>
      </c>
      <c r="V217" s="468">
        <v>0.5</v>
      </c>
      <c r="W217" s="466">
        <v>525</v>
      </c>
      <c r="X217" s="468">
        <v>590</v>
      </c>
      <c r="Y217" s="466">
        <v>180</v>
      </c>
      <c r="Z217" s="468">
        <v>200</v>
      </c>
      <c r="AA217" s="466">
        <v>2.1</v>
      </c>
      <c r="AB217" s="466">
        <v>0.2</v>
      </c>
      <c r="AC217" s="466">
        <v>3.1</v>
      </c>
      <c r="AD217" s="466">
        <v>0.3</v>
      </c>
      <c r="AE217" s="466">
        <v>0.36</v>
      </c>
      <c r="AF217" s="468">
        <v>0.38</v>
      </c>
      <c r="AG217" s="466">
        <v>0.46</v>
      </c>
      <c r="AH217" s="468">
        <v>0.48</v>
      </c>
      <c r="AI217" s="466">
        <v>0.72</v>
      </c>
      <c r="AJ217" s="466">
        <v>-11</v>
      </c>
      <c r="AK217" s="466">
        <v>4</v>
      </c>
      <c r="AL217" s="524">
        <v>26</v>
      </c>
      <c r="AM217" s="524">
        <v>26</v>
      </c>
    </row>
    <row r="218" spans="1:39" ht="25" customHeight="1" outlineLevel="1">
      <c r="A218" s="476" t="s">
        <v>1136</v>
      </c>
      <c r="B218" s="466">
        <v>465</v>
      </c>
      <c r="C218" s="466">
        <v>-34</v>
      </c>
      <c r="D218" s="466">
        <v>-36</v>
      </c>
      <c r="E218" s="466">
        <v>29</v>
      </c>
      <c r="F218" s="466">
        <v>23</v>
      </c>
      <c r="G218" s="468">
        <v>33</v>
      </c>
      <c r="H218" s="468">
        <v>26</v>
      </c>
      <c r="I218" s="466">
        <v>5840</v>
      </c>
      <c r="J218" s="466">
        <v>4930</v>
      </c>
      <c r="K218" s="472">
        <f t="shared" si="3"/>
        <v>5340</v>
      </c>
      <c r="L218" s="472">
        <v>666</v>
      </c>
      <c r="M218" s="472">
        <v>666</v>
      </c>
      <c r="N218" s="472">
        <v>666</v>
      </c>
      <c r="O218" s="472">
        <v>666</v>
      </c>
      <c r="P218" s="466">
        <v>28</v>
      </c>
      <c r="Q218" s="468">
        <v>37</v>
      </c>
      <c r="R218" s="466">
        <v>108</v>
      </c>
      <c r="S218" s="468">
        <v>141</v>
      </c>
      <c r="T218" s="466">
        <v>370</v>
      </c>
      <c r="U218" s="468">
        <v>440</v>
      </c>
      <c r="V218" s="468">
        <v>0.6</v>
      </c>
      <c r="W218" s="466">
        <v>460</v>
      </c>
      <c r="X218" s="468">
        <v>520</v>
      </c>
      <c r="Y218" s="466">
        <v>180</v>
      </c>
      <c r="Z218" s="468">
        <v>200</v>
      </c>
      <c r="AA218" s="466">
        <v>2.1</v>
      </c>
      <c r="AB218" s="466">
        <v>0.2</v>
      </c>
      <c r="AC218" s="466">
        <v>3</v>
      </c>
      <c r="AD218" s="466">
        <v>0.3</v>
      </c>
      <c r="AE218" s="466">
        <v>0.36</v>
      </c>
      <c r="AF218" s="468">
        <v>0.38</v>
      </c>
      <c r="AG218" s="466">
        <v>0.46</v>
      </c>
      <c r="AH218" s="468">
        <v>0.48</v>
      </c>
      <c r="AI218" s="466">
        <v>0.72</v>
      </c>
      <c r="AJ218" s="466">
        <v>-12</v>
      </c>
      <c r="AK218" s="466">
        <v>4.4000000000000004</v>
      </c>
      <c r="AL218" s="524">
        <v>26</v>
      </c>
      <c r="AM218" s="524">
        <v>26</v>
      </c>
    </row>
    <row r="219" spans="1:39" ht="25" customHeight="1" outlineLevel="1">
      <c r="A219" s="476" t="s">
        <v>1137</v>
      </c>
      <c r="B219" s="466">
        <v>365</v>
      </c>
      <c r="C219" s="466">
        <v>-32</v>
      </c>
      <c r="D219" s="466">
        <v>-34</v>
      </c>
      <c r="E219" s="466">
        <v>29</v>
      </c>
      <c r="F219" s="466">
        <v>23</v>
      </c>
      <c r="G219" s="468">
        <v>33</v>
      </c>
      <c r="H219" s="468">
        <v>26</v>
      </c>
      <c r="I219" s="466">
        <v>5650</v>
      </c>
      <c r="J219" s="466">
        <v>4750</v>
      </c>
      <c r="K219" s="472">
        <f t="shared" si="3"/>
        <v>5150</v>
      </c>
      <c r="L219" s="472">
        <v>666</v>
      </c>
      <c r="M219" s="472">
        <v>666</v>
      </c>
      <c r="N219" s="472">
        <v>666</v>
      </c>
      <c r="O219" s="472">
        <v>666</v>
      </c>
      <c r="P219" s="466">
        <v>28</v>
      </c>
      <c r="Q219" s="468">
        <v>36</v>
      </c>
      <c r="R219" s="466">
        <v>113</v>
      </c>
      <c r="S219" s="468">
        <v>147</v>
      </c>
      <c r="T219" s="466">
        <v>460</v>
      </c>
      <c r="U219" s="468">
        <v>540</v>
      </c>
      <c r="V219" s="468">
        <v>0.6</v>
      </c>
      <c r="W219" s="466">
        <v>550</v>
      </c>
      <c r="X219" s="468">
        <v>610</v>
      </c>
      <c r="Y219" s="466">
        <v>180</v>
      </c>
      <c r="Z219" s="468">
        <v>190</v>
      </c>
      <c r="AA219" s="466">
        <v>2.2000000000000002</v>
      </c>
      <c r="AB219" s="466">
        <v>0.2</v>
      </c>
      <c r="AC219" s="466">
        <v>3.2</v>
      </c>
      <c r="AD219" s="466">
        <v>0.3</v>
      </c>
      <c r="AE219" s="466">
        <v>0.32</v>
      </c>
      <c r="AF219" s="468">
        <v>0.34</v>
      </c>
      <c r="AG219" s="466">
        <v>0.4</v>
      </c>
      <c r="AH219" s="468">
        <v>0.42</v>
      </c>
      <c r="AI219" s="466">
        <v>0.61</v>
      </c>
      <c r="AJ219" s="466">
        <v>-11</v>
      </c>
      <c r="AK219" s="466">
        <v>4</v>
      </c>
      <c r="AL219" s="524">
        <v>26</v>
      </c>
      <c r="AM219" s="524">
        <v>26</v>
      </c>
    </row>
    <row r="220" spans="1:39" ht="25" customHeight="1" outlineLevel="1">
      <c r="A220" s="476" t="s">
        <v>1138</v>
      </c>
      <c r="B220" s="466">
        <v>225</v>
      </c>
      <c r="C220" s="466">
        <v>-33</v>
      </c>
      <c r="D220" s="466">
        <v>-35</v>
      </c>
      <c r="E220" s="466">
        <v>29</v>
      </c>
      <c r="F220" s="466">
        <v>23</v>
      </c>
      <c r="G220" s="468">
        <v>33</v>
      </c>
      <c r="H220" s="468">
        <v>26</v>
      </c>
      <c r="I220" s="466">
        <v>5700</v>
      </c>
      <c r="J220" s="466">
        <v>4800</v>
      </c>
      <c r="K220" s="472">
        <f t="shared" si="3"/>
        <v>5200</v>
      </c>
      <c r="L220" s="472">
        <v>666</v>
      </c>
      <c r="M220" s="472">
        <v>666</v>
      </c>
      <c r="N220" s="472">
        <v>666</v>
      </c>
      <c r="O220" s="472">
        <v>666</v>
      </c>
      <c r="P220" s="466">
        <v>28</v>
      </c>
      <c r="Q220" s="468">
        <v>37</v>
      </c>
      <c r="R220" s="466">
        <v>108</v>
      </c>
      <c r="S220" s="468">
        <v>142</v>
      </c>
      <c r="T220" s="466">
        <v>420</v>
      </c>
      <c r="U220" s="468">
        <v>500</v>
      </c>
      <c r="V220" s="468">
        <v>0.6</v>
      </c>
      <c r="W220" s="466">
        <v>500</v>
      </c>
      <c r="X220" s="468">
        <v>560</v>
      </c>
      <c r="Y220" s="466">
        <v>180</v>
      </c>
      <c r="Z220" s="468">
        <v>200</v>
      </c>
      <c r="AA220" s="466">
        <v>1.9</v>
      </c>
      <c r="AB220" s="466">
        <v>0.2</v>
      </c>
      <c r="AC220" s="466">
        <v>2.8</v>
      </c>
      <c r="AD220" s="466">
        <v>0.3</v>
      </c>
      <c r="AE220" s="466">
        <v>0.32</v>
      </c>
      <c r="AF220" s="468">
        <v>0.34</v>
      </c>
      <c r="AG220" s="466">
        <v>0.41</v>
      </c>
      <c r="AH220" s="468">
        <v>0.43</v>
      </c>
      <c r="AI220" s="466">
        <v>0.64</v>
      </c>
      <c r="AJ220" s="466">
        <v>-11</v>
      </c>
      <c r="AK220" s="466">
        <v>4.5</v>
      </c>
      <c r="AL220" s="524">
        <v>26</v>
      </c>
      <c r="AM220" s="524">
        <v>26</v>
      </c>
    </row>
    <row r="221" spans="1:39" ht="25" customHeight="1" outlineLevel="1">
      <c r="A221" s="476" t="s">
        <v>1139</v>
      </c>
      <c r="B221" s="466">
        <v>175</v>
      </c>
      <c r="C221" s="466">
        <v>-38</v>
      </c>
      <c r="D221" s="466">
        <v>-40</v>
      </c>
      <c r="E221" s="466">
        <v>27</v>
      </c>
      <c r="F221" s="466">
        <v>19</v>
      </c>
      <c r="G221" s="468">
        <v>31</v>
      </c>
      <c r="H221" s="468">
        <v>23</v>
      </c>
      <c r="I221" s="466">
        <v>7900</v>
      </c>
      <c r="J221" s="466">
        <v>6890</v>
      </c>
      <c r="K221" s="472">
        <f t="shared" si="3"/>
        <v>7400</v>
      </c>
      <c r="L221" s="472">
        <v>666</v>
      </c>
      <c r="M221" s="472">
        <v>666</v>
      </c>
      <c r="N221" s="472">
        <v>666</v>
      </c>
      <c r="O221" s="472">
        <v>666</v>
      </c>
      <c r="P221" s="466">
        <v>18</v>
      </c>
      <c r="Q221" s="468">
        <v>24</v>
      </c>
      <c r="R221" s="466">
        <v>76</v>
      </c>
      <c r="S221" s="468">
        <v>102</v>
      </c>
      <c r="T221" s="466">
        <v>325</v>
      </c>
      <c r="U221" s="468">
        <v>400</v>
      </c>
      <c r="V221" s="468">
        <v>0.7</v>
      </c>
      <c r="W221" s="466">
        <v>500</v>
      </c>
      <c r="X221" s="468">
        <v>570</v>
      </c>
      <c r="Y221" s="466">
        <v>120</v>
      </c>
      <c r="AA221" s="466">
        <v>2.5</v>
      </c>
      <c r="AB221" s="466">
        <v>0.2</v>
      </c>
      <c r="AC221" s="466">
        <v>3.5</v>
      </c>
      <c r="AD221" s="466">
        <v>0.3</v>
      </c>
      <c r="AE221" s="466">
        <v>0.31</v>
      </c>
      <c r="AF221" s="468">
        <v>0.33</v>
      </c>
      <c r="AG221" s="466">
        <v>0.39</v>
      </c>
      <c r="AH221" s="468">
        <v>0.41</v>
      </c>
      <c r="AI221" s="466">
        <v>0.56999999999999995</v>
      </c>
      <c r="AJ221" s="466">
        <v>-15</v>
      </c>
      <c r="AK221" s="466">
        <v>3.4</v>
      </c>
      <c r="AL221" s="524">
        <v>23</v>
      </c>
      <c r="AM221" s="524">
        <v>23</v>
      </c>
    </row>
    <row r="222" spans="1:39" ht="25" customHeight="1" outlineLevel="1">
      <c r="A222" s="476" t="s">
        <v>1140</v>
      </c>
      <c r="B222" s="466">
        <v>270</v>
      </c>
      <c r="C222" s="466">
        <v>-33</v>
      </c>
      <c r="D222" s="466">
        <v>-35</v>
      </c>
      <c r="E222" s="466">
        <v>29</v>
      </c>
      <c r="F222" s="466">
        <v>23</v>
      </c>
      <c r="G222" s="468">
        <v>33</v>
      </c>
      <c r="H222" s="468">
        <v>26</v>
      </c>
      <c r="I222" s="466">
        <v>5700</v>
      </c>
      <c r="J222" s="466">
        <v>4800</v>
      </c>
      <c r="K222" s="472">
        <f t="shared" si="3"/>
        <v>5200</v>
      </c>
      <c r="L222" s="472">
        <v>666</v>
      </c>
      <c r="M222" s="472">
        <v>666</v>
      </c>
      <c r="N222" s="472">
        <v>666</v>
      </c>
      <c r="O222" s="472">
        <v>666</v>
      </c>
      <c r="P222" s="466">
        <v>28</v>
      </c>
      <c r="Q222" s="468">
        <v>37</v>
      </c>
      <c r="R222" s="466">
        <v>108</v>
      </c>
      <c r="S222" s="468">
        <v>141</v>
      </c>
      <c r="T222" s="466">
        <v>440</v>
      </c>
      <c r="U222" s="468">
        <v>520</v>
      </c>
      <c r="V222" s="468">
        <v>0.6</v>
      </c>
      <c r="W222" s="466">
        <v>500</v>
      </c>
      <c r="X222" s="468">
        <v>560</v>
      </c>
      <c r="Y222" s="466">
        <v>180</v>
      </c>
      <c r="Z222" s="468">
        <v>200</v>
      </c>
      <c r="AA222" s="466">
        <v>2</v>
      </c>
      <c r="AB222" s="466">
        <v>0.2</v>
      </c>
      <c r="AC222" s="466">
        <v>3</v>
      </c>
      <c r="AD222" s="466">
        <v>0.3</v>
      </c>
      <c r="AE222" s="466">
        <v>0.32</v>
      </c>
      <c r="AF222" s="468">
        <v>0.34</v>
      </c>
      <c r="AG222" s="466">
        <v>0.4</v>
      </c>
      <c r="AH222" s="468">
        <v>0.42</v>
      </c>
      <c r="AI222" s="466">
        <v>0.61</v>
      </c>
      <c r="AJ222" s="466">
        <v>-11</v>
      </c>
      <c r="AK222" s="466">
        <v>4.0999999999999996</v>
      </c>
      <c r="AL222" s="524">
        <v>26</v>
      </c>
      <c r="AM222" s="524">
        <v>26</v>
      </c>
    </row>
    <row r="223" spans="1:39" ht="25" customHeight="1" outlineLevel="1">
      <c r="A223" s="476" t="s">
        <v>1141</v>
      </c>
      <c r="B223" s="466">
        <v>335</v>
      </c>
      <c r="C223" s="466">
        <v>-34</v>
      </c>
      <c r="D223" s="466">
        <v>-37</v>
      </c>
      <c r="E223" s="466">
        <v>29</v>
      </c>
      <c r="F223" s="466">
        <v>22</v>
      </c>
      <c r="G223" s="468">
        <v>34</v>
      </c>
      <c r="H223" s="468">
        <v>26</v>
      </c>
      <c r="I223" s="466">
        <v>6100</v>
      </c>
      <c r="J223" s="466">
        <v>5180</v>
      </c>
      <c r="K223" s="472">
        <f t="shared" si="3"/>
        <v>5600</v>
      </c>
      <c r="L223" s="472">
        <v>666</v>
      </c>
      <c r="M223" s="472">
        <v>666</v>
      </c>
      <c r="N223" s="472">
        <v>666</v>
      </c>
      <c r="O223" s="472">
        <v>666</v>
      </c>
      <c r="P223" s="466">
        <v>20</v>
      </c>
      <c r="Q223" s="468">
        <v>26</v>
      </c>
      <c r="R223" s="466">
        <v>92</v>
      </c>
      <c r="S223" s="468">
        <v>119</v>
      </c>
      <c r="T223" s="466">
        <v>370</v>
      </c>
      <c r="U223" s="468">
        <v>440</v>
      </c>
      <c r="V223" s="468">
        <v>0.6</v>
      </c>
      <c r="W223" s="466">
        <v>500</v>
      </c>
      <c r="X223" s="468">
        <v>560</v>
      </c>
      <c r="Y223" s="466">
        <v>120</v>
      </c>
      <c r="AA223" s="466">
        <v>2</v>
      </c>
      <c r="AB223" s="466">
        <v>0.2</v>
      </c>
      <c r="AC223" s="466">
        <v>2.8</v>
      </c>
      <c r="AD223" s="466">
        <v>0.3</v>
      </c>
      <c r="AE223" s="466">
        <v>0.28000000000000003</v>
      </c>
      <c r="AF223" s="468">
        <v>0.28999999999999998</v>
      </c>
      <c r="AG223" s="466">
        <v>0.35</v>
      </c>
      <c r="AH223" s="468">
        <v>0.37</v>
      </c>
      <c r="AI223" s="466">
        <v>0.53</v>
      </c>
      <c r="AJ223" s="466">
        <v>-12</v>
      </c>
      <c r="AK223" s="466">
        <v>3.5</v>
      </c>
      <c r="AL223" s="524">
        <v>26</v>
      </c>
      <c r="AM223" s="524">
        <v>26</v>
      </c>
    </row>
    <row r="224" spans="1:39" ht="25" customHeight="1" outlineLevel="1">
      <c r="A224" s="476" t="s">
        <v>1142</v>
      </c>
      <c r="B224" s="466">
        <v>270</v>
      </c>
      <c r="C224" s="466">
        <v>-36</v>
      </c>
      <c r="D224" s="466">
        <v>-38</v>
      </c>
      <c r="E224" s="466">
        <v>28</v>
      </c>
      <c r="F224" s="466">
        <v>21</v>
      </c>
      <c r="G224" s="468">
        <v>33</v>
      </c>
      <c r="H224" s="468">
        <v>25</v>
      </c>
      <c r="I224" s="466">
        <v>6480</v>
      </c>
      <c r="J224" s="466">
        <v>5540</v>
      </c>
      <c r="K224" s="472">
        <f t="shared" si="3"/>
        <v>5980</v>
      </c>
      <c r="L224" s="472">
        <v>666</v>
      </c>
      <c r="M224" s="472">
        <v>666</v>
      </c>
      <c r="N224" s="472">
        <v>666</v>
      </c>
      <c r="O224" s="472">
        <v>666</v>
      </c>
      <c r="P224" s="466">
        <v>18</v>
      </c>
      <c r="Q224" s="468">
        <v>23</v>
      </c>
      <c r="R224" s="466">
        <v>81</v>
      </c>
      <c r="S224" s="468">
        <v>105</v>
      </c>
      <c r="T224" s="466">
        <v>330</v>
      </c>
      <c r="U224" s="468">
        <v>390</v>
      </c>
      <c r="V224" s="468">
        <v>0.6</v>
      </c>
      <c r="W224" s="466">
        <v>450</v>
      </c>
      <c r="X224" s="468">
        <v>500</v>
      </c>
      <c r="Y224" s="466">
        <v>160</v>
      </c>
      <c r="AA224" s="466">
        <v>2.2000000000000002</v>
      </c>
      <c r="AB224" s="466">
        <v>0.2</v>
      </c>
      <c r="AC224" s="466">
        <v>3.1</v>
      </c>
      <c r="AD224" s="466">
        <v>0.3</v>
      </c>
      <c r="AE224" s="466">
        <v>0.28999999999999998</v>
      </c>
      <c r="AF224" s="468">
        <v>0.3</v>
      </c>
      <c r="AG224" s="466">
        <v>0.37</v>
      </c>
      <c r="AH224" s="468">
        <v>0.39</v>
      </c>
      <c r="AI224" s="466">
        <v>0.57999999999999996</v>
      </c>
      <c r="AJ224" s="466">
        <v>-13</v>
      </c>
      <c r="AK224" s="466">
        <v>3.4</v>
      </c>
      <c r="AL224" s="524">
        <v>25</v>
      </c>
      <c r="AM224" s="524">
        <v>25</v>
      </c>
    </row>
    <row r="225" spans="1:40" ht="25" customHeight="1" outlineLevel="1">
      <c r="A225" s="476" t="s">
        <v>1143</v>
      </c>
      <c r="B225" s="466">
        <v>205</v>
      </c>
      <c r="C225" s="466">
        <v>-40</v>
      </c>
      <c r="D225" s="466">
        <v>-43</v>
      </c>
      <c r="E225" s="466">
        <v>27</v>
      </c>
      <c r="F225" s="466">
        <v>19</v>
      </c>
      <c r="G225" s="468">
        <v>31</v>
      </c>
      <c r="H225" s="468">
        <v>23</v>
      </c>
      <c r="I225" s="466">
        <v>7600</v>
      </c>
      <c r="J225" s="466">
        <v>6600</v>
      </c>
      <c r="K225" s="472">
        <f t="shared" si="3"/>
        <v>7100</v>
      </c>
      <c r="L225" s="472">
        <v>666</v>
      </c>
      <c r="M225" s="472">
        <v>666</v>
      </c>
      <c r="N225" s="472">
        <v>666</v>
      </c>
      <c r="O225" s="472">
        <v>666</v>
      </c>
      <c r="P225" s="466">
        <v>18</v>
      </c>
      <c r="Q225" s="468">
        <v>24</v>
      </c>
      <c r="R225" s="466">
        <v>86</v>
      </c>
      <c r="S225" s="468">
        <v>114</v>
      </c>
      <c r="T225" s="466">
        <v>350</v>
      </c>
      <c r="U225" s="468">
        <v>420</v>
      </c>
      <c r="V225" s="468">
        <v>0.6</v>
      </c>
      <c r="W225" s="466">
        <v>540</v>
      </c>
      <c r="X225" s="468">
        <v>610</v>
      </c>
      <c r="Y225" s="466">
        <v>100</v>
      </c>
      <c r="AA225" s="466">
        <v>2.4</v>
      </c>
      <c r="AB225" s="466">
        <v>0.2</v>
      </c>
      <c r="AC225" s="466">
        <v>3.3</v>
      </c>
      <c r="AD225" s="466">
        <v>0.3</v>
      </c>
      <c r="AE225" s="466">
        <v>0.28000000000000003</v>
      </c>
      <c r="AF225" s="468">
        <v>0.28999999999999998</v>
      </c>
      <c r="AG225" s="466">
        <v>0.36</v>
      </c>
      <c r="AH225" s="468">
        <v>0.38</v>
      </c>
      <c r="AI225" s="466">
        <v>0.54</v>
      </c>
      <c r="AJ225" s="466">
        <v>-15</v>
      </c>
      <c r="AK225" s="466">
        <v>2.9</v>
      </c>
      <c r="AL225" s="524">
        <v>23</v>
      </c>
      <c r="AM225" s="524">
        <v>23</v>
      </c>
    </row>
    <row r="226" spans="1:40" ht="25" customHeight="1" outlineLevel="1">
      <c r="A226" s="476" t="s">
        <v>1144</v>
      </c>
      <c r="B226" s="466">
        <v>435</v>
      </c>
      <c r="C226" s="466">
        <v>-33</v>
      </c>
      <c r="D226" s="466">
        <v>-35</v>
      </c>
      <c r="E226" s="466">
        <v>30</v>
      </c>
      <c r="F226" s="466">
        <v>23</v>
      </c>
      <c r="G226" s="468">
        <v>34</v>
      </c>
      <c r="H226" s="468">
        <v>26</v>
      </c>
      <c r="I226" s="466">
        <v>5620</v>
      </c>
      <c r="J226" s="466">
        <v>4720</v>
      </c>
      <c r="K226" s="472">
        <f t="shared" si="3"/>
        <v>5120</v>
      </c>
      <c r="L226" s="472">
        <v>666</v>
      </c>
      <c r="M226" s="472">
        <v>666</v>
      </c>
      <c r="N226" s="472">
        <v>666</v>
      </c>
      <c r="O226" s="472">
        <v>666</v>
      </c>
      <c r="P226" s="466">
        <v>28</v>
      </c>
      <c r="Q226" s="468">
        <v>37</v>
      </c>
      <c r="R226" s="466">
        <v>108</v>
      </c>
      <c r="S226" s="468">
        <v>141</v>
      </c>
      <c r="T226" s="466">
        <v>350</v>
      </c>
      <c r="U226" s="468">
        <v>410</v>
      </c>
      <c r="V226" s="468">
        <v>0.5</v>
      </c>
      <c r="W226" s="466">
        <v>460</v>
      </c>
      <c r="X226" s="468">
        <v>520</v>
      </c>
      <c r="Y226" s="466">
        <v>180</v>
      </c>
      <c r="Z226" s="468">
        <v>200</v>
      </c>
      <c r="AA226" s="466">
        <v>2</v>
      </c>
      <c r="AB226" s="466">
        <v>0.2</v>
      </c>
      <c r="AC226" s="466">
        <v>2.8</v>
      </c>
      <c r="AD226" s="466">
        <v>0.3</v>
      </c>
      <c r="AE226" s="466">
        <v>0.36</v>
      </c>
      <c r="AF226" s="468">
        <v>0.38</v>
      </c>
      <c r="AG226" s="466">
        <v>0.46</v>
      </c>
      <c r="AH226" s="468">
        <v>0.48</v>
      </c>
      <c r="AI226" s="466">
        <v>0.72</v>
      </c>
      <c r="AJ226" s="466">
        <v>-11</v>
      </c>
      <c r="AK226" s="466">
        <v>4</v>
      </c>
      <c r="AL226" s="524">
        <v>26</v>
      </c>
      <c r="AM226" s="524">
        <v>26</v>
      </c>
    </row>
    <row r="227" spans="1:40" s="473" customFormat="1" ht="25" customHeight="1" outlineLevel="1" thickBot="1">
      <c r="A227" s="477" t="s">
        <v>1145</v>
      </c>
      <c r="B227" s="473">
        <v>235</v>
      </c>
      <c r="C227" s="473">
        <v>-33</v>
      </c>
      <c r="D227" s="473">
        <v>-35</v>
      </c>
      <c r="E227" s="473">
        <v>30</v>
      </c>
      <c r="F227" s="473">
        <v>23</v>
      </c>
      <c r="G227" s="474">
        <v>34</v>
      </c>
      <c r="H227" s="474">
        <v>26</v>
      </c>
      <c r="I227" s="473">
        <v>5670</v>
      </c>
      <c r="J227" s="473">
        <v>4770</v>
      </c>
      <c r="K227" s="472">
        <f t="shared" si="3"/>
        <v>5170</v>
      </c>
      <c r="L227" s="472">
        <v>666</v>
      </c>
      <c r="M227" s="472">
        <v>666</v>
      </c>
      <c r="N227" s="472">
        <v>666</v>
      </c>
      <c r="O227" s="472">
        <v>666</v>
      </c>
      <c r="P227" s="473">
        <v>28</v>
      </c>
      <c r="Q227" s="474">
        <v>37</v>
      </c>
      <c r="R227" s="473">
        <v>108</v>
      </c>
      <c r="S227" s="474">
        <v>142</v>
      </c>
      <c r="T227" s="473">
        <v>415</v>
      </c>
      <c r="U227" s="474">
        <v>490</v>
      </c>
      <c r="V227" s="474">
        <v>0.6</v>
      </c>
      <c r="W227" s="473">
        <v>500</v>
      </c>
      <c r="X227" s="474">
        <v>560</v>
      </c>
      <c r="Y227" s="473">
        <v>180</v>
      </c>
      <c r="Z227" s="474">
        <v>200</v>
      </c>
      <c r="AA227" s="473">
        <v>1.9</v>
      </c>
      <c r="AB227" s="473">
        <v>0.2</v>
      </c>
      <c r="AC227" s="473">
        <v>2.8</v>
      </c>
      <c r="AD227" s="473">
        <v>0.3</v>
      </c>
      <c r="AE227" s="473">
        <v>0.36</v>
      </c>
      <c r="AF227" s="474">
        <v>0.38</v>
      </c>
      <c r="AG227" s="473">
        <v>0.45</v>
      </c>
      <c r="AH227" s="474">
        <v>0.47</v>
      </c>
      <c r="AI227" s="473">
        <v>0.68</v>
      </c>
      <c r="AJ227" s="473">
        <v>-11</v>
      </c>
      <c r="AK227" s="473">
        <v>5.2</v>
      </c>
      <c r="AL227" s="525">
        <v>26</v>
      </c>
      <c r="AM227" s="525">
        <v>26</v>
      </c>
      <c r="AN227" s="701"/>
    </row>
    <row r="228" spans="1:40" s="480" customFormat="1" ht="25" customHeight="1" thickTop="1" thickBot="1">
      <c r="A228" s="478" t="s">
        <v>302</v>
      </c>
      <c r="K228" s="483"/>
      <c r="L228" s="483"/>
      <c r="M228" s="483"/>
      <c r="N228" s="483"/>
      <c r="O228" s="483"/>
      <c r="AL228" s="526"/>
      <c r="AM228" s="526"/>
      <c r="AN228" s="702"/>
    </row>
    <row r="229" spans="1:40" s="471" customFormat="1" ht="25" customHeight="1" outlineLevel="1" thickTop="1">
      <c r="A229" s="475" t="s">
        <v>41</v>
      </c>
      <c r="B229" s="471">
        <v>230</v>
      </c>
      <c r="C229" s="471">
        <v>-17</v>
      </c>
      <c r="D229" s="471">
        <v>-19</v>
      </c>
      <c r="E229" s="471">
        <v>30</v>
      </c>
      <c r="F229" s="471">
        <v>23</v>
      </c>
      <c r="G229" s="472">
        <v>34</v>
      </c>
      <c r="H229" s="472">
        <v>26</v>
      </c>
      <c r="I229" s="471">
        <v>3840</v>
      </c>
      <c r="J229" s="471">
        <v>3050</v>
      </c>
      <c r="K229" s="472">
        <f t="shared" si="3"/>
        <v>3340</v>
      </c>
      <c r="L229" s="484">
        <v>270</v>
      </c>
      <c r="M229" s="521">
        <v>666</v>
      </c>
      <c r="N229" s="490">
        <v>0</v>
      </c>
      <c r="O229" s="490">
        <v>0</v>
      </c>
      <c r="P229" s="471">
        <v>25</v>
      </c>
      <c r="Q229" s="472">
        <v>32</v>
      </c>
      <c r="R229" s="471">
        <v>103</v>
      </c>
      <c r="S229" s="472">
        <v>131</v>
      </c>
      <c r="T229" s="471">
        <v>800</v>
      </c>
      <c r="U229" s="472">
        <v>920</v>
      </c>
      <c r="V229" s="472">
        <v>0.9</v>
      </c>
      <c r="W229" s="471">
        <v>950</v>
      </c>
      <c r="X229" s="472">
        <v>1030</v>
      </c>
      <c r="Y229" s="471">
        <v>180</v>
      </c>
      <c r="Z229" s="472">
        <v>200</v>
      </c>
      <c r="AA229" s="471">
        <v>2.2000000000000002</v>
      </c>
      <c r="AB229" s="471">
        <v>0.4</v>
      </c>
      <c r="AC229" s="471">
        <v>3.2</v>
      </c>
      <c r="AD229" s="471">
        <v>0.6</v>
      </c>
      <c r="AE229" s="471">
        <v>0.37</v>
      </c>
      <c r="AF229" s="472">
        <v>0.41</v>
      </c>
      <c r="AG229" s="471">
        <v>0.48</v>
      </c>
      <c r="AH229" s="472">
        <v>0.53</v>
      </c>
      <c r="AI229" s="471">
        <v>0.8</v>
      </c>
      <c r="AJ229" s="471">
        <v>-6</v>
      </c>
      <c r="AK229" s="471">
        <v>4.5</v>
      </c>
      <c r="AL229" s="699" t="s">
        <v>1531</v>
      </c>
      <c r="AM229" s="703">
        <f>'COOLING-TARGET'!E$64</f>
        <v>15.1086005</v>
      </c>
      <c r="AN229" s="699" t="s">
        <v>1531</v>
      </c>
    </row>
    <row r="230" spans="1:40" ht="25" customHeight="1" outlineLevel="1">
      <c r="A230" s="476" t="s">
        <v>42</v>
      </c>
      <c r="B230" s="466">
        <v>95</v>
      </c>
      <c r="C230" s="466">
        <v>-20</v>
      </c>
      <c r="D230" s="466">
        <v>-22</v>
      </c>
      <c r="E230" s="466">
        <v>30</v>
      </c>
      <c r="F230" s="466">
        <v>23</v>
      </c>
      <c r="G230" s="468">
        <v>34</v>
      </c>
      <c r="H230" s="468">
        <v>26</v>
      </c>
      <c r="I230" s="466">
        <v>3820</v>
      </c>
      <c r="J230" s="466">
        <v>3030</v>
      </c>
      <c r="K230" s="472">
        <f t="shared" si="3"/>
        <v>3320</v>
      </c>
      <c r="L230" s="484">
        <v>251</v>
      </c>
      <c r="M230" s="521">
        <v>666</v>
      </c>
      <c r="N230" s="490">
        <v>0</v>
      </c>
      <c r="O230" s="490">
        <v>0</v>
      </c>
      <c r="P230" s="466">
        <v>23</v>
      </c>
      <c r="Q230" s="468">
        <v>30</v>
      </c>
      <c r="R230" s="466">
        <v>92</v>
      </c>
      <c r="S230" s="468">
        <v>118</v>
      </c>
      <c r="T230" s="466">
        <v>760</v>
      </c>
      <c r="U230" s="468">
        <v>880</v>
      </c>
      <c r="V230" s="468">
        <v>0.9</v>
      </c>
      <c r="W230" s="466">
        <v>825</v>
      </c>
      <c r="X230" s="468">
        <v>900</v>
      </c>
      <c r="Y230" s="466">
        <v>160</v>
      </c>
      <c r="Z230" s="468">
        <v>170</v>
      </c>
      <c r="AA230" s="466">
        <v>1</v>
      </c>
      <c r="AB230" s="466">
        <v>0.4</v>
      </c>
      <c r="AC230" s="466">
        <v>1.5</v>
      </c>
      <c r="AD230" s="466">
        <v>0.6</v>
      </c>
      <c r="AE230" s="466">
        <v>0.37</v>
      </c>
      <c r="AF230" s="468">
        <v>0.41</v>
      </c>
      <c r="AG230" s="466">
        <v>0.48</v>
      </c>
      <c r="AH230" s="468">
        <v>0.53</v>
      </c>
      <c r="AI230" s="466">
        <v>0.8</v>
      </c>
      <c r="AJ230" s="466">
        <v>-6</v>
      </c>
      <c r="AK230" s="466">
        <v>4</v>
      </c>
      <c r="AL230" s="490">
        <v>20.5</v>
      </c>
      <c r="AM230" s="703">
        <f>'COOLING-TARGET'!E$64</f>
        <v>15.1086005</v>
      </c>
    </row>
    <row r="231" spans="1:40" ht="25" customHeight="1" outlineLevel="1">
      <c r="A231" s="476" t="s">
        <v>43</v>
      </c>
      <c r="B231" s="466">
        <v>80</v>
      </c>
      <c r="C231" s="466">
        <v>-24</v>
      </c>
      <c r="D231" s="466">
        <v>-26</v>
      </c>
      <c r="E231" s="466">
        <v>30</v>
      </c>
      <c r="F231" s="466">
        <v>23</v>
      </c>
      <c r="G231" s="468">
        <v>34</v>
      </c>
      <c r="H231" s="468">
        <v>26</v>
      </c>
      <c r="I231" s="466">
        <v>4600</v>
      </c>
      <c r="J231" s="466">
        <v>3740</v>
      </c>
      <c r="K231" s="472">
        <f t="shared" si="3"/>
        <v>4100</v>
      </c>
      <c r="L231" s="484">
        <v>196</v>
      </c>
      <c r="M231" s="484">
        <v>315</v>
      </c>
      <c r="N231" s="490">
        <v>0</v>
      </c>
      <c r="O231" s="490">
        <v>0</v>
      </c>
      <c r="P231" s="466">
        <v>25</v>
      </c>
      <c r="Q231" s="468">
        <v>32</v>
      </c>
      <c r="R231" s="466">
        <v>103</v>
      </c>
      <c r="S231" s="468">
        <v>133</v>
      </c>
      <c r="T231" s="466">
        <v>800</v>
      </c>
      <c r="U231" s="468">
        <v>950</v>
      </c>
      <c r="V231" s="468">
        <v>1</v>
      </c>
      <c r="W231" s="466">
        <v>975</v>
      </c>
      <c r="X231" s="468">
        <v>1090</v>
      </c>
      <c r="Y231" s="466">
        <v>160</v>
      </c>
      <c r="AA231" s="466">
        <v>2.4</v>
      </c>
      <c r="AB231" s="466">
        <v>0.4</v>
      </c>
      <c r="AC231" s="466">
        <v>3.4</v>
      </c>
      <c r="AD231" s="466">
        <v>0.6</v>
      </c>
      <c r="AE231" s="466">
        <v>0.31</v>
      </c>
      <c r="AF231" s="468">
        <v>0.34</v>
      </c>
      <c r="AG231" s="466">
        <v>0.4</v>
      </c>
      <c r="AH231" s="468">
        <v>0.44</v>
      </c>
      <c r="AI231" s="466">
        <v>0.67</v>
      </c>
      <c r="AJ231" s="466">
        <v>-8</v>
      </c>
      <c r="AK231" s="466">
        <v>3.8</v>
      </c>
      <c r="AL231" s="490">
        <v>20.5</v>
      </c>
      <c r="AM231" s="703">
        <f>'COOLING-TARGET'!E$64</f>
        <v>15.1086005</v>
      </c>
    </row>
    <row r="232" spans="1:40" ht="25" customHeight="1" outlineLevel="1">
      <c r="A232" s="476" t="s">
        <v>44</v>
      </c>
      <c r="B232" s="466">
        <v>220</v>
      </c>
      <c r="C232" s="466">
        <v>-23</v>
      </c>
      <c r="D232" s="466">
        <v>-25</v>
      </c>
      <c r="E232" s="466">
        <v>29</v>
      </c>
      <c r="F232" s="466">
        <v>23</v>
      </c>
      <c r="G232" s="468">
        <v>33</v>
      </c>
      <c r="H232" s="468">
        <v>26</v>
      </c>
      <c r="I232" s="466">
        <v>4200</v>
      </c>
      <c r="J232" s="466">
        <v>3380</v>
      </c>
      <c r="K232" s="472">
        <f t="shared" si="3"/>
        <v>3700</v>
      </c>
      <c r="L232" s="484">
        <v>196</v>
      </c>
      <c r="M232" s="521">
        <v>666</v>
      </c>
      <c r="N232" s="490">
        <v>0</v>
      </c>
      <c r="O232" s="490">
        <v>0</v>
      </c>
      <c r="P232" s="466">
        <v>28</v>
      </c>
      <c r="Q232" s="468">
        <v>36</v>
      </c>
      <c r="R232" s="466">
        <v>113</v>
      </c>
      <c r="S232" s="468">
        <v>145</v>
      </c>
      <c r="T232" s="466">
        <v>690</v>
      </c>
      <c r="U232" s="468">
        <v>800</v>
      </c>
      <c r="V232" s="468">
        <v>0.8</v>
      </c>
      <c r="W232" s="466">
        <v>875</v>
      </c>
      <c r="X232" s="468">
        <v>960</v>
      </c>
      <c r="Y232" s="466">
        <v>120</v>
      </c>
      <c r="Z232" s="468">
        <v>130</v>
      </c>
      <c r="AA232" s="466">
        <v>2</v>
      </c>
      <c r="AB232" s="466">
        <v>0.4</v>
      </c>
      <c r="AC232" s="466">
        <v>2.9</v>
      </c>
      <c r="AD232" s="466">
        <v>0.6</v>
      </c>
      <c r="AE232" s="466">
        <v>0.28000000000000003</v>
      </c>
      <c r="AF232" s="468">
        <v>0.31</v>
      </c>
      <c r="AG232" s="466">
        <v>0.36</v>
      </c>
      <c r="AH232" s="468">
        <v>0.4</v>
      </c>
      <c r="AI232" s="466">
        <v>0.59</v>
      </c>
      <c r="AJ232" s="466">
        <v>-7</v>
      </c>
      <c r="AK232" s="466">
        <v>3.5</v>
      </c>
      <c r="AL232" s="490">
        <v>20.5</v>
      </c>
      <c r="AM232" s="703">
        <f>'COOLING-TARGET'!E$64</f>
        <v>15.1086005</v>
      </c>
    </row>
    <row r="233" spans="1:40" ht="25" customHeight="1" outlineLevel="1">
      <c r="A233" s="476" t="s">
        <v>45</v>
      </c>
      <c r="B233" s="466">
        <v>120</v>
      </c>
      <c r="C233" s="466">
        <v>-26</v>
      </c>
      <c r="D233" s="466">
        <v>-28</v>
      </c>
      <c r="E233" s="466">
        <v>30</v>
      </c>
      <c r="F233" s="466">
        <v>23</v>
      </c>
      <c r="G233" s="468">
        <v>34</v>
      </c>
      <c r="H233" s="468">
        <v>26</v>
      </c>
      <c r="I233" s="466">
        <v>4620</v>
      </c>
      <c r="J233" s="466">
        <v>3760</v>
      </c>
      <c r="K233" s="472">
        <f t="shared" si="3"/>
        <v>4120</v>
      </c>
      <c r="L233" s="521">
        <v>666</v>
      </c>
      <c r="M233" s="521">
        <v>666</v>
      </c>
      <c r="N233" s="490">
        <v>0</v>
      </c>
      <c r="O233" s="490">
        <v>0</v>
      </c>
      <c r="P233" s="466">
        <v>25</v>
      </c>
      <c r="Q233" s="468">
        <v>32</v>
      </c>
      <c r="R233" s="466">
        <v>97</v>
      </c>
      <c r="S233" s="468">
        <v>125</v>
      </c>
      <c r="T233" s="466">
        <v>730</v>
      </c>
      <c r="U233" s="468">
        <v>870</v>
      </c>
      <c r="V233" s="468">
        <v>0.9</v>
      </c>
      <c r="W233" s="466">
        <v>800</v>
      </c>
      <c r="X233" s="468">
        <v>890</v>
      </c>
      <c r="Y233" s="466">
        <v>140</v>
      </c>
      <c r="AA233" s="466">
        <v>2.5</v>
      </c>
      <c r="AB233" s="466">
        <v>0.4</v>
      </c>
      <c r="AC233" s="466">
        <v>3.6</v>
      </c>
      <c r="AD233" s="466">
        <v>0.6</v>
      </c>
      <c r="AE233" s="466">
        <v>0.32</v>
      </c>
      <c r="AF233" s="468">
        <v>0.35</v>
      </c>
      <c r="AG233" s="466">
        <v>0.41</v>
      </c>
      <c r="AH233" s="468">
        <v>0.45</v>
      </c>
      <c r="AI233" s="466">
        <v>0.67</v>
      </c>
      <c r="AJ233" s="466">
        <v>-8</v>
      </c>
      <c r="AK233" s="466">
        <v>3.8</v>
      </c>
      <c r="AL233" s="490">
        <v>20.5</v>
      </c>
      <c r="AM233" s="703">
        <f>'COOLING-TARGET'!E$64</f>
        <v>15.1086005</v>
      </c>
    </row>
    <row r="234" spans="1:40" ht="25" customHeight="1" outlineLevel="1">
      <c r="A234" s="476" t="s">
        <v>46</v>
      </c>
      <c r="B234" s="466">
        <v>340</v>
      </c>
      <c r="C234" s="466">
        <v>-37</v>
      </c>
      <c r="D234" s="466">
        <v>-40</v>
      </c>
      <c r="E234" s="466">
        <v>28</v>
      </c>
      <c r="F234" s="466">
        <v>21</v>
      </c>
      <c r="G234" s="468">
        <v>32</v>
      </c>
      <c r="H234" s="468">
        <v>24</v>
      </c>
      <c r="I234" s="466">
        <v>6500</v>
      </c>
      <c r="J234" s="466">
        <v>5530</v>
      </c>
      <c r="K234" s="472">
        <f t="shared" si="3"/>
        <v>6000</v>
      </c>
      <c r="L234" s="521">
        <v>666</v>
      </c>
      <c r="M234" s="521">
        <v>666</v>
      </c>
      <c r="N234" s="490">
        <v>0</v>
      </c>
      <c r="O234" s="490">
        <v>0</v>
      </c>
      <c r="P234" s="466">
        <v>23</v>
      </c>
      <c r="Q234" s="468">
        <v>30</v>
      </c>
      <c r="R234" s="466">
        <v>97</v>
      </c>
      <c r="S234" s="468">
        <v>126</v>
      </c>
      <c r="T234" s="466">
        <v>525</v>
      </c>
      <c r="U234" s="468">
        <v>640</v>
      </c>
      <c r="V234" s="468">
        <v>0.8</v>
      </c>
      <c r="W234" s="466">
        <v>725</v>
      </c>
      <c r="X234" s="468">
        <v>820</v>
      </c>
      <c r="Y234" s="466">
        <v>100</v>
      </c>
      <c r="Z234" s="468">
        <v>110</v>
      </c>
      <c r="AA234" s="466">
        <v>2.7</v>
      </c>
      <c r="AB234" s="466">
        <v>0.4</v>
      </c>
      <c r="AC234" s="466">
        <v>3.8</v>
      </c>
      <c r="AD234" s="466">
        <v>0.6</v>
      </c>
      <c r="AE234" s="466">
        <v>0.22</v>
      </c>
      <c r="AF234" s="468">
        <v>0.24</v>
      </c>
      <c r="AG234" s="466">
        <v>0.3</v>
      </c>
      <c r="AH234" s="468">
        <v>0.33</v>
      </c>
      <c r="AI234" s="466">
        <v>0.52</v>
      </c>
      <c r="AJ234" s="466">
        <v>-12</v>
      </c>
      <c r="AK234" s="466">
        <v>2.2999999999999998</v>
      </c>
      <c r="AL234" s="490">
        <v>20.5</v>
      </c>
      <c r="AM234" s="703">
        <f>'COOLING-TARGET'!E$64</f>
        <v>15.1086005</v>
      </c>
    </row>
    <row r="235" spans="1:40" ht="25" customHeight="1" outlineLevel="1">
      <c r="A235" s="476" t="s">
        <v>47</v>
      </c>
      <c r="B235" s="466">
        <v>85</v>
      </c>
      <c r="C235" s="466">
        <v>-27</v>
      </c>
      <c r="D235" s="466">
        <v>-29</v>
      </c>
      <c r="E235" s="466">
        <v>30</v>
      </c>
      <c r="F235" s="466">
        <v>23</v>
      </c>
      <c r="G235" s="468">
        <v>34</v>
      </c>
      <c r="H235" s="468">
        <v>26</v>
      </c>
      <c r="I235" s="466">
        <v>4680</v>
      </c>
      <c r="J235" s="466">
        <v>3820</v>
      </c>
      <c r="K235" s="472">
        <f t="shared" si="3"/>
        <v>4180</v>
      </c>
      <c r="L235" s="521">
        <v>666</v>
      </c>
      <c r="M235" s="521">
        <v>666</v>
      </c>
      <c r="N235" s="490">
        <v>0</v>
      </c>
      <c r="O235" s="490">
        <v>0</v>
      </c>
      <c r="P235" s="466">
        <v>23</v>
      </c>
      <c r="Q235" s="468">
        <v>30</v>
      </c>
      <c r="R235" s="466">
        <v>86</v>
      </c>
      <c r="S235" s="468">
        <v>111</v>
      </c>
      <c r="T235" s="466">
        <v>630</v>
      </c>
      <c r="U235" s="468">
        <v>750</v>
      </c>
      <c r="V235" s="468">
        <v>0.9</v>
      </c>
      <c r="W235" s="466">
        <v>775</v>
      </c>
      <c r="X235" s="468">
        <v>870</v>
      </c>
      <c r="Y235" s="466">
        <v>140</v>
      </c>
      <c r="AA235" s="466">
        <v>2.5</v>
      </c>
      <c r="AB235" s="466">
        <v>0.4</v>
      </c>
      <c r="AC235" s="466">
        <v>3.6</v>
      </c>
      <c r="AD235" s="466">
        <v>0.6</v>
      </c>
      <c r="AE235" s="466">
        <v>0.28999999999999998</v>
      </c>
      <c r="AF235" s="468">
        <v>0.32</v>
      </c>
      <c r="AG235" s="466">
        <v>0.37</v>
      </c>
      <c r="AH235" s="468">
        <v>0.41</v>
      </c>
      <c r="AI235" s="466">
        <v>0.61</v>
      </c>
      <c r="AJ235" s="466">
        <v>-8</v>
      </c>
      <c r="AK235" s="466">
        <v>3.5</v>
      </c>
      <c r="AL235" s="490">
        <v>20.5</v>
      </c>
      <c r="AM235" s="703">
        <f>'COOLING-TARGET'!E$64</f>
        <v>15.1086005</v>
      </c>
    </row>
    <row r="236" spans="1:40" ht="25" customHeight="1" outlineLevel="1">
      <c r="A236" s="476" t="s">
        <v>48</v>
      </c>
      <c r="B236" s="466">
        <v>400</v>
      </c>
      <c r="C236" s="466">
        <v>-33</v>
      </c>
      <c r="D236" s="466">
        <v>-35</v>
      </c>
      <c r="E236" s="466">
        <v>29</v>
      </c>
      <c r="F236" s="466">
        <v>22</v>
      </c>
      <c r="G236" s="468">
        <v>33</v>
      </c>
      <c r="H236" s="468">
        <v>25</v>
      </c>
      <c r="I236" s="466">
        <v>5750</v>
      </c>
      <c r="J236" s="466">
        <v>4810</v>
      </c>
      <c r="K236" s="472">
        <f t="shared" si="3"/>
        <v>5250</v>
      </c>
      <c r="L236" s="521">
        <v>666</v>
      </c>
      <c r="M236" s="521">
        <v>666</v>
      </c>
      <c r="N236" s="490">
        <v>0</v>
      </c>
      <c r="O236" s="490">
        <v>0</v>
      </c>
      <c r="P236" s="466">
        <v>25</v>
      </c>
      <c r="Q236" s="468">
        <v>32</v>
      </c>
      <c r="R236" s="466">
        <v>103</v>
      </c>
      <c r="S236" s="468">
        <v>133</v>
      </c>
      <c r="T236" s="466">
        <v>570</v>
      </c>
      <c r="U236" s="468">
        <v>680</v>
      </c>
      <c r="V236" s="468">
        <v>0.8</v>
      </c>
      <c r="W236" s="466">
        <v>760</v>
      </c>
      <c r="X236" s="468">
        <v>850</v>
      </c>
      <c r="Y236" s="466">
        <v>100</v>
      </c>
      <c r="Z236" s="468">
        <v>110</v>
      </c>
      <c r="AA236" s="466">
        <v>2.4</v>
      </c>
      <c r="AB236" s="466">
        <v>0.3</v>
      </c>
      <c r="AC236" s="466">
        <v>3.4</v>
      </c>
      <c r="AD236" s="466">
        <v>0.4</v>
      </c>
      <c r="AE236" s="466">
        <v>0.22</v>
      </c>
      <c r="AF236" s="468">
        <v>0.24</v>
      </c>
      <c r="AG236" s="466">
        <v>0.3</v>
      </c>
      <c r="AH236" s="468">
        <v>0.33</v>
      </c>
      <c r="AI236" s="466">
        <v>0.52</v>
      </c>
      <c r="AJ236" s="466">
        <v>-11</v>
      </c>
      <c r="AK236" s="466">
        <v>1.7</v>
      </c>
      <c r="AL236" s="490">
        <v>20.5</v>
      </c>
      <c r="AM236" s="703">
        <f>'COOLING-TARGET'!E$64</f>
        <v>15.1086005</v>
      </c>
    </row>
    <row r="237" spans="1:40" ht="25" customHeight="1" outlineLevel="1">
      <c r="A237" s="476" t="s">
        <v>49</v>
      </c>
      <c r="B237" s="466">
        <v>10</v>
      </c>
      <c r="C237" s="466">
        <v>-37</v>
      </c>
      <c r="D237" s="466">
        <v>-39</v>
      </c>
      <c r="E237" s="466">
        <v>28</v>
      </c>
      <c r="F237" s="466">
        <v>21</v>
      </c>
      <c r="G237" s="468">
        <v>32</v>
      </c>
      <c r="H237" s="468">
        <v>24</v>
      </c>
      <c r="I237" s="466">
        <v>7100</v>
      </c>
      <c r="J237" s="466">
        <v>6120</v>
      </c>
      <c r="K237" s="472">
        <f t="shared" si="3"/>
        <v>6600</v>
      </c>
      <c r="L237" s="521">
        <v>666</v>
      </c>
      <c r="M237" s="521">
        <v>666</v>
      </c>
      <c r="N237" s="490">
        <v>0</v>
      </c>
      <c r="O237" s="490">
        <v>0</v>
      </c>
      <c r="P237" s="466">
        <v>18</v>
      </c>
      <c r="Q237" s="468">
        <v>25</v>
      </c>
      <c r="R237" s="466">
        <v>81</v>
      </c>
      <c r="S237" s="468">
        <v>112</v>
      </c>
      <c r="T237" s="466">
        <v>450</v>
      </c>
      <c r="U237" s="468">
        <v>580</v>
      </c>
      <c r="V237" s="468">
        <v>0.8</v>
      </c>
      <c r="W237" s="466">
        <v>650</v>
      </c>
      <c r="X237" s="468">
        <v>750</v>
      </c>
      <c r="Y237" s="466">
        <v>160</v>
      </c>
      <c r="Z237" s="468">
        <v>170</v>
      </c>
      <c r="AA237" s="466">
        <v>2.8</v>
      </c>
      <c r="AB237" s="466">
        <v>0.3</v>
      </c>
      <c r="AC237" s="466">
        <v>3.9</v>
      </c>
      <c r="AD237" s="466">
        <v>0.4</v>
      </c>
      <c r="AE237" s="466">
        <v>0.3</v>
      </c>
      <c r="AF237" s="468">
        <v>0.33</v>
      </c>
      <c r="AG237" s="466">
        <v>0.41</v>
      </c>
      <c r="AH237" s="468">
        <v>0.45</v>
      </c>
      <c r="AI237" s="466">
        <v>0.68</v>
      </c>
      <c r="AJ237" s="466">
        <v>-13</v>
      </c>
      <c r="AK237" s="466">
        <v>4</v>
      </c>
      <c r="AL237" s="490">
        <v>20.5</v>
      </c>
      <c r="AM237" s="703">
        <f>'COOLING-TARGET'!E$64</f>
        <v>15.1086005</v>
      </c>
    </row>
    <row r="238" spans="1:40" ht="25" customHeight="1" outlineLevel="1">
      <c r="A238" s="476" t="s">
        <v>50</v>
      </c>
      <c r="B238" s="466">
        <v>270</v>
      </c>
      <c r="C238" s="466">
        <v>-21</v>
      </c>
      <c r="D238" s="466">
        <v>-23</v>
      </c>
      <c r="E238" s="466">
        <v>30</v>
      </c>
      <c r="F238" s="466">
        <v>23</v>
      </c>
      <c r="G238" s="468">
        <v>34</v>
      </c>
      <c r="H238" s="468">
        <v>26</v>
      </c>
      <c r="I238" s="466">
        <v>4210</v>
      </c>
      <c r="J238" s="466">
        <v>3390</v>
      </c>
      <c r="K238" s="472">
        <f t="shared" si="3"/>
        <v>3710</v>
      </c>
      <c r="L238" s="521">
        <v>666</v>
      </c>
      <c r="M238" s="521">
        <v>666</v>
      </c>
      <c r="N238" s="490">
        <v>0</v>
      </c>
      <c r="O238" s="490">
        <v>0</v>
      </c>
      <c r="P238" s="466">
        <v>28</v>
      </c>
      <c r="Q238" s="468">
        <v>36</v>
      </c>
      <c r="R238" s="466">
        <v>108</v>
      </c>
      <c r="S238" s="468">
        <v>139</v>
      </c>
      <c r="T238" s="466">
        <v>700</v>
      </c>
      <c r="U238" s="468">
        <v>810</v>
      </c>
      <c r="V238" s="468">
        <v>0.8</v>
      </c>
      <c r="W238" s="466">
        <v>800</v>
      </c>
      <c r="X238" s="468">
        <v>880</v>
      </c>
      <c r="Y238" s="466">
        <v>140</v>
      </c>
      <c r="Z238" s="468">
        <v>150</v>
      </c>
      <c r="AA238" s="466">
        <v>2</v>
      </c>
      <c r="AB238" s="466">
        <v>0.4</v>
      </c>
      <c r="AC238" s="466">
        <v>2.9</v>
      </c>
      <c r="AD238" s="466">
        <v>0.6</v>
      </c>
      <c r="AE238" s="466">
        <v>0.34</v>
      </c>
      <c r="AF238" s="468">
        <v>0.37</v>
      </c>
      <c r="AG238" s="466">
        <v>0.44</v>
      </c>
      <c r="AH238" s="468">
        <v>0.48</v>
      </c>
      <c r="AI238" s="466">
        <v>0.73</v>
      </c>
      <c r="AJ238" s="466">
        <v>-7</v>
      </c>
      <c r="AK238" s="466">
        <v>3.5</v>
      </c>
      <c r="AL238" s="490">
        <v>20.5</v>
      </c>
      <c r="AM238" s="703">
        <f>'COOLING-TARGET'!E$64</f>
        <v>15.1086005</v>
      </c>
    </row>
    <row r="239" spans="1:40" ht="25" customHeight="1" outlineLevel="1">
      <c r="A239" s="476" t="s">
        <v>51</v>
      </c>
      <c r="B239" s="466">
        <v>365</v>
      </c>
      <c r="C239" s="466">
        <v>-28</v>
      </c>
      <c r="D239" s="466">
        <v>-31</v>
      </c>
      <c r="E239" s="466">
        <v>29</v>
      </c>
      <c r="F239" s="466">
        <v>23</v>
      </c>
      <c r="G239" s="468">
        <v>33</v>
      </c>
      <c r="H239" s="468">
        <v>26</v>
      </c>
      <c r="I239" s="466">
        <v>4740</v>
      </c>
      <c r="J239" s="466">
        <v>3870</v>
      </c>
      <c r="K239" s="472">
        <f t="shared" si="3"/>
        <v>4240</v>
      </c>
      <c r="L239" s="521">
        <v>666</v>
      </c>
      <c r="M239" s="521">
        <v>666</v>
      </c>
      <c r="N239" s="490">
        <v>0</v>
      </c>
      <c r="O239" s="490">
        <v>0</v>
      </c>
      <c r="P239" s="466">
        <v>25</v>
      </c>
      <c r="Q239" s="468">
        <v>32</v>
      </c>
      <c r="R239" s="466">
        <v>92</v>
      </c>
      <c r="S239" s="468">
        <v>118</v>
      </c>
      <c r="T239" s="466">
        <v>720</v>
      </c>
      <c r="U239" s="468">
        <v>840</v>
      </c>
      <c r="V239" s="468">
        <v>0.9</v>
      </c>
      <c r="W239" s="466">
        <v>900</v>
      </c>
      <c r="X239" s="468">
        <v>980</v>
      </c>
      <c r="Y239" s="466">
        <v>100</v>
      </c>
      <c r="Z239" s="468">
        <v>110</v>
      </c>
      <c r="AA239" s="466">
        <v>3.1</v>
      </c>
      <c r="AB239" s="466">
        <v>0.4</v>
      </c>
      <c r="AC239" s="466">
        <v>4.3</v>
      </c>
      <c r="AD239" s="466">
        <v>0.6</v>
      </c>
      <c r="AE239" s="466">
        <v>0.25</v>
      </c>
      <c r="AF239" s="468">
        <v>0.28000000000000003</v>
      </c>
      <c r="AG239" s="466">
        <v>0.32</v>
      </c>
      <c r="AH239" s="468">
        <v>0.35</v>
      </c>
      <c r="AI239" s="466">
        <v>0.52</v>
      </c>
      <c r="AJ239" s="466">
        <v>-8</v>
      </c>
      <c r="AK239" s="466">
        <v>1.6</v>
      </c>
      <c r="AL239" s="490">
        <v>20.5</v>
      </c>
      <c r="AM239" s="703">
        <f>'COOLING-TARGET'!E$64</f>
        <v>15.1086005</v>
      </c>
    </row>
    <row r="240" spans="1:40" ht="25" customHeight="1" outlineLevel="1">
      <c r="A240" s="476" t="s">
        <v>52</v>
      </c>
      <c r="B240" s="466">
        <v>245</v>
      </c>
      <c r="C240" s="466">
        <v>-24</v>
      </c>
      <c r="D240" s="466">
        <v>-26</v>
      </c>
      <c r="E240" s="466">
        <v>29</v>
      </c>
      <c r="F240" s="466">
        <v>23</v>
      </c>
      <c r="G240" s="468">
        <v>33</v>
      </c>
      <c r="H240" s="468">
        <v>26</v>
      </c>
      <c r="I240" s="466">
        <v>4380</v>
      </c>
      <c r="J240" s="466">
        <v>3540</v>
      </c>
      <c r="K240" s="472">
        <f t="shared" si="3"/>
        <v>3880</v>
      </c>
      <c r="L240" s="484">
        <v>158</v>
      </c>
      <c r="M240" s="484">
        <v>315</v>
      </c>
      <c r="N240" s="490">
        <v>0</v>
      </c>
      <c r="O240" s="490">
        <v>0</v>
      </c>
      <c r="P240" s="466">
        <v>28</v>
      </c>
      <c r="Q240" s="468">
        <v>36</v>
      </c>
      <c r="R240" s="466">
        <v>97</v>
      </c>
      <c r="S240" s="468">
        <v>125</v>
      </c>
      <c r="T240" s="466">
        <v>700</v>
      </c>
      <c r="U240" s="468">
        <v>820</v>
      </c>
      <c r="V240" s="468">
        <v>0.8</v>
      </c>
      <c r="W240" s="466">
        <v>900</v>
      </c>
      <c r="X240" s="468">
        <v>990</v>
      </c>
      <c r="Y240" s="466">
        <v>120</v>
      </c>
      <c r="Z240" s="468">
        <v>130</v>
      </c>
      <c r="AA240" s="466">
        <v>2.5</v>
      </c>
      <c r="AB240" s="466">
        <v>0.4</v>
      </c>
      <c r="AC240" s="466">
        <v>3.6</v>
      </c>
      <c r="AD240" s="466">
        <v>0.6</v>
      </c>
      <c r="AE240" s="466">
        <v>0.28000000000000003</v>
      </c>
      <c r="AF240" s="468">
        <v>0.31</v>
      </c>
      <c r="AG240" s="466">
        <v>0.36</v>
      </c>
      <c r="AH240" s="468">
        <v>0.4</v>
      </c>
      <c r="AI240" s="466">
        <v>0.59</v>
      </c>
      <c r="AJ240" s="466">
        <v>-7</v>
      </c>
      <c r="AK240" s="466">
        <v>3.6</v>
      </c>
      <c r="AL240" s="490">
        <v>20.5</v>
      </c>
      <c r="AM240" s="703">
        <f>'COOLING-TARGET'!E$64</f>
        <v>15.1086005</v>
      </c>
    </row>
    <row r="241" spans="1:39" ht="25" customHeight="1" outlineLevel="1">
      <c r="A241" s="476" t="s">
        <v>53</v>
      </c>
      <c r="B241" s="466">
        <v>100</v>
      </c>
      <c r="C241" s="466">
        <v>-22</v>
      </c>
      <c r="D241" s="466">
        <v>-24</v>
      </c>
      <c r="E241" s="466">
        <v>28</v>
      </c>
      <c r="F241" s="466">
        <v>23</v>
      </c>
      <c r="G241" s="468">
        <v>32</v>
      </c>
      <c r="H241" s="468">
        <v>26</v>
      </c>
      <c r="I241" s="466">
        <v>3990</v>
      </c>
      <c r="J241" s="466">
        <v>3190</v>
      </c>
      <c r="K241" s="472">
        <f t="shared" si="3"/>
        <v>3490</v>
      </c>
      <c r="L241" s="521">
        <v>666</v>
      </c>
      <c r="M241" s="521">
        <v>666</v>
      </c>
      <c r="N241" s="490">
        <v>0</v>
      </c>
      <c r="O241" s="490">
        <v>0</v>
      </c>
      <c r="P241" s="466">
        <v>23</v>
      </c>
      <c r="Q241" s="468">
        <v>29</v>
      </c>
      <c r="R241" s="466">
        <v>108</v>
      </c>
      <c r="S241" s="468">
        <v>138</v>
      </c>
      <c r="T241" s="466">
        <v>780</v>
      </c>
      <c r="U241" s="468">
        <v>890</v>
      </c>
      <c r="V241" s="468">
        <v>1</v>
      </c>
      <c r="W241" s="466">
        <v>950</v>
      </c>
      <c r="X241" s="468">
        <v>1020</v>
      </c>
      <c r="Y241" s="466">
        <v>160</v>
      </c>
      <c r="Z241" s="468">
        <v>170</v>
      </c>
      <c r="AA241" s="466">
        <v>2.1</v>
      </c>
      <c r="AB241" s="466">
        <v>0.4</v>
      </c>
      <c r="AC241" s="466">
        <v>3</v>
      </c>
      <c r="AD241" s="466">
        <v>0.6</v>
      </c>
      <c r="AE241" s="466">
        <v>0.37</v>
      </c>
      <c r="AF241" s="468">
        <v>0.41</v>
      </c>
      <c r="AG241" s="466">
        <v>0.47</v>
      </c>
      <c r="AH241" s="468">
        <v>0.52</v>
      </c>
      <c r="AI241" s="466">
        <v>0.76</v>
      </c>
      <c r="AJ241" s="466">
        <v>-7</v>
      </c>
      <c r="AK241" s="466">
        <v>4.3</v>
      </c>
      <c r="AL241" s="490">
        <v>20.5</v>
      </c>
      <c r="AM241" s="703">
        <f>'COOLING-TARGET'!E$64</f>
        <v>15.1086005</v>
      </c>
    </row>
    <row r="242" spans="1:39" ht="25" customHeight="1" outlineLevel="1">
      <c r="A242" s="476" t="s">
        <v>54</v>
      </c>
      <c r="B242" s="466">
        <v>240</v>
      </c>
      <c r="C242" s="466">
        <v>-24</v>
      </c>
      <c r="D242" s="466">
        <v>-26</v>
      </c>
      <c r="E242" s="466">
        <v>30</v>
      </c>
      <c r="F242" s="466">
        <v>23</v>
      </c>
      <c r="G242" s="468">
        <v>34</v>
      </c>
      <c r="H242" s="468">
        <v>26</v>
      </c>
      <c r="I242" s="466">
        <v>4300</v>
      </c>
      <c r="J242" s="466">
        <v>3470</v>
      </c>
      <c r="K242" s="472">
        <f t="shared" si="3"/>
        <v>3800</v>
      </c>
      <c r="L242" s="521">
        <v>666</v>
      </c>
      <c r="M242" s="521">
        <v>666</v>
      </c>
      <c r="N242" s="490">
        <v>0</v>
      </c>
      <c r="O242" s="490">
        <v>0</v>
      </c>
      <c r="P242" s="466">
        <v>25</v>
      </c>
      <c r="Q242" s="468">
        <v>32</v>
      </c>
      <c r="R242" s="466">
        <v>108</v>
      </c>
      <c r="S242" s="468">
        <v>139</v>
      </c>
      <c r="T242" s="466">
        <v>720</v>
      </c>
      <c r="U242" s="468">
        <v>830</v>
      </c>
      <c r="V242" s="468">
        <v>0.9</v>
      </c>
      <c r="W242" s="466">
        <v>950</v>
      </c>
      <c r="X242" s="468">
        <v>1030</v>
      </c>
      <c r="Y242" s="466">
        <v>120</v>
      </c>
      <c r="Z242" s="468">
        <v>130</v>
      </c>
      <c r="AA242" s="466">
        <v>2.2000000000000002</v>
      </c>
      <c r="AB242" s="466">
        <v>0.4</v>
      </c>
      <c r="AC242" s="466">
        <v>3.2</v>
      </c>
      <c r="AD242" s="466">
        <v>0.6</v>
      </c>
      <c r="AE242" s="466">
        <v>0.28000000000000003</v>
      </c>
      <c r="AF242" s="468">
        <v>0.31</v>
      </c>
      <c r="AG242" s="466">
        <v>0.36</v>
      </c>
      <c r="AH242" s="468">
        <v>0.4</v>
      </c>
      <c r="AI242" s="466">
        <v>0.59</v>
      </c>
      <c r="AJ242" s="466">
        <v>-7</v>
      </c>
      <c r="AK242" s="466">
        <v>4.8</v>
      </c>
      <c r="AL242" s="490">
        <v>20.5</v>
      </c>
      <c r="AM242" s="703">
        <f>'COOLING-TARGET'!E$64</f>
        <v>15.1086005</v>
      </c>
    </row>
    <row r="243" spans="1:39" ht="25" customHeight="1" outlineLevel="1">
      <c r="A243" s="476" t="s">
        <v>55</v>
      </c>
      <c r="B243" s="466">
        <v>90</v>
      </c>
      <c r="C243" s="466">
        <v>-22</v>
      </c>
      <c r="D243" s="466">
        <v>-24</v>
      </c>
      <c r="E243" s="466">
        <v>29</v>
      </c>
      <c r="F243" s="466">
        <v>23</v>
      </c>
      <c r="G243" s="468">
        <v>33</v>
      </c>
      <c r="H243" s="468">
        <v>26</v>
      </c>
      <c r="I243" s="466">
        <v>3910</v>
      </c>
      <c r="J243" s="466">
        <v>3110</v>
      </c>
      <c r="K243" s="472">
        <f t="shared" si="3"/>
        <v>3410</v>
      </c>
      <c r="L243" s="521">
        <v>666</v>
      </c>
      <c r="M243" s="521">
        <v>666</v>
      </c>
      <c r="N243" s="490">
        <v>0</v>
      </c>
      <c r="O243" s="490">
        <v>0</v>
      </c>
      <c r="P243" s="466">
        <v>23</v>
      </c>
      <c r="Q243" s="468">
        <v>29</v>
      </c>
      <c r="R243" s="466">
        <v>97</v>
      </c>
      <c r="S243" s="468">
        <v>124</v>
      </c>
      <c r="T243" s="466">
        <v>760</v>
      </c>
      <c r="U243" s="468">
        <v>870</v>
      </c>
      <c r="V243" s="468">
        <v>0.9</v>
      </c>
      <c r="W243" s="466">
        <v>850</v>
      </c>
      <c r="X243" s="468">
        <v>920</v>
      </c>
      <c r="Y243" s="466">
        <v>180</v>
      </c>
      <c r="Z243" s="468">
        <v>190</v>
      </c>
      <c r="AA243" s="466">
        <v>1.7</v>
      </c>
      <c r="AB243" s="466">
        <v>0.4</v>
      </c>
      <c r="AC243" s="466">
        <v>2.4</v>
      </c>
      <c r="AD243" s="466">
        <v>0.6</v>
      </c>
      <c r="AE243" s="466">
        <v>0.34</v>
      </c>
      <c r="AF243" s="468">
        <v>0.37</v>
      </c>
      <c r="AG243" s="466">
        <v>0.43</v>
      </c>
      <c r="AH243" s="468">
        <v>0.47</v>
      </c>
      <c r="AI243" s="466">
        <v>0.69</v>
      </c>
      <c r="AJ243" s="466">
        <v>-7</v>
      </c>
      <c r="AK243" s="466">
        <v>4</v>
      </c>
      <c r="AL243" s="490">
        <v>20.5</v>
      </c>
      <c r="AM243" s="703">
        <f>'COOLING-TARGET'!E$64</f>
        <v>15.1086005</v>
      </c>
    </row>
    <row r="244" spans="1:39" ht="25" customHeight="1" outlineLevel="1">
      <c r="A244" s="476" t="s">
        <v>56</v>
      </c>
      <c r="B244" s="466">
        <v>260</v>
      </c>
      <c r="C244" s="466">
        <v>-17</v>
      </c>
      <c r="D244" s="466">
        <v>-19</v>
      </c>
      <c r="E244" s="466">
        <v>30</v>
      </c>
      <c r="F244" s="466">
        <v>24</v>
      </c>
      <c r="G244" s="468">
        <v>34</v>
      </c>
      <c r="H244" s="468">
        <v>27</v>
      </c>
      <c r="I244" s="466">
        <v>3840</v>
      </c>
      <c r="J244" s="466">
        <v>3050</v>
      </c>
      <c r="K244" s="472">
        <f t="shared" si="3"/>
        <v>3340</v>
      </c>
      <c r="L244" s="521">
        <v>666</v>
      </c>
      <c r="M244" s="521">
        <v>666</v>
      </c>
      <c r="N244" s="490">
        <v>0</v>
      </c>
      <c r="O244" s="490">
        <v>0</v>
      </c>
      <c r="P244" s="466">
        <v>25</v>
      </c>
      <c r="Q244" s="468">
        <v>32</v>
      </c>
      <c r="R244" s="466">
        <v>97</v>
      </c>
      <c r="S244" s="468">
        <v>123</v>
      </c>
      <c r="T244" s="466">
        <v>850</v>
      </c>
      <c r="U244" s="468">
        <v>970</v>
      </c>
      <c r="V244" s="468">
        <v>1</v>
      </c>
      <c r="W244" s="466">
        <v>950</v>
      </c>
      <c r="X244" s="468">
        <v>1030</v>
      </c>
      <c r="Y244" s="466">
        <v>180</v>
      </c>
      <c r="Z244" s="468">
        <v>200</v>
      </c>
      <c r="AA244" s="466">
        <v>1.7</v>
      </c>
      <c r="AB244" s="466">
        <v>0.4</v>
      </c>
      <c r="AC244" s="466">
        <v>2.5</v>
      </c>
      <c r="AD244" s="466">
        <v>0.6</v>
      </c>
      <c r="AE244" s="466">
        <v>0.37</v>
      </c>
      <c r="AF244" s="468">
        <v>0.41</v>
      </c>
      <c r="AG244" s="466">
        <v>0.47</v>
      </c>
      <c r="AH244" s="468">
        <v>0.52</v>
      </c>
      <c r="AI244" s="466">
        <v>0.76</v>
      </c>
      <c r="AJ244" s="466">
        <v>-6</v>
      </c>
      <c r="AK244" s="466">
        <v>3.5</v>
      </c>
      <c r="AL244" s="490">
        <v>20.5</v>
      </c>
      <c r="AM244" s="703">
        <f>'COOLING-TARGET'!E$64</f>
        <v>15.1086005</v>
      </c>
    </row>
    <row r="245" spans="1:39" ht="25" customHeight="1" outlineLevel="1">
      <c r="A245" s="476" t="s">
        <v>1146</v>
      </c>
      <c r="B245" s="466">
        <v>225</v>
      </c>
      <c r="C245" s="466">
        <v>-23</v>
      </c>
      <c r="D245" s="466">
        <v>-25</v>
      </c>
      <c r="E245" s="466">
        <v>29</v>
      </c>
      <c r="F245" s="466">
        <v>23</v>
      </c>
      <c r="G245" s="468">
        <v>33</v>
      </c>
      <c r="H245" s="468">
        <v>26</v>
      </c>
      <c r="I245" s="466">
        <v>4300</v>
      </c>
      <c r="J245" s="466">
        <v>3470</v>
      </c>
      <c r="K245" s="472">
        <f t="shared" si="3"/>
        <v>3800</v>
      </c>
      <c r="L245" s="521">
        <v>666</v>
      </c>
      <c r="M245" s="521">
        <v>666</v>
      </c>
      <c r="N245" s="490">
        <v>0</v>
      </c>
      <c r="O245" s="490">
        <v>0</v>
      </c>
      <c r="P245" s="466">
        <v>28</v>
      </c>
      <c r="Q245" s="468">
        <v>36</v>
      </c>
      <c r="R245" s="466">
        <v>103</v>
      </c>
      <c r="S245" s="468">
        <v>133</v>
      </c>
      <c r="T245" s="466">
        <v>690</v>
      </c>
      <c r="U245" s="468">
        <v>800</v>
      </c>
      <c r="V245" s="468">
        <v>0.9</v>
      </c>
      <c r="W245" s="466">
        <v>875</v>
      </c>
      <c r="X245" s="468">
        <v>960</v>
      </c>
      <c r="Y245" s="466">
        <v>120</v>
      </c>
      <c r="Z245" s="468">
        <v>130</v>
      </c>
      <c r="AA245" s="466">
        <v>2.2000000000000002</v>
      </c>
      <c r="AB245" s="466">
        <v>0.4</v>
      </c>
      <c r="AC245" s="466">
        <v>3.2</v>
      </c>
      <c r="AD245" s="466">
        <v>0.6</v>
      </c>
      <c r="AE245" s="466">
        <v>0.28000000000000003</v>
      </c>
      <c r="AF245" s="468">
        <v>0.31</v>
      </c>
      <c r="AG245" s="466">
        <v>0.36</v>
      </c>
      <c r="AH245" s="468">
        <v>0.4</v>
      </c>
      <c r="AI245" s="466">
        <v>0.59</v>
      </c>
      <c r="AJ245" s="466">
        <v>-6</v>
      </c>
      <c r="AK245" s="466">
        <v>3.6</v>
      </c>
      <c r="AL245" s="490">
        <v>20.5</v>
      </c>
      <c r="AM245" s="703">
        <f>'COOLING-TARGET'!E$64</f>
        <v>15.1086005</v>
      </c>
    </row>
    <row r="246" spans="1:39" ht="25" customHeight="1" outlineLevel="1">
      <c r="A246" s="476" t="s">
        <v>57</v>
      </c>
      <c r="B246" s="466">
        <v>310</v>
      </c>
      <c r="C246" s="466">
        <v>-26</v>
      </c>
      <c r="D246" s="466">
        <v>-28</v>
      </c>
      <c r="E246" s="466">
        <v>29</v>
      </c>
      <c r="F246" s="466">
        <v>23</v>
      </c>
      <c r="G246" s="468">
        <v>33</v>
      </c>
      <c r="H246" s="468">
        <v>26</v>
      </c>
      <c r="I246" s="466">
        <v>4800</v>
      </c>
      <c r="J246" s="466">
        <v>3920</v>
      </c>
      <c r="K246" s="472">
        <f t="shared" si="3"/>
        <v>4300</v>
      </c>
      <c r="L246" s="521">
        <v>666</v>
      </c>
      <c r="M246" s="521">
        <v>666</v>
      </c>
      <c r="N246" s="490">
        <v>0</v>
      </c>
      <c r="O246" s="490">
        <v>0</v>
      </c>
      <c r="P246" s="466">
        <v>25</v>
      </c>
      <c r="Q246" s="468">
        <v>32</v>
      </c>
      <c r="R246" s="466">
        <v>103</v>
      </c>
      <c r="S246" s="468">
        <v>132</v>
      </c>
      <c r="T246" s="466">
        <v>830</v>
      </c>
      <c r="U246" s="468">
        <v>960</v>
      </c>
      <c r="V246" s="468">
        <v>1</v>
      </c>
      <c r="W246" s="466">
        <v>1050</v>
      </c>
      <c r="X246" s="468">
        <v>1120</v>
      </c>
      <c r="Y246" s="466">
        <v>120</v>
      </c>
      <c r="Z246" s="468">
        <v>130</v>
      </c>
      <c r="AA246" s="466">
        <v>3.1</v>
      </c>
      <c r="AB246" s="466">
        <v>0.4</v>
      </c>
      <c r="AC246" s="466">
        <v>4.3</v>
      </c>
      <c r="AD246" s="466">
        <v>0.6</v>
      </c>
      <c r="AE246" s="466">
        <v>0.27</v>
      </c>
      <c r="AF246" s="468">
        <v>0.3</v>
      </c>
      <c r="AG246" s="466">
        <v>0.35</v>
      </c>
      <c r="AH246" s="468">
        <v>0.39</v>
      </c>
      <c r="AI246" s="466">
        <v>0.57999999999999996</v>
      </c>
      <c r="AJ246" s="466">
        <v>-8</v>
      </c>
      <c r="AK246" s="466">
        <v>2</v>
      </c>
      <c r="AL246" s="490">
        <v>20.5</v>
      </c>
      <c r="AM246" s="703">
        <f>'COOLING-TARGET'!E$64</f>
        <v>15.1086005</v>
      </c>
    </row>
    <row r="247" spans="1:39" ht="25" customHeight="1" outlineLevel="1">
      <c r="A247" s="476" t="s">
        <v>58</v>
      </c>
      <c r="B247" s="466">
        <v>240</v>
      </c>
      <c r="C247" s="466">
        <v>-23</v>
      </c>
      <c r="D247" s="466">
        <v>-25</v>
      </c>
      <c r="E247" s="466">
        <v>30</v>
      </c>
      <c r="F247" s="466">
        <v>23</v>
      </c>
      <c r="G247" s="468">
        <v>34</v>
      </c>
      <c r="H247" s="468">
        <v>26</v>
      </c>
      <c r="I247" s="466">
        <v>4280</v>
      </c>
      <c r="J247" s="466">
        <v>3450</v>
      </c>
      <c r="K247" s="472">
        <f t="shared" si="3"/>
        <v>3780</v>
      </c>
      <c r="L247" s="521">
        <v>666</v>
      </c>
      <c r="M247" s="521">
        <v>666</v>
      </c>
      <c r="N247" s="490">
        <v>0</v>
      </c>
      <c r="O247" s="490">
        <v>0</v>
      </c>
      <c r="P247" s="466">
        <v>28</v>
      </c>
      <c r="Q247" s="468">
        <v>36</v>
      </c>
      <c r="R247" s="466">
        <v>108</v>
      </c>
      <c r="S247" s="468">
        <v>139</v>
      </c>
      <c r="T247" s="466">
        <v>680</v>
      </c>
      <c r="U247" s="468">
        <v>790</v>
      </c>
      <c r="V247" s="468">
        <v>0.8</v>
      </c>
      <c r="W247" s="466">
        <v>800</v>
      </c>
      <c r="X247" s="468">
        <v>880</v>
      </c>
      <c r="Y247" s="466">
        <v>120</v>
      </c>
      <c r="Z247" s="468">
        <v>130</v>
      </c>
      <c r="AA247" s="466">
        <v>2.1</v>
      </c>
      <c r="AB247" s="466">
        <v>0.4</v>
      </c>
      <c r="AC247" s="466">
        <v>3</v>
      </c>
      <c r="AD247" s="466">
        <v>0.6</v>
      </c>
      <c r="AE247" s="466">
        <v>0.28000000000000003</v>
      </c>
      <c r="AF247" s="468">
        <v>0.31</v>
      </c>
      <c r="AG247" s="466">
        <v>0.36</v>
      </c>
      <c r="AH247" s="468">
        <v>0.4</v>
      </c>
      <c r="AI247" s="466">
        <v>0.59</v>
      </c>
      <c r="AJ247" s="466">
        <v>-7</v>
      </c>
      <c r="AK247" s="466">
        <v>3.5</v>
      </c>
      <c r="AL247" s="490">
        <v>20.5</v>
      </c>
      <c r="AM247" s="703">
        <f>'COOLING-TARGET'!E$64</f>
        <v>15.1086005</v>
      </c>
    </row>
    <row r="248" spans="1:39" ht="25" customHeight="1" outlineLevel="1">
      <c r="A248" s="476" t="s">
        <v>59</v>
      </c>
      <c r="B248" s="466">
        <v>215</v>
      </c>
      <c r="C248" s="466">
        <v>-19</v>
      </c>
      <c r="D248" s="466">
        <v>-21</v>
      </c>
      <c r="E248" s="466">
        <v>30</v>
      </c>
      <c r="F248" s="466">
        <v>23</v>
      </c>
      <c r="G248" s="468">
        <v>34</v>
      </c>
      <c r="H248" s="468">
        <v>26</v>
      </c>
      <c r="I248" s="466">
        <v>4100</v>
      </c>
      <c r="J248" s="466">
        <v>3290</v>
      </c>
      <c r="K248" s="472">
        <f t="shared" si="3"/>
        <v>3600</v>
      </c>
      <c r="L248" s="521">
        <v>666</v>
      </c>
      <c r="M248" s="521">
        <v>666</v>
      </c>
      <c r="N248" s="490">
        <v>0</v>
      </c>
      <c r="O248" s="490">
        <v>0</v>
      </c>
      <c r="P248" s="466">
        <v>28</v>
      </c>
      <c r="Q248" s="468">
        <v>36</v>
      </c>
      <c r="R248" s="466">
        <v>119</v>
      </c>
      <c r="S248" s="468">
        <v>152</v>
      </c>
      <c r="T248" s="466">
        <v>720</v>
      </c>
      <c r="U248" s="468">
        <v>840</v>
      </c>
      <c r="V248" s="468">
        <v>0.8</v>
      </c>
      <c r="W248" s="466">
        <v>820</v>
      </c>
      <c r="X248" s="468">
        <v>900</v>
      </c>
      <c r="Y248" s="466">
        <v>140</v>
      </c>
      <c r="Z248" s="468">
        <v>150</v>
      </c>
      <c r="AA248" s="466">
        <v>1.3</v>
      </c>
      <c r="AB248" s="466">
        <v>0.4</v>
      </c>
      <c r="AC248" s="466">
        <v>1.9</v>
      </c>
      <c r="AD248" s="466">
        <v>0.6</v>
      </c>
      <c r="AE248" s="466">
        <v>0.34</v>
      </c>
      <c r="AF248" s="468">
        <v>0.37</v>
      </c>
      <c r="AG248" s="466">
        <v>0.44</v>
      </c>
      <c r="AH248" s="468">
        <v>0.48</v>
      </c>
      <c r="AI248" s="466">
        <v>0.73</v>
      </c>
      <c r="AJ248" s="466">
        <v>-6</v>
      </c>
      <c r="AK248" s="466">
        <v>5</v>
      </c>
      <c r="AL248" s="490">
        <v>20.5</v>
      </c>
      <c r="AM248" s="703">
        <f>'COOLING-TARGET'!E$64</f>
        <v>15.1086005</v>
      </c>
    </row>
    <row r="249" spans="1:39" ht="25" customHeight="1" outlineLevel="1">
      <c r="A249" s="476" t="s">
        <v>60</v>
      </c>
      <c r="B249" s="466">
        <v>205</v>
      </c>
      <c r="C249" s="466">
        <v>-18</v>
      </c>
      <c r="D249" s="466">
        <v>-20</v>
      </c>
      <c r="E249" s="466">
        <v>30</v>
      </c>
      <c r="F249" s="466">
        <v>23</v>
      </c>
      <c r="G249" s="468">
        <v>34</v>
      </c>
      <c r="H249" s="468">
        <v>26</v>
      </c>
      <c r="I249" s="466">
        <v>3900</v>
      </c>
      <c r="J249" s="466">
        <v>3110</v>
      </c>
      <c r="K249" s="472">
        <f t="shared" si="3"/>
        <v>3400</v>
      </c>
      <c r="L249" s="521">
        <v>666</v>
      </c>
      <c r="M249" s="521">
        <v>666</v>
      </c>
      <c r="N249" s="490">
        <v>0</v>
      </c>
      <c r="O249" s="490">
        <v>0</v>
      </c>
      <c r="P249" s="466">
        <v>23</v>
      </c>
      <c r="Q249" s="468">
        <v>29</v>
      </c>
      <c r="R249" s="466">
        <v>103</v>
      </c>
      <c r="S249" s="468">
        <v>131</v>
      </c>
      <c r="T249" s="466">
        <v>780</v>
      </c>
      <c r="U249" s="468">
        <v>900</v>
      </c>
      <c r="V249" s="468">
        <v>0.9</v>
      </c>
      <c r="W249" s="466">
        <v>850</v>
      </c>
      <c r="X249" s="468">
        <v>930</v>
      </c>
      <c r="Y249" s="466">
        <v>160</v>
      </c>
      <c r="Z249" s="468">
        <v>170</v>
      </c>
      <c r="AA249" s="466">
        <v>1.3</v>
      </c>
      <c r="AB249" s="466">
        <v>0.4</v>
      </c>
      <c r="AC249" s="466">
        <v>1.9</v>
      </c>
      <c r="AD249" s="466">
        <v>0.6</v>
      </c>
      <c r="AE249" s="466">
        <v>0.33</v>
      </c>
      <c r="AF249" s="468">
        <v>0.36</v>
      </c>
      <c r="AG249" s="466">
        <v>0.42</v>
      </c>
      <c r="AH249" s="468">
        <v>0.46</v>
      </c>
      <c r="AI249" s="466">
        <v>0.68</v>
      </c>
      <c r="AJ249" s="466">
        <v>-6</v>
      </c>
      <c r="AK249" s="466">
        <v>4.4000000000000004</v>
      </c>
      <c r="AL249" s="490">
        <v>20.5</v>
      </c>
      <c r="AM249" s="703">
        <f>'COOLING-TARGET'!E$64</f>
        <v>15.1086005</v>
      </c>
    </row>
    <row r="250" spans="1:39" ht="25" customHeight="1" outlineLevel="1">
      <c r="A250" s="476" t="s">
        <v>61</v>
      </c>
      <c r="B250" s="466">
        <v>95</v>
      </c>
      <c r="C250" s="466">
        <v>-21</v>
      </c>
      <c r="D250" s="466">
        <v>-23</v>
      </c>
      <c r="E250" s="466">
        <v>29</v>
      </c>
      <c r="F250" s="466">
        <v>23</v>
      </c>
      <c r="G250" s="468">
        <v>33</v>
      </c>
      <c r="H250" s="468">
        <v>26</v>
      </c>
      <c r="I250" s="466">
        <v>4000</v>
      </c>
      <c r="J250" s="466">
        <v>3200</v>
      </c>
      <c r="K250" s="472">
        <f t="shared" si="3"/>
        <v>3500</v>
      </c>
      <c r="L250" s="521">
        <v>666</v>
      </c>
      <c r="M250" s="521">
        <v>666</v>
      </c>
      <c r="N250" s="490">
        <v>0</v>
      </c>
      <c r="O250" s="490">
        <v>0</v>
      </c>
      <c r="P250" s="466">
        <v>23</v>
      </c>
      <c r="Q250" s="468">
        <v>29</v>
      </c>
      <c r="R250" s="466">
        <v>94</v>
      </c>
      <c r="S250" s="468">
        <v>121</v>
      </c>
      <c r="T250" s="466">
        <v>760</v>
      </c>
      <c r="U250" s="468">
        <v>870</v>
      </c>
      <c r="V250" s="468">
        <v>0.9</v>
      </c>
      <c r="W250" s="466">
        <v>850</v>
      </c>
      <c r="X250" s="468">
        <v>920</v>
      </c>
      <c r="Y250" s="466">
        <v>160</v>
      </c>
      <c r="Z250" s="468">
        <v>170</v>
      </c>
      <c r="AA250" s="466">
        <v>1.6</v>
      </c>
      <c r="AB250" s="466">
        <v>0.4</v>
      </c>
      <c r="AC250" s="466">
        <v>2.2999999999999998</v>
      </c>
      <c r="AD250" s="466">
        <v>0.6</v>
      </c>
      <c r="AE250" s="466">
        <v>0.37</v>
      </c>
      <c r="AF250" s="468">
        <v>0.41</v>
      </c>
      <c r="AG250" s="466">
        <v>0.48</v>
      </c>
      <c r="AH250" s="468">
        <v>0.53</v>
      </c>
      <c r="AI250" s="466">
        <v>0.8</v>
      </c>
      <c r="AJ250" s="466">
        <v>-6</v>
      </c>
      <c r="AK250" s="466">
        <v>3.8</v>
      </c>
      <c r="AL250" s="490">
        <v>20.5</v>
      </c>
      <c r="AM250" s="703">
        <f>'COOLING-TARGET'!E$64</f>
        <v>15.1086005</v>
      </c>
    </row>
    <row r="251" spans="1:39" ht="25" customHeight="1" outlineLevel="1">
      <c r="A251" s="476" t="s">
        <v>62</v>
      </c>
      <c r="B251" s="466">
        <v>85</v>
      </c>
      <c r="C251" s="466">
        <v>-23</v>
      </c>
      <c r="D251" s="466">
        <v>-25</v>
      </c>
      <c r="E251" s="466">
        <v>29</v>
      </c>
      <c r="F251" s="466">
        <v>23</v>
      </c>
      <c r="G251" s="468">
        <v>33</v>
      </c>
      <c r="H251" s="468">
        <v>26</v>
      </c>
      <c r="I251" s="466">
        <v>4060</v>
      </c>
      <c r="J251" s="466">
        <v>3250</v>
      </c>
      <c r="K251" s="472">
        <f t="shared" si="3"/>
        <v>3560</v>
      </c>
      <c r="L251" s="521">
        <v>666</v>
      </c>
      <c r="M251" s="521">
        <v>666</v>
      </c>
      <c r="N251" s="490">
        <v>0</v>
      </c>
      <c r="O251" s="490">
        <v>0</v>
      </c>
      <c r="P251" s="466">
        <v>25</v>
      </c>
      <c r="Q251" s="468">
        <v>32</v>
      </c>
      <c r="R251" s="466">
        <v>103</v>
      </c>
      <c r="S251" s="468">
        <v>132</v>
      </c>
      <c r="T251" s="466">
        <v>770</v>
      </c>
      <c r="U251" s="468">
        <v>900</v>
      </c>
      <c r="V251" s="468">
        <v>0.9</v>
      </c>
      <c r="W251" s="466">
        <v>975</v>
      </c>
      <c r="X251" s="468">
        <v>1070</v>
      </c>
      <c r="Y251" s="466">
        <v>180</v>
      </c>
      <c r="AA251" s="466">
        <v>2.2000000000000002</v>
      </c>
      <c r="AB251" s="466">
        <v>0.4</v>
      </c>
      <c r="AC251" s="466">
        <v>3.1</v>
      </c>
      <c r="AD251" s="466">
        <v>0.6</v>
      </c>
      <c r="AE251" s="466">
        <v>0.34</v>
      </c>
      <c r="AF251" s="468">
        <v>0.37</v>
      </c>
      <c r="AG251" s="466">
        <v>0.44</v>
      </c>
      <c r="AH251" s="468">
        <v>0.48</v>
      </c>
      <c r="AI251" s="466">
        <v>0.73</v>
      </c>
      <c r="AJ251" s="466">
        <v>-8</v>
      </c>
      <c r="AK251" s="466">
        <v>3.2</v>
      </c>
      <c r="AL251" s="490">
        <v>20.5</v>
      </c>
      <c r="AM251" s="703">
        <f>'COOLING-TARGET'!E$64</f>
        <v>15.1086005</v>
      </c>
    </row>
    <row r="252" spans="1:39" ht="25" customHeight="1" outlineLevel="1">
      <c r="A252" s="476" t="s">
        <v>63</v>
      </c>
      <c r="B252" s="466">
        <v>305</v>
      </c>
      <c r="C252" s="466">
        <v>-26</v>
      </c>
      <c r="D252" s="466">
        <v>-28</v>
      </c>
      <c r="E252" s="466">
        <v>29</v>
      </c>
      <c r="F252" s="466">
        <v>22</v>
      </c>
      <c r="G252" s="468">
        <v>33</v>
      </c>
      <c r="H252" s="468">
        <v>25</v>
      </c>
      <c r="I252" s="466">
        <v>5020</v>
      </c>
      <c r="J252" s="466">
        <v>4120</v>
      </c>
      <c r="K252" s="472">
        <f t="shared" si="3"/>
        <v>4520</v>
      </c>
      <c r="L252" s="521">
        <v>666</v>
      </c>
      <c r="M252" s="521">
        <v>666</v>
      </c>
      <c r="N252" s="490">
        <v>0</v>
      </c>
      <c r="O252" s="490">
        <v>0</v>
      </c>
      <c r="P252" s="466">
        <v>25</v>
      </c>
      <c r="Q252" s="468">
        <v>32</v>
      </c>
      <c r="R252" s="466">
        <v>97</v>
      </c>
      <c r="S252" s="468">
        <v>125</v>
      </c>
      <c r="T252" s="466">
        <v>810</v>
      </c>
      <c r="U252" s="468">
        <v>950</v>
      </c>
      <c r="V252" s="468">
        <v>0.9</v>
      </c>
      <c r="W252" s="466">
        <v>1010</v>
      </c>
      <c r="X252" s="468">
        <v>1090</v>
      </c>
      <c r="Y252" s="466">
        <v>120</v>
      </c>
      <c r="AA252" s="466">
        <v>2.7</v>
      </c>
      <c r="AB252" s="466">
        <v>0.4</v>
      </c>
      <c r="AC252" s="466">
        <v>3.7</v>
      </c>
      <c r="AD252" s="466">
        <v>0.6</v>
      </c>
      <c r="AE252" s="466">
        <v>0.27</v>
      </c>
      <c r="AF252" s="468">
        <v>0.3</v>
      </c>
      <c r="AG252" s="466">
        <v>0.35</v>
      </c>
      <c r="AH252" s="468">
        <v>0.39</v>
      </c>
      <c r="AI252" s="466">
        <v>0.57999999999999996</v>
      </c>
      <c r="AJ252" s="466">
        <v>-9</v>
      </c>
      <c r="AK252" s="466">
        <v>2.5</v>
      </c>
      <c r="AL252" s="490">
        <v>20.5</v>
      </c>
      <c r="AM252" s="703">
        <f>'COOLING-TARGET'!E$64</f>
        <v>15.1086005</v>
      </c>
    </row>
    <row r="253" spans="1:39" ht="25" customHeight="1" outlineLevel="1">
      <c r="A253" s="476" t="s">
        <v>64</v>
      </c>
      <c r="B253" s="466">
        <v>80</v>
      </c>
      <c r="C253" s="466">
        <v>-17</v>
      </c>
      <c r="D253" s="466">
        <v>-19</v>
      </c>
      <c r="E253" s="466">
        <v>31</v>
      </c>
      <c r="F253" s="466">
        <v>23</v>
      </c>
      <c r="G253" s="468">
        <v>35</v>
      </c>
      <c r="H253" s="468">
        <v>26</v>
      </c>
      <c r="I253" s="466">
        <v>3740</v>
      </c>
      <c r="J253" s="466">
        <v>2960</v>
      </c>
      <c r="K253" s="472">
        <f t="shared" si="3"/>
        <v>3240</v>
      </c>
      <c r="L253" s="521">
        <v>666</v>
      </c>
      <c r="M253" s="521">
        <v>666</v>
      </c>
      <c r="N253" s="490">
        <v>0</v>
      </c>
      <c r="O253" s="490">
        <v>0</v>
      </c>
      <c r="P253" s="466">
        <v>23</v>
      </c>
      <c r="Q253" s="468">
        <v>29</v>
      </c>
      <c r="R253" s="466">
        <v>103</v>
      </c>
      <c r="S253" s="468">
        <v>131</v>
      </c>
      <c r="T253" s="466">
        <v>770</v>
      </c>
      <c r="U253" s="468">
        <v>890</v>
      </c>
      <c r="V253" s="468">
        <v>0.9</v>
      </c>
      <c r="W253" s="466">
        <v>850</v>
      </c>
      <c r="X253" s="468">
        <v>930</v>
      </c>
      <c r="Y253" s="466">
        <v>160</v>
      </c>
      <c r="Z253" s="468">
        <v>170</v>
      </c>
      <c r="AA253" s="466">
        <v>1.1000000000000001</v>
      </c>
      <c r="AB253" s="466">
        <v>0.4</v>
      </c>
      <c r="AC253" s="466">
        <v>1.6</v>
      </c>
      <c r="AD253" s="466">
        <v>0.6</v>
      </c>
      <c r="AE253" s="466">
        <v>0.36</v>
      </c>
      <c r="AF253" s="468">
        <v>0.4</v>
      </c>
      <c r="AG253" s="466">
        <v>0.46</v>
      </c>
      <c r="AH253" s="468">
        <v>0.51</v>
      </c>
      <c r="AI253" s="466">
        <v>0.75</v>
      </c>
      <c r="AJ253" s="466">
        <v>-5</v>
      </c>
      <c r="AK253" s="466">
        <v>4</v>
      </c>
      <c r="AL253" s="490">
        <v>20.5</v>
      </c>
      <c r="AM253" s="703">
        <f>'COOLING-TARGET'!E$64</f>
        <v>15.1086005</v>
      </c>
    </row>
    <row r="254" spans="1:39" ht="25" customHeight="1" outlineLevel="1">
      <c r="A254" s="476" t="s">
        <v>65</v>
      </c>
      <c r="B254" s="466">
        <v>295</v>
      </c>
      <c r="C254" s="466">
        <v>-18</v>
      </c>
      <c r="D254" s="466">
        <v>-20</v>
      </c>
      <c r="E254" s="466">
        <v>29</v>
      </c>
      <c r="F254" s="466">
        <v>23</v>
      </c>
      <c r="G254" s="468">
        <v>33</v>
      </c>
      <c r="H254" s="468">
        <v>26</v>
      </c>
      <c r="I254" s="466">
        <v>4100</v>
      </c>
      <c r="J254" s="466">
        <v>3290</v>
      </c>
      <c r="K254" s="472">
        <f t="shared" si="3"/>
        <v>3600</v>
      </c>
      <c r="L254" s="521">
        <v>666</v>
      </c>
      <c r="M254" s="521">
        <v>666</v>
      </c>
      <c r="N254" s="490">
        <v>0</v>
      </c>
      <c r="O254" s="490">
        <v>0</v>
      </c>
      <c r="P254" s="466">
        <v>25</v>
      </c>
      <c r="Q254" s="468">
        <v>32</v>
      </c>
      <c r="R254" s="466">
        <v>113</v>
      </c>
      <c r="S254" s="468">
        <v>144</v>
      </c>
      <c r="T254" s="466">
        <v>800</v>
      </c>
      <c r="U254" s="468">
        <v>920</v>
      </c>
      <c r="V254" s="468">
        <v>0.9</v>
      </c>
      <c r="W254" s="466">
        <v>890</v>
      </c>
      <c r="X254" s="468">
        <v>970</v>
      </c>
      <c r="Y254" s="466">
        <v>160</v>
      </c>
      <c r="Z254" s="468">
        <v>170</v>
      </c>
      <c r="AA254" s="466">
        <v>1.6</v>
      </c>
      <c r="AB254" s="466">
        <v>0.4</v>
      </c>
      <c r="AC254" s="466">
        <v>2.2999999999999998</v>
      </c>
      <c r="AD254" s="466">
        <v>0.6</v>
      </c>
      <c r="AE254" s="466">
        <v>0.28000000000000003</v>
      </c>
      <c r="AF254" s="468">
        <v>0.31</v>
      </c>
      <c r="AG254" s="466">
        <v>0.36</v>
      </c>
      <c r="AH254" s="468">
        <v>0.4</v>
      </c>
      <c r="AI254" s="466">
        <v>0.59</v>
      </c>
      <c r="AJ254" s="466">
        <v>-6</v>
      </c>
      <c r="AK254" s="466">
        <v>4.4000000000000004</v>
      </c>
      <c r="AL254" s="490">
        <v>20.5</v>
      </c>
      <c r="AM254" s="703">
        <f>'COOLING-TARGET'!E$64</f>
        <v>15.1086005</v>
      </c>
    </row>
    <row r="255" spans="1:39" ht="25" customHeight="1" outlineLevel="1">
      <c r="A255" s="476" t="s">
        <v>66</v>
      </c>
      <c r="B255" s="466">
        <v>150</v>
      </c>
      <c r="C255" s="466">
        <v>-23</v>
      </c>
      <c r="D255" s="466">
        <v>-26</v>
      </c>
      <c r="E255" s="466">
        <v>30</v>
      </c>
      <c r="F255" s="466">
        <v>23</v>
      </c>
      <c r="G255" s="468">
        <v>34</v>
      </c>
      <c r="H255" s="468">
        <v>26</v>
      </c>
      <c r="I255" s="466">
        <v>4280</v>
      </c>
      <c r="J255" s="466">
        <v>3450</v>
      </c>
      <c r="K255" s="472">
        <f t="shared" si="3"/>
        <v>3780</v>
      </c>
      <c r="L255" s="521">
        <v>666</v>
      </c>
      <c r="M255" s="521">
        <v>666</v>
      </c>
      <c r="N255" s="490">
        <v>0</v>
      </c>
      <c r="O255" s="490">
        <v>0</v>
      </c>
      <c r="P255" s="466">
        <v>25</v>
      </c>
      <c r="Q255" s="468">
        <v>32</v>
      </c>
      <c r="R255" s="466">
        <v>97</v>
      </c>
      <c r="S255" s="468">
        <v>125</v>
      </c>
      <c r="T255" s="466">
        <v>730</v>
      </c>
      <c r="U255" s="468">
        <v>840</v>
      </c>
      <c r="V255" s="468">
        <v>0.9</v>
      </c>
      <c r="W255" s="466">
        <v>850</v>
      </c>
      <c r="X255" s="468">
        <v>930</v>
      </c>
      <c r="Y255" s="466">
        <v>160</v>
      </c>
      <c r="Z255" s="468">
        <v>170</v>
      </c>
      <c r="AA255" s="466">
        <v>1.7</v>
      </c>
      <c r="AB255" s="466">
        <v>0.4</v>
      </c>
      <c r="AC255" s="466">
        <v>2.4</v>
      </c>
      <c r="AD255" s="466">
        <v>0.6</v>
      </c>
      <c r="AE255" s="466">
        <v>0.32</v>
      </c>
      <c r="AF255" s="468">
        <v>0.35</v>
      </c>
      <c r="AG255" s="466">
        <v>0.41</v>
      </c>
      <c r="AH255" s="468">
        <v>0.45</v>
      </c>
      <c r="AI255" s="466">
        <v>0.67</v>
      </c>
      <c r="AJ255" s="466">
        <v>-7</v>
      </c>
      <c r="AK255" s="466">
        <v>2.2000000000000002</v>
      </c>
      <c r="AL255" s="490">
        <v>20.5</v>
      </c>
      <c r="AM255" s="703">
        <f>'COOLING-TARGET'!E$64</f>
        <v>15.1086005</v>
      </c>
    </row>
    <row r="256" spans="1:39" ht="25" customHeight="1" outlineLevel="1">
      <c r="A256" s="476" t="s">
        <v>67</v>
      </c>
      <c r="B256" s="466">
        <v>255</v>
      </c>
      <c r="C256" s="466">
        <v>-24</v>
      </c>
      <c r="D256" s="466">
        <v>-26</v>
      </c>
      <c r="E256" s="466">
        <v>30</v>
      </c>
      <c r="F256" s="466">
        <v>23</v>
      </c>
      <c r="G256" s="468">
        <v>34</v>
      </c>
      <c r="H256" s="468">
        <v>26</v>
      </c>
      <c r="I256" s="466">
        <v>4310</v>
      </c>
      <c r="J256" s="466">
        <v>3480</v>
      </c>
      <c r="K256" s="472">
        <f t="shared" si="3"/>
        <v>3810</v>
      </c>
      <c r="L256" s="521">
        <v>666</v>
      </c>
      <c r="M256" s="521">
        <v>666</v>
      </c>
      <c r="N256" s="490">
        <v>0</v>
      </c>
      <c r="O256" s="490">
        <v>0</v>
      </c>
      <c r="P256" s="466">
        <v>25</v>
      </c>
      <c r="Q256" s="468">
        <v>32</v>
      </c>
      <c r="R256" s="466">
        <v>108</v>
      </c>
      <c r="S256" s="468">
        <v>139</v>
      </c>
      <c r="T256" s="466">
        <v>740</v>
      </c>
      <c r="U256" s="468">
        <v>860</v>
      </c>
      <c r="V256" s="468">
        <v>0.9</v>
      </c>
      <c r="W256" s="466">
        <v>950</v>
      </c>
      <c r="X256" s="468">
        <v>1030</v>
      </c>
      <c r="Y256" s="466">
        <v>120</v>
      </c>
      <c r="Z256" s="468">
        <v>130</v>
      </c>
      <c r="AA256" s="466">
        <v>2.2000000000000002</v>
      </c>
      <c r="AB256" s="466">
        <v>0.4</v>
      </c>
      <c r="AC256" s="466">
        <v>3.2</v>
      </c>
      <c r="AD256" s="466">
        <v>0.6</v>
      </c>
      <c r="AE256" s="466">
        <v>0.28000000000000003</v>
      </c>
      <c r="AF256" s="468">
        <v>0.31</v>
      </c>
      <c r="AG256" s="466">
        <v>0.36</v>
      </c>
      <c r="AH256" s="468">
        <v>0.4</v>
      </c>
      <c r="AI256" s="466">
        <v>0.59</v>
      </c>
      <c r="AJ256" s="466">
        <v>-7</v>
      </c>
      <c r="AK256" s="466">
        <v>3.5</v>
      </c>
      <c r="AL256" s="490">
        <v>20.5</v>
      </c>
      <c r="AM256" s="703">
        <f>'COOLING-TARGET'!E$64</f>
        <v>15.1086005</v>
      </c>
    </row>
    <row r="257" spans="1:39" ht="25" customHeight="1" outlineLevel="1">
      <c r="A257" s="476" t="s">
        <v>68</v>
      </c>
      <c r="B257" s="466">
        <v>135</v>
      </c>
      <c r="C257" s="466">
        <v>-25</v>
      </c>
      <c r="D257" s="466">
        <v>-27</v>
      </c>
      <c r="E257" s="466">
        <v>30</v>
      </c>
      <c r="F257" s="466">
        <v>23</v>
      </c>
      <c r="G257" s="468">
        <v>34</v>
      </c>
      <c r="H257" s="468">
        <v>26</v>
      </c>
      <c r="I257" s="466">
        <v>4600</v>
      </c>
      <c r="J257" s="466">
        <v>3740</v>
      </c>
      <c r="K257" s="472">
        <f t="shared" si="3"/>
        <v>4100</v>
      </c>
      <c r="L257" s="521">
        <v>666</v>
      </c>
      <c r="M257" s="521">
        <v>666</v>
      </c>
      <c r="N257" s="490">
        <v>0</v>
      </c>
      <c r="O257" s="490">
        <v>0</v>
      </c>
      <c r="P257" s="466">
        <v>25</v>
      </c>
      <c r="Q257" s="468">
        <v>32</v>
      </c>
      <c r="R257" s="466">
        <v>97</v>
      </c>
      <c r="S257" s="468">
        <v>124</v>
      </c>
      <c r="T257" s="466">
        <v>730</v>
      </c>
      <c r="U257" s="468">
        <v>870</v>
      </c>
      <c r="V257" s="468">
        <v>0.9</v>
      </c>
      <c r="W257" s="466">
        <v>850</v>
      </c>
      <c r="X257" s="468">
        <v>950</v>
      </c>
      <c r="Y257" s="466">
        <v>160</v>
      </c>
      <c r="AA257" s="466">
        <v>2.5</v>
      </c>
      <c r="AB257" s="466">
        <v>0.4</v>
      </c>
      <c r="AC257" s="466">
        <v>3.6</v>
      </c>
      <c r="AD257" s="466">
        <v>0.6</v>
      </c>
      <c r="AE257" s="466">
        <v>0.32</v>
      </c>
      <c r="AF257" s="468">
        <v>0.35</v>
      </c>
      <c r="AG257" s="466">
        <v>0.41</v>
      </c>
      <c r="AH257" s="468">
        <v>0.45</v>
      </c>
      <c r="AI257" s="466">
        <v>0.67</v>
      </c>
      <c r="AJ257" s="466">
        <v>-8</v>
      </c>
      <c r="AK257" s="466">
        <v>2.8</v>
      </c>
      <c r="AL257" s="490">
        <v>20.5</v>
      </c>
      <c r="AM257" s="703">
        <f>'COOLING-TARGET'!E$64</f>
        <v>15.1086005</v>
      </c>
    </row>
    <row r="258" spans="1:39" ht="25" customHeight="1" outlineLevel="1">
      <c r="A258" s="476" t="s">
        <v>69</v>
      </c>
      <c r="B258" s="466">
        <v>200</v>
      </c>
      <c r="C258" s="466">
        <v>-23</v>
      </c>
      <c r="D258" s="466">
        <v>-25</v>
      </c>
      <c r="E258" s="466">
        <v>30</v>
      </c>
      <c r="F258" s="466">
        <v>23</v>
      </c>
      <c r="G258" s="468">
        <v>34</v>
      </c>
      <c r="H258" s="468">
        <v>26</v>
      </c>
      <c r="I258" s="466">
        <v>4400</v>
      </c>
      <c r="J258" s="466">
        <v>3560</v>
      </c>
      <c r="K258" s="472">
        <f t="shared" si="3"/>
        <v>3900</v>
      </c>
      <c r="L258" s="521">
        <v>666</v>
      </c>
      <c r="M258" s="521">
        <v>666</v>
      </c>
      <c r="N258" s="490">
        <v>0</v>
      </c>
      <c r="O258" s="490">
        <v>0</v>
      </c>
      <c r="P258" s="466">
        <v>25</v>
      </c>
      <c r="Q258" s="468">
        <v>32</v>
      </c>
      <c r="R258" s="466">
        <v>97</v>
      </c>
      <c r="S258" s="468">
        <v>125</v>
      </c>
      <c r="T258" s="466">
        <v>740</v>
      </c>
      <c r="U258" s="468">
        <v>850</v>
      </c>
      <c r="V258" s="468">
        <v>0.9</v>
      </c>
      <c r="W258" s="466">
        <v>850</v>
      </c>
      <c r="X258" s="468">
        <v>920</v>
      </c>
      <c r="Y258" s="466">
        <v>140</v>
      </c>
      <c r="Z258" s="468">
        <v>150</v>
      </c>
      <c r="AA258" s="466">
        <v>2</v>
      </c>
      <c r="AB258" s="466">
        <v>0.4</v>
      </c>
      <c r="AC258" s="466">
        <v>2.9</v>
      </c>
      <c r="AD258" s="466">
        <v>0.6</v>
      </c>
      <c r="AE258" s="466">
        <v>0.34</v>
      </c>
      <c r="AF258" s="468">
        <v>0.37</v>
      </c>
      <c r="AG258" s="466">
        <v>0.44</v>
      </c>
      <c r="AH258" s="468">
        <v>0.48</v>
      </c>
      <c r="AI258" s="466">
        <v>0.73</v>
      </c>
      <c r="AJ258" s="466">
        <v>-7</v>
      </c>
      <c r="AK258" s="466">
        <v>3.3</v>
      </c>
      <c r="AL258" s="490">
        <v>20.5</v>
      </c>
      <c r="AM258" s="703">
        <f>'COOLING-TARGET'!E$64</f>
        <v>15.1086005</v>
      </c>
    </row>
    <row r="259" spans="1:39" ht="25" customHeight="1" outlineLevel="1">
      <c r="A259" s="476" t="s">
        <v>70</v>
      </c>
      <c r="B259" s="466">
        <v>260</v>
      </c>
      <c r="C259" s="466">
        <v>-17</v>
      </c>
      <c r="D259" s="466">
        <v>-19</v>
      </c>
      <c r="E259" s="466">
        <v>30</v>
      </c>
      <c r="F259" s="466">
        <v>23</v>
      </c>
      <c r="G259" s="468">
        <v>34</v>
      </c>
      <c r="H259" s="468">
        <v>26</v>
      </c>
      <c r="I259" s="466">
        <v>3800</v>
      </c>
      <c r="J259" s="466">
        <v>3010</v>
      </c>
      <c r="K259" s="472">
        <f t="shared" si="3"/>
        <v>3300</v>
      </c>
      <c r="L259" s="521">
        <v>666</v>
      </c>
      <c r="M259" s="521">
        <v>666</v>
      </c>
      <c r="N259" s="490">
        <v>0</v>
      </c>
      <c r="O259" s="490">
        <v>0</v>
      </c>
      <c r="P259" s="466">
        <v>25</v>
      </c>
      <c r="Q259" s="468">
        <v>32</v>
      </c>
      <c r="R259" s="466">
        <v>103</v>
      </c>
      <c r="S259" s="468">
        <v>131</v>
      </c>
      <c r="T259" s="466">
        <v>820</v>
      </c>
      <c r="U259" s="468">
        <v>940</v>
      </c>
      <c r="V259" s="468">
        <v>1</v>
      </c>
      <c r="W259" s="466">
        <v>1000</v>
      </c>
      <c r="X259" s="468">
        <v>1080</v>
      </c>
      <c r="Y259" s="466">
        <v>180</v>
      </c>
      <c r="Z259" s="468">
        <v>200</v>
      </c>
      <c r="AA259" s="466">
        <v>2.2999999999999998</v>
      </c>
      <c r="AB259" s="466">
        <v>0.4</v>
      </c>
      <c r="AC259" s="466">
        <v>3.3</v>
      </c>
      <c r="AD259" s="466">
        <v>0.6</v>
      </c>
      <c r="AE259" s="466">
        <v>0.37</v>
      </c>
      <c r="AF259" s="468">
        <v>0.41</v>
      </c>
      <c r="AG259" s="466">
        <v>0.48</v>
      </c>
      <c r="AH259" s="468">
        <v>0.53</v>
      </c>
      <c r="AI259" s="466">
        <v>0.8</v>
      </c>
      <c r="AJ259" s="466">
        <v>-6</v>
      </c>
      <c r="AK259" s="466">
        <v>4.5</v>
      </c>
      <c r="AL259" s="490">
        <v>20.5</v>
      </c>
      <c r="AM259" s="703">
        <f>'COOLING-TARGET'!E$64</f>
        <v>15.1086005</v>
      </c>
    </row>
    <row r="260" spans="1:39" ht="25" customHeight="1" outlineLevel="1">
      <c r="A260" s="476" t="s">
        <v>71</v>
      </c>
      <c r="B260" s="466">
        <v>425</v>
      </c>
      <c r="C260" s="466">
        <v>-35</v>
      </c>
      <c r="D260" s="466">
        <v>-38</v>
      </c>
      <c r="E260" s="466">
        <v>27</v>
      </c>
      <c r="F260" s="466">
        <v>21</v>
      </c>
      <c r="G260" s="468">
        <v>31</v>
      </c>
      <c r="H260" s="468">
        <v>24</v>
      </c>
      <c r="I260" s="466">
        <v>5900</v>
      </c>
      <c r="J260" s="466">
        <v>4950</v>
      </c>
      <c r="K260" s="472">
        <f t="shared" si="3"/>
        <v>5400</v>
      </c>
      <c r="L260" s="521">
        <v>666</v>
      </c>
      <c r="M260" s="521">
        <v>666</v>
      </c>
      <c r="N260" s="490">
        <v>0</v>
      </c>
      <c r="O260" s="490">
        <v>0</v>
      </c>
      <c r="P260" s="466">
        <v>20</v>
      </c>
      <c r="Q260" s="468">
        <v>26</v>
      </c>
      <c r="R260" s="466">
        <v>97</v>
      </c>
      <c r="S260" s="468">
        <v>126</v>
      </c>
      <c r="T260" s="466">
        <v>530</v>
      </c>
      <c r="U260" s="468">
        <v>640</v>
      </c>
      <c r="V260" s="468">
        <v>0.7</v>
      </c>
      <c r="W260" s="466">
        <v>850</v>
      </c>
      <c r="X260" s="468">
        <v>950</v>
      </c>
      <c r="Y260" s="466">
        <v>80</v>
      </c>
      <c r="AA260" s="466">
        <v>3.6</v>
      </c>
      <c r="AB260" s="466">
        <v>0.4</v>
      </c>
      <c r="AC260" s="466">
        <v>5.0999999999999996</v>
      </c>
      <c r="AD260" s="466">
        <v>0.6</v>
      </c>
      <c r="AE260" s="466">
        <v>0.23</v>
      </c>
      <c r="AF260" s="468">
        <v>0.25</v>
      </c>
      <c r="AG260" s="466">
        <v>0.3</v>
      </c>
      <c r="AH260" s="468">
        <v>0.33</v>
      </c>
      <c r="AI260" s="466">
        <v>0.5</v>
      </c>
      <c r="AJ260" s="466">
        <v>-10</v>
      </c>
      <c r="AK260" s="466">
        <v>3.5</v>
      </c>
      <c r="AL260" s="490">
        <v>20.5</v>
      </c>
      <c r="AM260" s="703">
        <f>'COOLING-TARGET'!E$64</f>
        <v>15.1086005</v>
      </c>
    </row>
    <row r="261" spans="1:39" ht="25" customHeight="1" outlineLevel="1">
      <c r="A261" s="476" t="s">
        <v>72</v>
      </c>
      <c r="B261" s="466">
        <v>180</v>
      </c>
      <c r="C261" s="466">
        <v>-16</v>
      </c>
      <c r="D261" s="466">
        <v>-18</v>
      </c>
      <c r="E261" s="466">
        <v>31</v>
      </c>
      <c r="F261" s="466">
        <v>24</v>
      </c>
      <c r="G261" s="468">
        <v>34</v>
      </c>
      <c r="H261" s="468">
        <v>27</v>
      </c>
      <c r="I261" s="466">
        <v>3470</v>
      </c>
      <c r="J261" s="466">
        <v>2710</v>
      </c>
      <c r="K261" s="472">
        <f t="shared" si="3"/>
        <v>2970</v>
      </c>
      <c r="L261" s="521">
        <v>666</v>
      </c>
      <c r="M261" s="521">
        <v>666</v>
      </c>
      <c r="N261" s="490">
        <v>0</v>
      </c>
      <c r="O261" s="490">
        <v>0</v>
      </c>
      <c r="P261" s="466">
        <v>28</v>
      </c>
      <c r="Q261" s="468">
        <v>35</v>
      </c>
      <c r="R261" s="466">
        <v>103</v>
      </c>
      <c r="S261" s="468">
        <v>130</v>
      </c>
      <c r="T261" s="466">
        <v>800</v>
      </c>
      <c r="U261" s="468">
        <v>910</v>
      </c>
      <c r="V261" s="468">
        <v>0.9</v>
      </c>
      <c r="W261" s="466">
        <v>850</v>
      </c>
      <c r="X261" s="468">
        <v>930</v>
      </c>
      <c r="Y261" s="466">
        <v>180</v>
      </c>
      <c r="Z261" s="468">
        <v>190</v>
      </c>
      <c r="AA261" s="466">
        <v>1</v>
      </c>
      <c r="AB261" s="466">
        <v>0.4</v>
      </c>
      <c r="AC261" s="466">
        <v>1.5</v>
      </c>
      <c r="AD261" s="466">
        <v>0.6</v>
      </c>
      <c r="AE261" s="466">
        <v>0.34</v>
      </c>
      <c r="AF261" s="468">
        <v>0.37</v>
      </c>
      <c r="AG261" s="466">
        <v>0.43</v>
      </c>
      <c r="AH261" s="468">
        <v>0.47</v>
      </c>
      <c r="AI261" s="466">
        <v>0.69</v>
      </c>
      <c r="AJ261" s="466">
        <v>-5</v>
      </c>
      <c r="AK261" s="466">
        <v>5</v>
      </c>
      <c r="AL261" s="490">
        <v>20.5</v>
      </c>
      <c r="AM261" s="703">
        <f>'COOLING-TARGET'!E$64</f>
        <v>15.1086005</v>
      </c>
    </row>
    <row r="262" spans="1:39" ht="25" customHeight="1" outlineLevel="1">
      <c r="A262" s="476" t="s">
        <v>73</v>
      </c>
      <c r="B262" s="466">
        <v>275</v>
      </c>
      <c r="C262" s="466">
        <v>-19</v>
      </c>
      <c r="D262" s="466">
        <v>-21</v>
      </c>
      <c r="E262" s="466">
        <v>29</v>
      </c>
      <c r="F262" s="466">
        <v>22</v>
      </c>
      <c r="G262" s="468">
        <v>33</v>
      </c>
      <c r="H262" s="468">
        <v>25</v>
      </c>
      <c r="I262" s="466">
        <v>4320</v>
      </c>
      <c r="J262" s="466">
        <v>3490</v>
      </c>
      <c r="K262" s="472">
        <f t="shared" ref="K262:K325" si="4">I262-500</f>
        <v>3820</v>
      </c>
      <c r="L262" s="521">
        <v>666</v>
      </c>
      <c r="M262" s="521">
        <v>666</v>
      </c>
      <c r="N262" s="490">
        <v>0</v>
      </c>
      <c r="O262" s="490">
        <v>0</v>
      </c>
      <c r="P262" s="466">
        <v>28</v>
      </c>
      <c r="Q262" s="468">
        <v>36</v>
      </c>
      <c r="R262" s="466">
        <v>103</v>
      </c>
      <c r="S262" s="468">
        <v>132</v>
      </c>
      <c r="T262" s="466">
        <v>810</v>
      </c>
      <c r="U262" s="468">
        <v>940</v>
      </c>
      <c r="V262" s="468">
        <v>0.9</v>
      </c>
      <c r="W262" s="466">
        <v>1125</v>
      </c>
      <c r="X262" s="468">
        <v>1210</v>
      </c>
      <c r="Y262" s="466">
        <v>140</v>
      </c>
      <c r="Z262" s="468">
        <v>150</v>
      </c>
      <c r="AA262" s="466">
        <v>2.8</v>
      </c>
      <c r="AB262" s="466">
        <v>0.4</v>
      </c>
      <c r="AC262" s="466">
        <v>4</v>
      </c>
      <c r="AD262" s="466">
        <v>0.6</v>
      </c>
      <c r="AE262" s="466">
        <v>0.35</v>
      </c>
      <c r="AF262" s="468">
        <v>0.39</v>
      </c>
      <c r="AG262" s="466">
        <v>0.45</v>
      </c>
      <c r="AH262" s="468">
        <v>0.5</v>
      </c>
      <c r="AI262" s="466">
        <v>0.74</v>
      </c>
      <c r="AJ262" s="466">
        <v>-6</v>
      </c>
      <c r="AK262" s="466">
        <v>4</v>
      </c>
      <c r="AL262" s="490">
        <v>20.5</v>
      </c>
      <c r="AM262" s="703">
        <f>'COOLING-TARGET'!E$64</f>
        <v>15.1086005</v>
      </c>
    </row>
    <row r="263" spans="1:39" ht="25" customHeight="1" outlineLevel="1">
      <c r="A263" s="476" t="s">
        <v>74</v>
      </c>
      <c r="B263" s="466">
        <v>280</v>
      </c>
      <c r="C263" s="466">
        <v>-17</v>
      </c>
      <c r="D263" s="466">
        <v>-19</v>
      </c>
      <c r="E263" s="466">
        <v>29</v>
      </c>
      <c r="F263" s="466">
        <v>23</v>
      </c>
      <c r="G263" s="468">
        <v>33</v>
      </c>
      <c r="H263" s="468">
        <v>26</v>
      </c>
      <c r="I263" s="466">
        <v>4150</v>
      </c>
      <c r="J263" s="466">
        <v>3330</v>
      </c>
      <c r="K263" s="472">
        <f t="shared" si="4"/>
        <v>3650</v>
      </c>
      <c r="L263" s="521">
        <v>666</v>
      </c>
      <c r="M263" s="521">
        <v>666</v>
      </c>
      <c r="N263" s="490">
        <v>0</v>
      </c>
      <c r="O263" s="490">
        <v>0</v>
      </c>
      <c r="P263" s="466">
        <v>25</v>
      </c>
      <c r="Q263" s="468">
        <v>32</v>
      </c>
      <c r="R263" s="466">
        <v>103</v>
      </c>
      <c r="S263" s="468">
        <v>132</v>
      </c>
      <c r="T263" s="466">
        <v>810</v>
      </c>
      <c r="U263" s="468">
        <v>930</v>
      </c>
      <c r="V263" s="468">
        <v>0.9</v>
      </c>
      <c r="W263" s="466">
        <v>1000</v>
      </c>
      <c r="X263" s="468">
        <v>1080</v>
      </c>
      <c r="Y263" s="466">
        <v>160</v>
      </c>
      <c r="Z263" s="468">
        <v>170</v>
      </c>
      <c r="AA263" s="466">
        <v>2.6</v>
      </c>
      <c r="AB263" s="466">
        <v>0.4</v>
      </c>
      <c r="AC263" s="466">
        <v>3.8</v>
      </c>
      <c r="AD263" s="466">
        <v>0.6</v>
      </c>
      <c r="AE263" s="466">
        <v>0.36</v>
      </c>
      <c r="AF263" s="468">
        <v>0.4</v>
      </c>
      <c r="AG263" s="466">
        <v>0.46</v>
      </c>
      <c r="AH263" s="468">
        <v>0.51</v>
      </c>
      <c r="AI263" s="466">
        <v>0.75</v>
      </c>
      <c r="AJ263" s="466">
        <v>-6</v>
      </c>
      <c r="AK263" s="466">
        <v>5</v>
      </c>
      <c r="AL263" s="490">
        <v>20.5</v>
      </c>
      <c r="AM263" s="703">
        <f>'COOLING-TARGET'!E$64</f>
        <v>15.1086005</v>
      </c>
    </row>
    <row r="264" spans="1:39" ht="25" customHeight="1" outlineLevel="1">
      <c r="A264" s="476" t="s">
        <v>75</v>
      </c>
      <c r="B264" s="466">
        <v>270</v>
      </c>
      <c r="C264" s="466">
        <v>-25</v>
      </c>
      <c r="D264" s="466">
        <v>-27</v>
      </c>
      <c r="E264" s="466">
        <v>30</v>
      </c>
      <c r="F264" s="466">
        <v>23</v>
      </c>
      <c r="G264" s="468">
        <v>34</v>
      </c>
      <c r="H264" s="468">
        <v>26</v>
      </c>
      <c r="I264" s="466">
        <v>4500</v>
      </c>
      <c r="J264" s="466">
        <v>3650</v>
      </c>
      <c r="K264" s="472">
        <f t="shared" si="4"/>
        <v>4000</v>
      </c>
      <c r="L264" s="521">
        <v>666</v>
      </c>
      <c r="M264" s="521">
        <v>666</v>
      </c>
      <c r="N264" s="490">
        <v>0</v>
      </c>
      <c r="O264" s="490">
        <v>0</v>
      </c>
      <c r="P264" s="466">
        <v>25</v>
      </c>
      <c r="Q264" s="468">
        <v>32</v>
      </c>
      <c r="R264" s="466">
        <v>108</v>
      </c>
      <c r="S264" s="468">
        <v>139</v>
      </c>
      <c r="T264" s="466">
        <v>740</v>
      </c>
      <c r="U264" s="468">
        <v>850</v>
      </c>
      <c r="V264" s="468">
        <v>0.9</v>
      </c>
      <c r="W264" s="466">
        <v>950</v>
      </c>
      <c r="X264" s="468">
        <v>1030</v>
      </c>
      <c r="Y264" s="466">
        <v>120</v>
      </c>
      <c r="Z264" s="468">
        <v>130</v>
      </c>
      <c r="AA264" s="466">
        <v>2.5</v>
      </c>
      <c r="AB264" s="466">
        <v>0.4</v>
      </c>
      <c r="AC264" s="466">
        <v>3.5</v>
      </c>
      <c r="AD264" s="466">
        <v>0.6</v>
      </c>
      <c r="AE264" s="466">
        <v>0.27</v>
      </c>
      <c r="AF264" s="468">
        <v>0.3</v>
      </c>
      <c r="AG264" s="466">
        <v>0.35</v>
      </c>
      <c r="AH264" s="468">
        <v>0.39</v>
      </c>
      <c r="AI264" s="466">
        <v>0.57999999999999996</v>
      </c>
      <c r="AJ264" s="466">
        <v>-7</v>
      </c>
      <c r="AK264" s="466">
        <v>2</v>
      </c>
      <c r="AL264" s="490">
        <v>20.5</v>
      </c>
      <c r="AM264" s="703">
        <f>'COOLING-TARGET'!E$64</f>
        <v>15.1086005</v>
      </c>
    </row>
    <row r="265" spans="1:39" ht="25" customHeight="1" outlineLevel="1">
      <c r="A265" s="476" t="s">
        <v>76</v>
      </c>
      <c r="B265" s="466">
        <v>90</v>
      </c>
      <c r="C265" s="466">
        <v>-21</v>
      </c>
      <c r="D265" s="466">
        <v>-23</v>
      </c>
      <c r="E265" s="466">
        <v>29</v>
      </c>
      <c r="F265" s="466">
        <v>23</v>
      </c>
      <c r="G265" s="468">
        <v>33</v>
      </c>
      <c r="H265" s="468">
        <v>26</v>
      </c>
      <c r="I265" s="466">
        <v>3980</v>
      </c>
      <c r="J265" s="466">
        <v>3180</v>
      </c>
      <c r="K265" s="472">
        <f t="shared" si="4"/>
        <v>3480</v>
      </c>
      <c r="L265" s="521">
        <v>666</v>
      </c>
      <c r="M265" s="521">
        <v>666</v>
      </c>
      <c r="N265" s="490">
        <v>0</v>
      </c>
      <c r="O265" s="490">
        <v>0</v>
      </c>
      <c r="P265" s="466">
        <v>23</v>
      </c>
      <c r="Q265" s="468">
        <v>30</v>
      </c>
      <c r="R265" s="466">
        <v>94</v>
      </c>
      <c r="S265" s="468">
        <v>121</v>
      </c>
      <c r="T265" s="466">
        <v>760</v>
      </c>
      <c r="U265" s="468">
        <v>870</v>
      </c>
      <c r="V265" s="468">
        <v>0.9</v>
      </c>
      <c r="W265" s="466">
        <v>825</v>
      </c>
      <c r="X265" s="468">
        <v>900</v>
      </c>
      <c r="Y265" s="466">
        <v>160</v>
      </c>
      <c r="Z265" s="468">
        <v>170</v>
      </c>
      <c r="AA265" s="466">
        <v>1.2</v>
      </c>
      <c r="AB265" s="466">
        <v>0.4</v>
      </c>
      <c r="AC265" s="466">
        <v>1.7</v>
      </c>
      <c r="AD265" s="466">
        <v>0.6</v>
      </c>
      <c r="AE265" s="466">
        <v>0.38</v>
      </c>
      <c r="AF265" s="468">
        <v>0.42</v>
      </c>
      <c r="AG265" s="466">
        <v>0.49</v>
      </c>
      <c r="AH265" s="468">
        <v>0.54</v>
      </c>
      <c r="AI265" s="466">
        <v>0.81</v>
      </c>
      <c r="AJ265" s="466">
        <v>-6</v>
      </c>
      <c r="AK265" s="466">
        <v>3.6</v>
      </c>
      <c r="AL265" s="490">
        <v>20.5</v>
      </c>
      <c r="AM265" s="703">
        <f>'COOLING-TARGET'!E$64</f>
        <v>15.1086005</v>
      </c>
    </row>
    <row r="266" spans="1:39" ht="25" customHeight="1" outlineLevel="1">
      <c r="A266" s="476" t="s">
        <v>77</v>
      </c>
      <c r="B266" s="466">
        <v>245</v>
      </c>
      <c r="C266" s="466">
        <v>-34</v>
      </c>
      <c r="D266" s="466">
        <v>-36</v>
      </c>
      <c r="E266" s="466">
        <v>29</v>
      </c>
      <c r="F266" s="466">
        <v>21</v>
      </c>
      <c r="G266" s="468">
        <v>33</v>
      </c>
      <c r="H266" s="468">
        <v>24</v>
      </c>
      <c r="I266" s="466">
        <v>6200</v>
      </c>
      <c r="J266" s="466">
        <v>5240</v>
      </c>
      <c r="K266" s="472">
        <f t="shared" si="4"/>
        <v>5700</v>
      </c>
      <c r="L266" s="521">
        <v>666</v>
      </c>
      <c r="M266" s="521">
        <v>666</v>
      </c>
      <c r="N266" s="490">
        <v>0</v>
      </c>
      <c r="O266" s="490">
        <v>0</v>
      </c>
      <c r="P266" s="466">
        <v>20</v>
      </c>
      <c r="Q266" s="468">
        <v>26</v>
      </c>
      <c r="R266" s="466">
        <v>92</v>
      </c>
      <c r="S266" s="468">
        <v>121</v>
      </c>
      <c r="T266" s="466">
        <v>575</v>
      </c>
      <c r="U266" s="468">
        <v>700</v>
      </c>
      <c r="V266" s="468">
        <v>0.8</v>
      </c>
      <c r="W266" s="466">
        <v>875</v>
      </c>
      <c r="X266" s="468">
        <v>980</v>
      </c>
      <c r="Y266" s="466">
        <v>80</v>
      </c>
      <c r="AA266" s="466">
        <v>2.8</v>
      </c>
      <c r="AB266" s="466">
        <v>0.3</v>
      </c>
      <c r="AC266" s="466">
        <v>3.9</v>
      </c>
      <c r="AD266" s="466">
        <v>0.4</v>
      </c>
      <c r="AE266" s="466">
        <v>0.27</v>
      </c>
      <c r="AF266" s="468">
        <v>0.3</v>
      </c>
      <c r="AG266" s="466">
        <v>0.35</v>
      </c>
      <c r="AH266" s="468">
        <v>0.39</v>
      </c>
      <c r="AI266" s="466">
        <v>0.55000000000000004</v>
      </c>
      <c r="AJ266" s="466">
        <v>-12</v>
      </c>
      <c r="AK266" s="466">
        <v>3.8</v>
      </c>
      <c r="AL266" s="490">
        <v>20.5</v>
      </c>
      <c r="AM266" s="703">
        <f>'COOLING-TARGET'!E$64</f>
        <v>15.1086005</v>
      </c>
    </row>
    <row r="267" spans="1:39" ht="25" customHeight="1" outlineLevel="1">
      <c r="A267" s="476" t="s">
        <v>78</v>
      </c>
      <c r="B267" s="466">
        <v>105</v>
      </c>
      <c r="C267" s="466">
        <v>-21</v>
      </c>
      <c r="D267" s="466">
        <v>-23</v>
      </c>
      <c r="E267" s="466">
        <v>29</v>
      </c>
      <c r="F267" s="466">
        <v>23</v>
      </c>
      <c r="G267" s="468">
        <v>33</v>
      </c>
      <c r="H267" s="468">
        <v>26</v>
      </c>
      <c r="I267" s="466">
        <v>3980</v>
      </c>
      <c r="J267" s="466">
        <v>3180</v>
      </c>
      <c r="K267" s="472">
        <f t="shared" si="4"/>
        <v>3480</v>
      </c>
      <c r="L267" s="521">
        <v>666</v>
      </c>
      <c r="M267" s="521">
        <v>666</v>
      </c>
      <c r="N267" s="490">
        <v>0</v>
      </c>
      <c r="O267" s="490">
        <v>0</v>
      </c>
      <c r="P267" s="466">
        <v>23</v>
      </c>
      <c r="Q267" s="468">
        <v>30</v>
      </c>
      <c r="R267" s="466">
        <v>94</v>
      </c>
      <c r="S267" s="468">
        <v>121</v>
      </c>
      <c r="T267" s="466">
        <v>760</v>
      </c>
      <c r="U267" s="468">
        <v>870</v>
      </c>
      <c r="V267" s="468">
        <v>0.9</v>
      </c>
      <c r="W267" s="466">
        <v>850</v>
      </c>
      <c r="X267" s="468">
        <v>930</v>
      </c>
      <c r="Y267" s="466">
        <v>160</v>
      </c>
      <c r="Z267" s="468">
        <v>170</v>
      </c>
      <c r="AA267" s="466">
        <v>1.6</v>
      </c>
      <c r="AB267" s="466">
        <v>0.4</v>
      </c>
      <c r="AC267" s="466">
        <v>2.2999999999999998</v>
      </c>
      <c r="AD267" s="466">
        <v>0.6</v>
      </c>
      <c r="AE267" s="466">
        <v>0.38</v>
      </c>
      <c r="AF267" s="468">
        <v>0.42</v>
      </c>
      <c r="AG267" s="466">
        <v>0.49</v>
      </c>
      <c r="AH267" s="468">
        <v>0.54</v>
      </c>
      <c r="AI267" s="466">
        <v>0.81</v>
      </c>
      <c r="AJ267" s="466">
        <v>-6</v>
      </c>
      <c r="AK267" s="466">
        <v>3.6</v>
      </c>
      <c r="AL267" s="490">
        <v>20.5</v>
      </c>
      <c r="AM267" s="703">
        <f>'COOLING-TARGET'!E$64</f>
        <v>15.1086005</v>
      </c>
    </row>
    <row r="268" spans="1:39" ht="25" customHeight="1" outlineLevel="1">
      <c r="A268" s="476" t="s">
        <v>79</v>
      </c>
      <c r="B268" s="466">
        <v>190</v>
      </c>
      <c r="C268" s="466">
        <v>-21</v>
      </c>
      <c r="D268" s="466">
        <v>-23</v>
      </c>
      <c r="E268" s="466">
        <v>29</v>
      </c>
      <c r="F268" s="466">
        <v>23</v>
      </c>
      <c r="G268" s="468">
        <v>33</v>
      </c>
      <c r="H268" s="468">
        <v>26</v>
      </c>
      <c r="I268" s="466">
        <v>4180</v>
      </c>
      <c r="J268" s="466">
        <v>3360</v>
      </c>
      <c r="K268" s="472">
        <f t="shared" si="4"/>
        <v>3680</v>
      </c>
      <c r="L268" s="521">
        <v>666</v>
      </c>
      <c r="M268" s="521">
        <v>666</v>
      </c>
      <c r="N268" s="490">
        <v>0</v>
      </c>
      <c r="O268" s="490">
        <v>0</v>
      </c>
      <c r="P268" s="466">
        <v>28</v>
      </c>
      <c r="Q268" s="468">
        <v>36</v>
      </c>
      <c r="R268" s="466">
        <v>97</v>
      </c>
      <c r="S268" s="468">
        <v>124</v>
      </c>
      <c r="T268" s="466">
        <v>720</v>
      </c>
      <c r="U268" s="468">
        <v>840</v>
      </c>
      <c r="V268" s="468">
        <v>0.9</v>
      </c>
      <c r="W268" s="466">
        <v>950</v>
      </c>
      <c r="X268" s="468">
        <v>1030</v>
      </c>
      <c r="Y268" s="466">
        <v>160</v>
      </c>
      <c r="Z268" s="468">
        <v>170</v>
      </c>
      <c r="AA268" s="466">
        <v>2.7</v>
      </c>
      <c r="AB268" s="466">
        <v>0.4</v>
      </c>
      <c r="AC268" s="466">
        <v>3.9</v>
      </c>
      <c r="AD268" s="466">
        <v>0.6</v>
      </c>
      <c r="AE268" s="466">
        <v>0.3</v>
      </c>
      <c r="AF268" s="468">
        <v>0.33</v>
      </c>
      <c r="AG268" s="466">
        <v>0.39</v>
      </c>
      <c r="AH268" s="468">
        <v>0.43</v>
      </c>
      <c r="AI268" s="466">
        <v>0.65</v>
      </c>
      <c r="AJ268" s="466">
        <v>-6</v>
      </c>
      <c r="AK268" s="466">
        <v>3.7</v>
      </c>
      <c r="AL268" s="490">
        <v>20.5</v>
      </c>
      <c r="AM268" s="703">
        <f>'COOLING-TARGET'!E$64</f>
        <v>15.1086005</v>
      </c>
    </row>
    <row r="269" spans="1:39" ht="25" customHeight="1" outlineLevel="1">
      <c r="A269" s="476" t="s">
        <v>80</v>
      </c>
      <c r="B269" s="466">
        <v>35</v>
      </c>
      <c r="C269" s="466">
        <v>-23</v>
      </c>
      <c r="D269" s="466">
        <v>-25</v>
      </c>
      <c r="E269" s="466">
        <v>30</v>
      </c>
      <c r="F269" s="466">
        <v>23</v>
      </c>
      <c r="G269" s="468">
        <v>34</v>
      </c>
      <c r="H269" s="468">
        <v>26</v>
      </c>
      <c r="I269" s="466">
        <v>4250</v>
      </c>
      <c r="J269" s="466">
        <v>3420</v>
      </c>
      <c r="K269" s="472">
        <f t="shared" si="4"/>
        <v>3750</v>
      </c>
      <c r="L269" s="521">
        <v>666</v>
      </c>
      <c r="M269" s="521">
        <v>666</v>
      </c>
      <c r="N269" s="490">
        <v>0</v>
      </c>
      <c r="O269" s="490">
        <v>0</v>
      </c>
      <c r="P269" s="466">
        <v>25</v>
      </c>
      <c r="Q269" s="468">
        <v>32</v>
      </c>
      <c r="R269" s="466">
        <v>103</v>
      </c>
      <c r="S269" s="468">
        <v>132</v>
      </c>
      <c r="T269" s="466">
        <v>780</v>
      </c>
      <c r="U269" s="468">
        <v>930</v>
      </c>
      <c r="V269" s="468">
        <v>1</v>
      </c>
      <c r="W269" s="466">
        <v>960</v>
      </c>
      <c r="X269" s="468">
        <v>1080</v>
      </c>
      <c r="Y269" s="466">
        <v>180</v>
      </c>
      <c r="AA269" s="466">
        <v>2.2000000000000002</v>
      </c>
      <c r="AB269" s="466">
        <v>0.4</v>
      </c>
      <c r="AC269" s="466">
        <v>3</v>
      </c>
      <c r="AD269" s="466">
        <v>0.6</v>
      </c>
      <c r="AE269" s="466">
        <v>0.32</v>
      </c>
      <c r="AF269" s="468">
        <v>0.35</v>
      </c>
      <c r="AG269" s="466">
        <v>0.41</v>
      </c>
      <c r="AH269" s="468">
        <v>0.45</v>
      </c>
      <c r="AI269" s="466">
        <v>0.67</v>
      </c>
      <c r="AJ269" s="466">
        <v>-8</v>
      </c>
      <c r="AK269" s="466">
        <v>3.1</v>
      </c>
      <c r="AL269" s="490">
        <v>20.5</v>
      </c>
      <c r="AM269" s="703">
        <f>'COOLING-TARGET'!E$64</f>
        <v>15.1086005</v>
      </c>
    </row>
    <row r="270" spans="1:39" ht="25" customHeight="1" outlineLevel="1">
      <c r="A270" s="476" t="s">
        <v>81</v>
      </c>
      <c r="B270" s="466">
        <v>185</v>
      </c>
      <c r="C270" s="466">
        <v>-16</v>
      </c>
      <c r="D270" s="466">
        <v>-18</v>
      </c>
      <c r="E270" s="466">
        <v>31</v>
      </c>
      <c r="F270" s="466">
        <v>24</v>
      </c>
      <c r="G270" s="468">
        <v>34</v>
      </c>
      <c r="H270" s="468">
        <v>27</v>
      </c>
      <c r="I270" s="466">
        <v>3600</v>
      </c>
      <c r="J270" s="466">
        <v>2830</v>
      </c>
      <c r="K270" s="472">
        <f t="shared" si="4"/>
        <v>3100</v>
      </c>
      <c r="L270" s="521">
        <v>666</v>
      </c>
      <c r="M270" s="521">
        <v>666</v>
      </c>
      <c r="N270" s="490">
        <v>0</v>
      </c>
      <c r="O270" s="490">
        <v>0</v>
      </c>
      <c r="P270" s="466">
        <v>25</v>
      </c>
      <c r="Q270" s="468">
        <v>32</v>
      </c>
      <c r="R270" s="466">
        <v>100</v>
      </c>
      <c r="S270" s="468">
        <v>126</v>
      </c>
      <c r="T270" s="466">
        <v>760</v>
      </c>
      <c r="U270" s="468">
        <v>870</v>
      </c>
      <c r="V270" s="468">
        <v>0.9</v>
      </c>
      <c r="W270" s="466">
        <v>800</v>
      </c>
      <c r="X270" s="468">
        <v>880</v>
      </c>
      <c r="Y270" s="466">
        <v>180</v>
      </c>
      <c r="Z270" s="468">
        <v>190</v>
      </c>
      <c r="AA270" s="466">
        <v>1</v>
      </c>
      <c r="AB270" s="466">
        <v>0.4</v>
      </c>
      <c r="AC270" s="466">
        <v>1.5</v>
      </c>
      <c r="AD270" s="466">
        <v>0.6</v>
      </c>
      <c r="AE270" s="466">
        <v>0.37</v>
      </c>
      <c r="AF270" s="468">
        <v>0.41</v>
      </c>
      <c r="AG270" s="466">
        <v>0.47</v>
      </c>
      <c r="AH270" s="468">
        <v>0.52</v>
      </c>
      <c r="AI270" s="466">
        <v>0.76</v>
      </c>
      <c r="AJ270" s="466">
        <v>-5</v>
      </c>
      <c r="AK270" s="466">
        <v>4.7</v>
      </c>
      <c r="AL270" s="490">
        <v>20.5</v>
      </c>
      <c r="AM270" s="703">
        <f>'COOLING-TARGET'!E$64</f>
        <v>15.1086005</v>
      </c>
    </row>
    <row r="271" spans="1:39" ht="25" customHeight="1" outlineLevel="1">
      <c r="A271" s="476" t="s">
        <v>82</v>
      </c>
      <c r="B271" s="466">
        <v>145</v>
      </c>
      <c r="C271" s="466">
        <v>-29</v>
      </c>
      <c r="D271" s="466">
        <v>-32</v>
      </c>
      <c r="E271" s="466">
        <v>30</v>
      </c>
      <c r="F271" s="466">
        <v>22</v>
      </c>
      <c r="G271" s="468">
        <v>34</v>
      </c>
      <c r="H271" s="468">
        <v>25</v>
      </c>
      <c r="I271" s="466">
        <v>4900</v>
      </c>
      <c r="J271" s="466">
        <v>3980</v>
      </c>
      <c r="K271" s="472">
        <f t="shared" si="4"/>
        <v>4400</v>
      </c>
      <c r="L271" s="521">
        <v>666</v>
      </c>
      <c r="M271" s="521">
        <v>666</v>
      </c>
      <c r="N271" s="490">
        <v>0</v>
      </c>
      <c r="O271" s="490">
        <v>0</v>
      </c>
      <c r="P271" s="466">
        <v>23</v>
      </c>
      <c r="Q271" s="468">
        <v>30</v>
      </c>
      <c r="R271" s="466">
        <v>92</v>
      </c>
      <c r="S271" s="468">
        <v>118</v>
      </c>
      <c r="T271" s="466">
        <v>650</v>
      </c>
      <c r="U271" s="468">
        <v>780</v>
      </c>
      <c r="V271" s="468">
        <v>0.8</v>
      </c>
      <c r="W271" s="466">
        <v>850</v>
      </c>
      <c r="X271" s="468">
        <v>950</v>
      </c>
      <c r="Y271" s="466">
        <v>100</v>
      </c>
      <c r="Z271" s="468">
        <v>110</v>
      </c>
      <c r="AA271" s="466">
        <v>2.5</v>
      </c>
      <c r="AB271" s="466">
        <v>0.4</v>
      </c>
      <c r="AC271" s="466">
        <v>3.5</v>
      </c>
      <c r="AD271" s="466">
        <v>0.6</v>
      </c>
      <c r="AE271" s="466">
        <v>0.27</v>
      </c>
      <c r="AF271" s="468">
        <v>0.3</v>
      </c>
      <c r="AG271" s="466">
        <v>0.35</v>
      </c>
      <c r="AH271" s="468">
        <v>0.39</v>
      </c>
      <c r="AI271" s="466">
        <v>0.57999999999999996</v>
      </c>
      <c r="AJ271" s="466">
        <v>-9</v>
      </c>
      <c r="AK271" s="466">
        <v>3.2</v>
      </c>
      <c r="AL271" s="490">
        <v>20.5</v>
      </c>
      <c r="AM271" s="703">
        <f>'COOLING-TARGET'!E$64</f>
        <v>15.1086005</v>
      </c>
    </row>
    <row r="272" spans="1:39" ht="25" customHeight="1" outlineLevel="1">
      <c r="A272" s="476" t="s">
        <v>1147</v>
      </c>
      <c r="B272" s="466">
        <v>85</v>
      </c>
      <c r="C272" s="466">
        <v>-22</v>
      </c>
      <c r="D272" s="466">
        <v>-24</v>
      </c>
      <c r="E272" s="466">
        <v>29</v>
      </c>
      <c r="F272" s="466">
        <v>23</v>
      </c>
      <c r="G272" s="468">
        <v>33</v>
      </c>
      <c r="H272" s="468">
        <v>26</v>
      </c>
      <c r="I272" s="466">
        <v>4070</v>
      </c>
      <c r="J272" s="466">
        <v>3260</v>
      </c>
      <c r="K272" s="472">
        <f t="shared" si="4"/>
        <v>3570</v>
      </c>
      <c r="L272" s="521">
        <v>666</v>
      </c>
      <c r="M272" s="521">
        <v>666</v>
      </c>
      <c r="N272" s="490">
        <v>0</v>
      </c>
      <c r="O272" s="490">
        <v>0</v>
      </c>
      <c r="P272" s="466">
        <v>23</v>
      </c>
      <c r="Q272" s="468">
        <v>29</v>
      </c>
      <c r="R272" s="466">
        <v>92</v>
      </c>
      <c r="S272" s="468">
        <v>118</v>
      </c>
      <c r="T272" s="466">
        <v>760</v>
      </c>
      <c r="U272" s="468">
        <v>870</v>
      </c>
      <c r="V272" s="468">
        <v>0.9</v>
      </c>
      <c r="W272" s="466">
        <v>900</v>
      </c>
      <c r="X272" s="468">
        <v>980</v>
      </c>
      <c r="Y272" s="466">
        <v>160</v>
      </c>
      <c r="Z272" s="468">
        <v>170</v>
      </c>
      <c r="AA272" s="466">
        <v>1.9</v>
      </c>
      <c r="AB272" s="466">
        <v>0.4</v>
      </c>
      <c r="AC272" s="466">
        <v>2.8</v>
      </c>
      <c r="AD272" s="466">
        <v>0.6</v>
      </c>
      <c r="AE272" s="466">
        <v>0.34</v>
      </c>
      <c r="AF272" s="468">
        <v>0.37</v>
      </c>
      <c r="AG272" s="466">
        <v>0.43</v>
      </c>
      <c r="AH272" s="468">
        <v>0.47</v>
      </c>
      <c r="AI272" s="466">
        <v>0.69</v>
      </c>
      <c r="AJ272" s="466">
        <v>-7</v>
      </c>
      <c r="AK272" s="466">
        <v>4</v>
      </c>
      <c r="AL272" s="490">
        <v>20.5</v>
      </c>
      <c r="AM272" s="703">
        <f>'COOLING-TARGET'!E$64</f>
        <v>15.1086005</v>
      </c>
    </row>
    <row r="273" spans="1:39" ht="25" customHeight="1" outlineLevel="1">
      <c r="A273" s="476" t="s">
        <v>83</v>
      </c>
      <c r="B273" s="466">
        <v>260</v>
      </c>
      <c r="C273" s="466">
        <v>-18</v>
      </c>
      <c r="D273" s="466">
        <v>-20</v>
      </c>
      <c r="E273" s="466">
        <v>30</v>
      </c>
      <c r="F273" s="466">
        <v>24</v>
      </c>
      <c r="G273" s="468">
        <v>34</v>
      </c>
      <c r="H273" s="468">
        <v>27</v>
      </c>
      <c r="I273" s="466">
        <v>3900</v>
      </c>
      <c r="J273" s="466">
        <v>3110</v>
      </c>
      <c r="K273" s="472">
        <f t="shared" si="4"/>
        <v>3400</v>
      </c>
      <c r="L273" s="521">
        <v>666</v>
      </c>
      <c r="M273" s="521">
        <v>666</v>
      </c>
      <c r="N273" s="490">
        <v>0</v>
      </c>
      <c r="O273" s="490">
        <v>0</v>
      </c>
      <c r="P273" s="466">
        <v>28</v>
      </c>
      <c r="Q273" s="468">
        <v>36</v>
      </c>
      <c r="R273" s="466">
        <v>103</v>
      </c>
      <c r="S273" s="468">
        <v>131</v>
      </c>
      <c r="T273" s="466">
        <v>850</v>
      </c>
      <c r="U273" s="468">
        <v>970</v>
      </c>
      <c r="V273" s="468">
        <v>1</v>
      </c>
      <c r="W273" s="466">
        <v>950</v>
      </c>
      <c r="X273" s="468">
        <v>1030</v>
      </c>
      <c r="Y273" s="466">
        <v>180</v>
      </c>
      <c r="Z273" s="468">
        <v>200</v>
      </c>
      <c r="AA273" s="466">
        <v>1.9</v>
      </c>
      <c r="AB273" s="466">
        <v>0.4</v>
      </c>
      <c r="AC273" s="466">
        <v>2.7</v>
      </c>
      <c r="AD273" s="466">
        <v>0.6</v>
      </c>
      <c r="AE273" s="466">
        <v>0.37</v>
      </c>
      <c r="AF273" s="468">
        <v>0.41</v>
      </c>
      <c r="AG273" s="466">
        <v>0.47</v>
      </c>
      <c r="AH273" s="468">
        <v>0.52</v>
      </c>
      <c r="AI273" s="466">
        <v>0.76</v>
      </c>
      <c r="AJ273" s="466">
        <v>-6</v>
      </c>
      <c r="AK273" s="466">
        <v>4.4000000000000004</v>
      </c>
      <c r="AL273" s="490">
        <v>20.5</v>
      </c>
      <c r="AM273" s="703">
        <f>'COOLING-TARGET'!E$64</f>
        <v>15.1086005</v>
      </c>
    </row>
    <row r="274" spans="1:39" ht="25" customHeight="1" outlineLevel="1">
      <c r="A274" s="476" t="s">
        <v>84</v>
      </c>
      <c r="B274" s="466">
        <v>200</v>
      </c>
      <c r="C274" s="466">
        <v>-33</v>
      </c>
      <c r="D274" s="466">
        <v>-35</v>
      </c>
      <c r="E274" s="466">
        <v>28</v>
      </c>
      <c r="F274" s="466">
        <v>21</v>
      </c>
      <c r="G274" s="468">
        <v>32</v>
      </c>
      <c r="H274" s="468">
        <v>24</v>
      </c>
      <c r="I274" s="466">
        <v>5950</v>
      </c>
      <c r="J274" s="466">
        <v>5000</v>
      </c>
      <c r="K274" s="472">
        <f t="shared" si="4"/>
        <v>5450</v>
      </c>
      <c r="L274" s="521">
        <v>666</v>
      </c>
      <c r="M274" s="521">
        <v>666</v>
      </c>
      <c r="N274" s="490">
        <v>0</v>
      </c>
      <c r="O274" s="490">
        <v>0</v>
      </c>
      <c r="P274" s="466">
        <v>20</v>
      </c>
      <c r="Q274" s="468">
        <v>26</v>
      </c>
      <c r="R274" s="466">
        <v>103</v>
      </c>
      <c r="S274" s="468">
        <v>133</v>
      </c>
      <c r="T274" s="466">
        <v>550</v>
      </c>
      <c r="U274" s="468">
        <v>670</v>
      </c>
      <c r="V274" s="468">
        <v>0.8</v>
      </c>
      <c r="W274" s="466">
        <v>725</v>
      </c>
      <c r="X274" s="468">
        <v>810</v>
      </c>
      <c r="Y274" s="466">
        <v>160</v>
      </c>
      <c r="Z274" s="468">
        <v>170</v>
      </c>
      <c r="AA274" s="466">
        <v>2.8</v>
      </c>
      <c r="AB274" s="466">
        <v>0.4</v>
      </c>
      <c r="AC274" s="466">
        <v>4</v>
      </c>
      <c r="AD274" s="466">
        <v>0.6</v>
      </c>
      <c r="AE274" s="466">
        <v>0.28999999999999998</v>
      </c>
      <c r="AF274" s="468">
        <v>0.32</v>
      </c>
      <c r="AG274" s="466">
        <v>0.39</v>
      </c>
      <c r="AH274" s="468">
        <v>0.43</v>
      </c>
      <c r="AI274" s="466">
        <v>0.67</v>
      </c>
      <c r="AJ274" s="466">
        <v>-10</v>
      </c>
      <c r="AK274" s="466">
        <v>3.3</v>
      </c>
      <c r="AL274" s="490">
        <v>20.5</v>
      </c>
      <c r="AM274" s="703">
        <f>'COOLING-TARGET'!E$64</f>
        <v>15.1086005</v>
      </c>
    </row>
    <row r="275" spans="1:39" ht="25" customHeight="1" outlineLevel="1">
      <c r="A275" s="476" t="s">
        <v>85</v>
      </c>
      <c r="B275" s="466">
        <v>185</v>
      </c>
      <c r="C275" s="466">
        <v>-16</v>
      </c>
      <c r="D275" s="466">
        <v>-18</v>
      </c>
      <c r="E275" s="466">
        <v>31</v>
      </c>
      <c r="F275" s="466">
        <v>24</v>
      </c>
      <c r="G275" s="468">
        <v>34</v>
      </c>
      <c r="H275" s="468">
        <v>27</v>
      </c>
      <c r="I275" s="466">
        <v>3750</v>
      </c>
      <c r="J275" s="466">
        <v>2970</v>
      </c>
      <c r="K275" s="472">
        <f t="shared" si="4"/>
        <v>3250</v>
      </c>
      <c r="L275" s="521">
        <v>666</v>
      </c>
      <c r="M275" s="521">
        <v>666</v>
      </c>
      <c r="N275" s="490">
        <v>0</v>
      </c>
      <c r="O275" s="490">
        <v>0</v>
      </c>
      <c r="P275" s="466">
        <v>28</v>
      </c>
      <c r="Q275" s="468">
        <v>35</v>
      </c>
      <c r="R275" s="466">
        <v>97</v>
      </c>
      <c r="S275" s="468">
        <v>122</v>
      </c>
      <c r="T275" s="466">
        <v>760</v>
      </c>
      <c r="U275" s="468">
        <v>870</v>
      </c>
      <c r="V275" s="468">
        <v>0.8</v>
      </c>
      <c r="W275" s="466">
        <v>820</v>
      </c>
      <c r="X275" s="468">
        <v>900</v>
      </c>
      <c r="Y275" s="466">
        <v>180</v>
      </c>
      <c r="Z275" s="468">
        <v>190</v>
      </c>
      <c r="AA275" s="466">
        <v>1</v>
      </c>
      <c r="AB275" s="466">
        <v>0.4</v>
      </c>
      <c r="AC275" s="466">
        <v>1.5</v>
      </c>
      <c r="AD275" s="466">
        <v>0.6</v>
      </c>
      <c r="AE275" s="466">
        <v>0.34</v>
      </c>
      <c r="AF275" s="468">
        <v>0.37</v>
      </c>
      <c r="AG275" s="466">
        <v>0.43</v>
      </c>
      <c r="AH275" s="468">
        <v>0.47</v>
      </c>
      <c r="AI275" s="466">
        <v>0.69</v>
      </c>
      <c r="AJ275" s="466">
        <v>-6</v>
      </c>
      <c r="AK275" s="466">
        <v>4.2</v>
      </c>
      <c r="AL275" s="490">
        <v>20.5</v>
      </c>
      <c r="AM275" s="703">
        <f>'COOLING-TARGET'!E$64</f>
        <v>15.1086005</v>
      </c>
    </row>
    <row r="276" spans="1:39" ht="25" customHeight="1" outlineLevel="1">
      <c r="A276" s="476" t="s">
        <v>86</v>
      </c>
      <c r="B276" s="466">
        <v>370</v>
      </c>
      <c r="C276" s="466">
        <v>-34</v>
      </c>
      <c r="D276" s="466">
        <v>-36</v>
      </c>
      <c r="E276" s="466">
        <v>28</v>
      </c>
      <c r="F276" s="466">
        <v>22</v>
      </c>
      <c r="G276" s="468">
        <v>32</v>
      </c>
      <c r="H276" s="468">
        <v>25</v>
      </c>
      <c r="I276" s="466">
        <v>5850</v>
      </c>
      <c r="J276" s="466">
        <v>4940</v>
      </c>
      <c r="K276" s="472">
        <f t="shared" si="4"/>
        <v>5350</v>
      </c>
      <c r="L276" s="521">
        <v>666</v>
      </c>
      <c r="M276" s="521">
        <v>666</v>
      </c>
      <c r="N276" s="490">
        <v>0</v>
      </c>
      <c r="O276" s="490">
        <v>0</v>
      </c>
      <c r="P276" s="466">
        <v>25</v>
      </c>
      <c r="Q276" s="468">
        <v>32</v>
      </c>
      <c r="R276" s="466">
        <v>97</v>
      </c>
      <c r="S276" s="468">
        <v>126</v>
      </c>
      <c r="T276" s="466">
        <v>550</v>
      </c>
      <c r="U276" s="468">
        <v>660</v>
      </c>
      <c r="V276" s="468">
        <v>0.7</v>
      </c>
      <c r="W276" s="466">
        <v>700</v>
      </c>
      <c r="X276" s="468">
        <v>780</v>
      </c>
      <c r="Y276" s="466">
        <v>120</v>
      </c>
      <c r="Z276" s="468">
        <v>130</v>
      </c>
      <c r="AA276" s="466">
        <v>2.4</v>
      </c>
      <c r="AB276" s="466">
        <v>0.3</v>
      </c>
      <c r="AC276" s="466">
        <v>3.4</v>
      </c>
      <c r="AD276" s="466">
        <v>0.4</v>
      </c>
      <c r="AE276" s="466">
        <v>0.22</v>
      </c>
      <c r="AF276" s="468">
        <v>0.24</v>
      </c>
      <c r="AG276" s="466">
        <v>0.3</v>
      </c>
      <c r="AH276" s="468">
        <v>0.33</v>
      </c>
      <c r="AI276" s="466">
        <v>0.52</v>
      </c>
      <c r="AJ276" s="466">
        <v>-11</v>
      </c>
      <c r="AK276" s="466">
        <v>3.9</v>
      </c>
      <c r="AL276" s="490">
        <v>20.5</v>
      </c>
      <c r="AM276" s="703">
        <f>'COOLING-TARGET'!E$64</f>
        <v>15.1086005</v>
      </c>
    </row>
    <row r="277" spans="1:39" ht="25" customHeight="1" outlineLevel="1">
      <c r="A277" s="476" t="s">
        <v>87</v>
      </c>
      <c r="B277" s="466">
        <v>525</v>
      </c>
      <c r="C277" s="466">
        <v>-22</v>
      </c>
      <c r="D277" s="466">
        <v>-24</v>
      </c>
      <c r="E277" s="466">
        <v>29</v>
      </c>
      <c r="F277" s="466">
        <v>22</v>
      </c>
      <c r="G277" s="468">
        <v>33</v>
      </c>
      <c r="H277" s="468">
        <v>25</v>
      </c>
      <c r="I277" s="466">
        <v>4700</v>
      </c>
      <c r="J277" s="466">
        <v>3830</v>
      </c>
      <c r="K277" s="472">
        <f t="shared" si="4"/>
        <v>4200</v>
      </c>
      <c r="L277" s="521">
        <v>666</v>
      </c>
      <c r="M277" s="521">
        <v>666</v>
      </c>
      <c r="N277" s="490">
        <v>0</v>
      </c>
      <c r="O277" s="490">
        <v>0</v>
      </c>
      <c r="P277" s="466">
        <v>28</v>
      </c>
      <c r="Q277" s="468">
        <v>36</v>
      </c>
      <c r="R277" s="466">
        <v>108</v>
      </c>
      <c r="S277" s="468">
        <v>139</v>
      </c>
      <c r="T277" s="466">
        <v>750</v>
      </c>
      <c r="U277" s="468">
        <v>870</v>
      </c>
      <c r="V277" s="468">
        <v>0.9</v>
      </c>
      <c r="W277" s="466">
        <v>1080</v>
      </c>
      <c r="X277" s="468">
        <v>1170</v>
      </c>
      <c r="Y277" s="466">
        <v>150</v>
      </c>
      <c r="Z277" s="468">
        <v>160</v>
      </c>
      <c r="AA277" s="466">
        <v>3.2</v>
      </c>
      <c r="AB277" s="466">
        <v>0.4</v>
      </c>
      <c r="AC277" s="466">
        <v>4.5999999999999996</v>
      </c>
      <c r="AD277" s="466">
        <v>0.6</v>
      </c>
      <c r="AE277" s="466">
        <v>0.33</v>
      </c>
      <c r="AF277" s="468">
        <v>0.36</v>
      </c>
      <c r="AG277" s="466">
        <v>0.42</v>
      </c>
      <c r="AH277" s="468">
        <v>0.46</v>
      </c>
      <c r="AI277" s="466">
        <v>0.68</v>
      </c>
      <c r="AJ277" s="466">
        <v>-7</v>
      </c>
      <c r="AK277" s="466">
        <v>3.8</v>
      </c>
      <c r="AL277" s="490">
        <v>20.5</v>
      </c>
      <c r="AM277" s="703">
        <f>'COOLING-TARGET'!E$64</f>
        <v>15.1086005</v>
      </c>
    </row>
    <row r="278" spans="1:39" ht="25" customHeight="1" outlineLevel="1">
      <c r="A278" s="476" t="s">
        <v>88</v>
      </c>
      <c r="B278" s="466">
        <v>175</v>
      </c>
      <c r="C278" s="466">
        <v>-15</v>
      </c>
      <c r="D278" s="466">
        <v>-17</v>
      </c>
      <c r="E278" s="466">
        <v>30</v>
      </c>
      <c r="F278" s="466">
        <v>24</v>
      </c>
      <c r="G278" s="468">
        <v>34</v>
      </c>
      <c r="H278" s="468">
        <v>27</v>
      </c>
      <c r="I278" s="466">
        <v>3660</v>
      </c>
      <c r="J278" s="466">
        <v>2890</v>
      </c>
      <c r="K278" s="472">
        <f t="shared" si="4"/>
        <v>3160</v>
      </c>
      <c r="L278" s="521">
        <v>666</v>
      </c>
      <c r="M278" s="521">
        <v>666</v>
      </c>
      <c r="N278" s="490">
        <v>0</v>
      </c>
      <c r="O278" s="490">
        <v>0</v>
      </c>
      <c r="P278" s="466">
        <v>23</v>
      </c>
      <c r="Q278" s="468">
        <v>29</v>
      </c>
      <c r="R278" s="466">
        <v>108</v>
      </c>
      <c r="S278" s="468">
        <v>137</v>
      </c>
      <c r="T278" s="466">
        <v>830</v>
      </c>
      <c r="U278" s="468">
        <v>960</v>
      </c>
      <c r="V278" s="468">
        <v>1</v>
      </c>
      <c r="W278" s="466">
        <v>950</v>
      </c>
      <c r="X278" s="468">
        <v>1040</v>
      </c>
      <c r="Y278" s="466">
        <v>160</v>
      </c>
      <c r="Z278" s="468">
        <v>170</v>
      </c>
      <c r="AA278" s="466">
        <v>2</v>
      </c>
      <c r="AB278" s="466">
        <v>0.4</v>
      </c>
      <c r="AC278" s="466">
        <v>3</v>
      </c>
      <c r="AD278" s="466">
        <v>0.6</v>
      </c>
      <c r="AE278" s="466">
        <v>0.36</v>
      </c>
      <c r="AF278" s="468">
        <v>0.4</v>
      </c>
      <c r="AG278" s="466">
        <v>0.46</v>
      </c>
      <c r="AH278" s="468">
        <v>0.51</v>
      </c>
      <c r="AI278" s="466">
        <v>0.75</v>
      </c>
      <c r="AJ278" s="466">
        <v>-5</v>
      </c>
      <c r="AK278" s="466">
        <v>3.8</v>
      </c>
      <c r="AL278" s="490">
        <v>20.5</v>
      </c>
      <c r="AM278" s="703">
        <f>'COOLING-TARGET'!E$64</f>
        <v>15.1086005</v>
      </c>
    </row>
    <row r="279" spans="1:39" ht="25" customHeight="1" outlineLevel="1">
      <c r="A279" s="476" t="s">
        <v>89</v>
      </c>
      <c r="B279" s="466">
        <v>340</v>
      </c>
      <c r="C279" s="466">
        <v>-20</v>
      </c>
      <c r="D279" s="466">
        <v>-22</v>
      </c>
      <c r="E279" s="466">
        <v>29</v>
      </c>
      <c r="F279" s="466">
        <v>22</v>
      </c>
      <c r="G279" s="468">
        <v>33</v>
      </c>
      <c r="H279" s="468">
        <v>25</v>
      </c>
      <c r="I279" s="466">
        <v>4340</v>
      </c>
      <c r="J279" s="466">
        <v>3510</v>
      </c>
      <c r="K279" s="472">
        <f t="shared" si="4"/>
        <v>3840</v>
      </c>
      <c r="L279" s="521">
        <v>666</v>
      </c>
      <c r="M279" s="521">
        <v>666</v>
      </c>
      <c r="N279" s="490">
        <v>0</v>
      </c>
      <c r="O279" s="490">
        <v>0</v>
      </c>
      <c r="P279" s="466">
        <v>28</v>
      </c>
      <c r="Q279" s="468">
        <v>36</v>
      </c>
      <c r="R279" s="466">
        <v>103</v>
      </c>
      <c r="S279" s="468">
        <v>132</v>
      </c>
      <c r="T279" s="466">
        <v>815</v>
      </c>
      <c r="U279" s="468">
        <v>950</v>
      </c>
      <c r="V279" s="468">
        <v>0.9</v>
      </c>
      <c r="W279" s="466">
        <v>1025</v>
      </c>
      <c r="X279" s="468">
        <v>1110</v>
      </c>
      <c r="Y279" s="466">
        <v>140</v>
      </c>
      <c r="Z279" s="468">
        <v>150</v>
      </c>
      <c r="AA279" s="466">
        <v>2.8</v>
      </c>
      <c r="AB279" s="466">
        <v>0.4</v>
      </c>
      <c r="AC279" s="466">
        <v>4</v>
      </c>
      <c r="AD279" s="466">
        <v>0.6</v>
      </c>
      <c r="AE279" s="466">
        <v>0.34</v>
      </c>
      <c r="AF279" s="468">
        <v>0.37</v>
      </c>
      <c r="AG279" s="466">
        <v>0.44</v>
      </c>
      <c r="AH279" s="468">
        <v>0.48</v>
      </c>
      <c r="AI279" s="466">
        <v>0.73</v>
      </c>
      <c r="AJ279" s="466">
        <v>-7</v>
      </c>
      <c r="AK279" s="466">
        <v>3.8</v>
      </c>
      <c r="AL279" s="490">
        <v>20.5</v>
      </c>
      <c r="AM279" s="703">
        <f>'COOLING-TARGET'!E$64</f>
        <v>15.1086005</v>
      </c>
    </row>
    <row r="280" spans="1:39" ht="25" customHeight="1" outlineLevel="1">
      <c r="A280" s="476" t="s">
        <v>90</v>
      </c>
      <c r="B280" s="466">
        <v>225</v>
      </c>
      <c r="C280" s="466">
        <v>-16</v>
      </c>
      <c r="D280" s="466">
        <v>-18</v>
      </c>
      <c r="E280" s="466">
        <v>31</v>
      </c>
      <c r="F280" s="466">
        <v>24</v>
      </c>
      <c r="G280" s="468">
        <v>35</v>
      </c>
      <c r="H280" s="468">
        <v>27</v>
      </c>
      <c r="I280" s="466">
        <v>3700</v>
      </c>
      <c r="J280" s="466">
        <v>2920</v>
      </c>
      <c r="K280" s="472">
        <f t="shared" si="4"/>
        <v>3200</v>
      </c>
      <c r="L280" s="521">
        <v>666</v>
      </c>
      <c r="M280" s="521">
        <v>666</v>
      </c>
      <c r="N280" s="490">
        <v>0</v>
      </c>
      <c r="O280" s="490">
        <v>0</v>
      </c>
      <c r="P280" s="466">
        <v>28</v>
      </c>
      <c r="Q280" s="468">
        <v>35</v>
      </c>
      <c r="R280" s="466">
        <v>92</v>
      </c>
      <c r="S280" s="468">
        <v>116</v>
      </c>
      <c r="T280" s="466">
        <v>850</v>
      </c>
      <c r="U280" s="468">
        <v>970</v>
      </c>
      <c r="V280" s="468">
        <v>1</v>
      </c>
      <c r="W280" s="466">
        <v>925</v>
      </c>
      <c r="X280" s="468">
        <v>1010</v>
      </c>
      <c r="Y280" s="466">
        <v>180</v>
      </c>
      <c r="Z280" s="468">
        <v>190</v>
      </c>
      <c r="AA280" s="466">
        <v>1.3</v>
      </c>
      <c r="AB280" s="466">
        <v>0.4</v>
      </c>
      <c r="AC280" s="466">
        <v>1.9</v>
      </c>
      <c r="AD280" s="466">
        <v>0.6</v>
      </c>
      <c r="AE280" s="466">
        <v>0.37</v>
      </c>
      <c r="AF280" s="468">
        <v>0.41</v>
      </c>
      <c r="AG280" s="466">
        <v>0.47</v>
      </c>
      <c r="AH280" s="468">
        <v>0.52</v>
      </c>
      <c r="AI280" s="466">
        <v>0.76</v>
      </c>
      <c r="AJ280" s="466">
        <v>-6</v>
      </c>
      <c r="AK280" s="466">
        <v>4</v>
      </c>
      <c r="AL280" s="490">
        <v>20.5</v>
      </c>
      <c r="AM280" s="703">
        <f>'COOLING-TARGET'!E$64</f>
        <v>15.1086005</v>
      </c>
    </row>
    <row r="281" spans="1:39" ht="25" customHeight="1" outlineLevel="1">
      <c r="A281" s="476" t="s">
        <v>91</v>
      </c>
      <c r="B281" s="466">
        <v>245</v>
      </c>
      <c r="C281" s="466">
        <v>-33</v>
      </c>
      <c r="D281" s="466">
        <v>-36</v>
      </c>
      <c r="E281" s="466">
        <v>29</v>
      </c>
      <c r="F281" s="466">
        <v>22</v>
      </c>
      <c r="G281" s="468">
        <v>33</v>
      </c>
      <c r="H281" s="468">
        <v>25</v>
      </c>
      <c r="I281" s="466">
        <v>5730</v>
      </c>
      <c r="J281" s="466">
        <v>4790</v>
      </c>
      <c r="K281" s="472">
        <f t="shared" si="4"/>
        <v>5230</v>
      </c>
      <c r="L281" s="521">
        <v>666</v>
      </c>
      <c r="M281" s="521">
        <v>666</v>
      </c>
      <c r="N281" s="490">
        <v>0</v>
      </c>
      <c r="O281" s="490">
        <v>0</v>
      </c>
      <c r="P281" s="466">
        <v>23</v>
      </c>
      <c r="Q281" s="468">
        <v>30</v>
      </c>
      <c r="R281" s="466">
        <v>92</v>
      </c>
      <c r="S281" s="468">
        <v>120</v>
      </c>
      <c r="T281" s="466">
        <v>560</v>
      </c>
      <c r="U281" s="468">
        <v>670</v>
      </c>
      <c r="V281" s="468">
        <v>0.8</v>
      </c>
      <c r="W281" s="466">
        <v>820</v>
      </c>
      <c r="X281" s="468">
        <v>910</v>
      </c>
      <c r="Y281" s="466">
        <v>120</v>
      </c>
      <c r="Z281" s="468">
        <v>130</v>
      </c>
      <c r="AA281" s="466">
        <v>3.1</v>
      </c>
      <c r="AB281" s="466">
        <v>0.4</v>
      </c>
      <c r="AC281" s="466">
        <v>4.3</v>
      </c>
      <c r="AD281" s="466">
        <v>0.6</v>
      </c>
      <c r="AE281" s="466">
        <v>0.35</v>
      </c>
      <c r="AF281" s="468">
        <v>0.39</v>
      </c>
      <c r="AG281" s="466">
        <v>0.45</v>
      </c>
      <c r="AH281" s="468">
        <v>0.5</v>
      </c>
      <c r="AI281" s="466">
        <v>0.74</v>
      </c>
      <c r="AJ281" s="466">
        <v>-11</v>
      </c>
      <c r="AK281" s="466">
        <v>4.2</v>
      </c>
      <c r="AL281" s="490">
        <v>20.5</v>
      </c>
      <c r="AM281" s="703">
        <f>'COOLING-TARGET'!E$64</f>
        <v>15.1086005</v>
      </c>
    </row>
    <row r="282" spans="1:39" ht="25" customHeight="1" outlineLevel="1">
      <c r="A282" s="476" t="s">
        <v>92</v>
      </c>
      <c r="B282" s="466">
        <v>365</v>
      </c>
      <c r="C282" s="466">
        <v>-34</v>
      </c>
      <c r="D282" s="466">
        <v>-36</v>
      </c>
      <c r="E282" s="466">
        <v>28</v>
      </c>
      <c r="F282" s="466">
        <v>22</v>
      </c>
      <c r="G282" s="468">
        <v>32</v>
      </c>
      <c r="H282" s="468">
        <v>25</v>
      </c>
      <c r="I282" s="466">
        <v>5740</v>
      </c>
      <c r="J282" s="466">
        <v>4840</v>
      </c>
      <c r="K282" s="472">
        <f t="shared" si="4"/>
        <v>5240</v>
      </c>
      <c r="L282" s="521">
        <v>666</v>
      </c>
      <c r="M282" s="521">
        <v>666</v>
      </c>
      <c r="N282" s="490">
        <v>0</v>
      </c>
      <c r="O282" s="490">
        <v>0</v>
      </c>
      <c r="P282" s="466">
        <v>25</v>
      </c>
      <c r="Q282" s="468">
        <v>32</v>
      </c>
      <c r="R282" s="466">
        <v>108</v>
      </c>
      <c r="S282" s="468">
        <v>140</v>
      </c>
      <c r="T282" s="466">
        <v>510</v>
      </c>
      <c r="U282" s="468">
        <v>610</v>
      </c>
      <c r="V282" s="468">
        <v>0.7</v>
      </c>
      <c r="W282" s="466">
        <v>680</v>
      </c>
      <c r="X282" s="468">
        <v>760</v>
      </c>
      <c r="Y282" s="466">
        <v>120</v>
      </c>
      <c r="Z282" s="468">
        <v>130</v>
      </c>
      <c r="AA282" s="466">
        <v>2.4</v>
      </c>
      <c r="AB282" s="466">
        <v>0.3</v>
      </c>
      <c r="AC282" s="466">
        <v>3.4</v>
      </c>
      <c r="AD282" s="466">
        <v>0.4</v>
      </c>
      <c r="AE282" s="466">
        <v>0.23</v>
      </c>
      <c r="AF282" s="468">
        <v>0.25</v>
      </c>
      <c r="AG282" s="466">
        <v>0.31</v>
      </c>
      <c r="AH282" s="468">
        <v>0.34</v>
      </c>
      <c r="AI282" s="466">
        <v>0.53</v>
      </c>
      <c r="AJ282" s="466">
        <v>-11</v>
      </c>
      <c r="AK282" s="466">
        <v>3.9</v>
      </c>
      <c r="AL282" s="490">
        <v>20.5</v>
      </c>
      <c r="AM282" s="703">
        <f>'COOLING-TARGET'!E$64</f>
        <v>15.1086005</v>
      </c>
    </row>
    <row r="283" spans="1:39" ht="25" customHeight="1" outlineLevel="1">
      <c r="A283" s="476" t="s">
        <v>93</v>
      </c>
      <c r="B283" s="466">
        <v>380</v>
      </c>
      <c r="C283" s="466">
        <v>-26</v>
      </c>
      <c r="D283" s="466">
        <v>-28</v>
      </c>
      <c r="E283" s="466">
        <v>29</v>
      </c>
      <c r="F283" s="466">
        <v>21</v>
      </c>
      <c r="G283" s="468">
        <v>33</v>
      </c>
      <c r="H283" s="468">
        <v>24</v>
      </c>
      <c r="I283" s="466">
        <v>4950</v>
      </c>
      <c r="J283" s="466">
        <v>4030</v>
      </c>
      <c r="K283" s="472">
        <f t="shared" si="4"/>
        <v>4450</v>
      </c>
      <c r="L283" s="521">
        <v>666</v>
      </c>
      <c r="M283" s="521">
        <v>666</v>
      </c>
      <c r="N283" s="490">
        <v>0</v>
      </c>
      <c r="O283" s="490">
        <v>0</v>
      </c>
      <c r="P283" s="466">
        <v>23</v>
      </c>
      <c r="Q283" s="468">
        <v>30</v>
      </c>
      <c r="R283" s="466">
        <v>108</v>
      </c>
      <c r="S283" s="468">
        <v>139</v>
      </c>
      <c r="T283" s="466">
        <v>630</v>
      </c>
      <c r="U283" s="468">
        <v>740</v>
      </c>
      <c r="V283" s="468">
        <v>0.8</v>
      </c>
      <c r="W283" s="466">
        <v>950</v>
      </c>
      <c r="X283" s="468">
        <v>1030</v>
      </c>
      <c r="Y283" s="466">
        <v>160</v>
      </c>
      <c r="Z283" s="468">
        <v>170</v>
      </c>
      <c r="AA283" s="466">
        <v>2.9</v>
      </c>
      <c r="AB283" s="466">
        <v>0.4</v>
      </c>
      <c r="AC283" s="466">
        <v>4.0999999999999996</v>
      </c>
      <c r="AD283" s="466">
        <v>0.6</v>
      </c>
      <c r="AE283" s="466">
        <v>0.3</v>
      </c>
      <c r="AF283" s="468">
        <v>0.33</v>
      </c>
      <c r="AG283" s="466">
        <v>0.38</v>
      </c>
      <c r="AH283" s="468">
        <v>0.42</v>
      </c>
      <c r="AI283" s="466">
        <v>0.62</v>
      </c>
      <c r="AJ283" s="466">
        <v>-8</v>
      </c>
      <c r="AK283" s="466">
        <v>4</v>
      </c>
      <c r="AL283" s="490">
        <v>20.5</v>
      </c>
      <c r="AM283" s="703">
        <f>'COOLING-TARGET'!E$64</f>
        <v>15.1086005</v>
      </c>
    </row>
    <row r="284" spans="1:39" ht="25" customHeight="1" outlineLevel="1">
      <c r="A284" s="476" t="s">
        <v>94</v>
      </c>
      <c r="B284" s="466">
        <v>220</v>
      </c>
      <c r="C284" s="466">
        <v>-24</v>
      </c>
      <c r="D284" s="466">
        <v>-26</v>
      </c>
      <c r="E284" s="466">
        <v>29</v>
      </c>
      <c r="F284" s="466">
        <v>23</v>
      </c>
      <c r="G284" s="468">
        <v>33</v>
      </c>
      <c r="H284" s="468">
        <v>26</v>
      </c>
      <c r="I284" s="466">
        <v>4200</v>
      </c>
      <c r="J284" s="466">
        <v>3380</v>
      </c>
      <c r="K284" s="472">
        <f t="shared" si="4"/>
        <v>3700</v>
      </c>
      <c r="L284" s="521">
        <v>666</v>
      </c>
      <c r="M284" s="521">
        <v>666</v>
      </c>
      <c r="N284" s="490">
        <v>0</v>
      </c>
      <c r="O284" s="490">
        <v>0</v>
      </c>
      <c r="P284" s="466">
        <v>28</v>
      </c>
      <c r="Q284" s="468">
        <v>36</v>
      </c>
      <c r="R284" s="466">
        <v>97</v>
      </c>
      <c r="S284" s="468">
        <v>125</v>
      </c>
      <c r="T284" s="466">
        <v>720</v>
      </c>
      <c r="U284" s="468">
        <v>840</v>
      </c>
      <c r="V284" s="468">
        <v>0.9</v>
      </c>
      <c r="W284" s="466">
        <v>950</v>
      </c>
      <c r="X284" s="468">
        <v>1030</v>
      </c>
      <c r="Y284" s="466">
        <v>140</v>
      </c>
      <c r="Z284" s="468">
        <v>150</v>
      </c>
      <c r="AA284" s="466">
        <v>2.6</v>
      </c>
      <c r="AB284" s="466">
        <v>0.4</v>
      </c>
      <c r="AC284" s="466">
        <v>3.7</v>
      </c>
      <c r="AD284" s="466">
        <v>0.6</v>
      </c>
      <c r="AE284" s="466">
        <v>0.28000000000000003</v>
      </c>
      <c r="AF284" s="468">
        <v>0.31</v>
      </c>
      <c r="AG284" s="466">
        <v>0.36</v>
      </c>
      <c r="AH284" s="468">
        <v>0.4</v>
      </c>
      <c r="AI284" s="466">
        <v>0.59</v>
      </c>
      <c r="AJ284" s="466">
        <v>-6</v>
      </c>
      <c r="AK284" s="466">
        <v>3.7</v>
      </c>
      <c r="AL284" s="490">
        <v>20.5</v>
      </c>
      <c r="AM284" s="703">
        <f>'COOLING-TARGET'!E$64</f>
        <v>15.1086005</v>
      </c>
    </row>
    <row r="285" spans="1:39" ht="25" customHeight="1" outlineLevel="1">
      <c r="A285" s="476" t="s">
        <v>95</v>
      </c>
      <c r="B285" s="466">
        <v>310</v>
      </c>
      <c r="C285" s="466">
        <v>-19</v>
      </c>
      <c r="D285" s="466">
        <v>-21</v>
      </c>
      <c r="E285" s="466">
        <v>30</v>
      </c>
      <c r="F285" s="466">
        <v>23</v>
      </c>
      <c r="G285" s="468">
        <v>34</v>
      </c>
      <c r="H285" s="468">
        <v>26</v>
      </c>
      <c r="I285" s="466">
        <v>3950</v>
      </c>
      <c r="J285" s="466">
        <v>3150</v>
      </c>
      <c r="K285" s="472">
        <f t="shared" si="4"/>
        <v>3450</v>
      </c>
      <c r="L285" s="521">
        <v>666</v>
      </c>
      <c r="M285" s="521">
        <v>666</v>
      </c>
      <c r="N285" s="490">
        <v>0</v>
      </c>
      <c r="O285" s="490">
        <v>0</v>
      </c>
      <c r="P285" s="466">
        <v>28</v>
      </c>
      <c r="Q285" s="468">
        <v>36</v>
      </c>
      <c r="R285" s="466">
        <v>113</v>
      </c>
      <c r="S285" s="468">
        <v>144</v>
      </c>
      <c r="T285" s="466">
        <v>830</v>
      </c>
      <c r="U285" s="468">
        <v>950</v>
      </c>
      <c r="V285" s="468">
        <v>0.9</v>
      </c>
      <c r="W285" s="466">
        <v>950</v>
      </c>
      <c r="X285" s="468">
        <v>1030</v>
      </c>
      <c r="Y285" s="466">
        <v>160</v>
      </c>
      <c r="Z285" s="468">
        <v>180</v>
      </c>
      <c r="AA285" s="466">
        <v>2</v>
      </c>
      <c r="AB285" s="466">
        <v>0.4</v>
      </c>
      <c r="AC285" s="466">
        <v>2.9</v>
      </c>
      <c r="AD285" s="466">
        <v>0.6</v>
      </c>
      <c r="AE285" s="466">
        <v>0.37</v>
      </c>
      <c r="AF285" s="468">
        <v>0.41</v>
      </c>
      <c r="AG285" s="466">
        <v>0.48</v>
      </c>
      <c r="AH285" s="468">
        <v>0.53</v>
      </c>
      <c r="AI285" s="466">
        <v>0.8</v>
      </c>
      <c r="AJ285" s="466">
        <v>-6</v>
      </c>
      <c r="AK285" s="466">
        <v>4.4000000000000004</v>
      </c>
      <c r="AL285" s="490">
        <v>20.5</v>
      </c>
      <c r="AM285" s="703">
        <f>'COOLING-TARGET'!E$64</f>
        <v>15.1086005</v>
      </c>
    </row>
    <row r="286" spans="1:39" ht="25" customHeight="1" outlineLevel="1">
      <c r="A286" s="476" t="s">
        <v>96</v>
      </c>
      <c r="B286" s="466">
        <v>205</v>
      </c>
      <c r="C286" s="466">
        <v>-33</v>
      </c>
      <c r="D286" s="466">
        <v>-36</v>
      </c>
      <c r="E286" s="466">
        <v>29</v>
      </c>
      <c r="F286" s="466">
        <v>22</v>
      </c>
      <c r="G286" s="468">
        <v>33</v>
      </c>
      <c r="H286" s="468">
        <v>25</v>
      </c>
      <c r="I286" s="466">
        <v>5800</v>
      </c>
      <c r="J286" s="466">
        <v>4860</v>
      </c>
      <c r="K286" s="472">
        <f t="shared" si="4"/>
        <v>5300</v>
      </c>
      <c r="L286" s="521">
        <v>666</v>
      </c>
      <c r="M286" s="521">
        <v>666</v>
      </c>
      <c r="N286" s="490">
        <v>0</v>
      </c>
      <c r="O286" s="490">
        <v>0</v>
      </c>
      <c r="P286" s="466">
        <v>23</v>
      </c>
      <c r="Q286" s="468">
        <v>30</v>
      </c>
      <c r="R286" s="466">
        <v>92</v>
      </c>
      <c r="S286" s="468">
        <v>120</v>
      </c>
      <c r="T286" s="466">
        <v>600</v>
      </c>
      <c r="U286" s="468">
        <v>720</v>
      </c>
      <c r="V286" s="468">
        <v>0.8</v>
      </c>
      <c r="W286" s="466">
        <v>880</v>
      </c>
      <c r="X286" s="468">
        <v>980</v>
      </c>
      <c r="Y286" s="466">
        <v>100</v>
      </c>
      <c r="Z286" s="468">
        <v>110</v>
      </c>
      <c r="AA286" s="466">
        <v>2.8</v>
      </c>
      <c r="AB286" s="466">
        <v>0.4</v>
      </c>
      <c r="AC286" s="466">
        <v>3.9</v>
      </c>
      <c r="AD286" s="466">
        <v>0.6</v>
      </c>
      <c r="AE286" s="466">
        <v>0.32</v>
      </c>
      <c r="AF286" s="468">
        <v>0.35</v>
      </c>
      <c r="AG286" s="466">
        <v>0.41</v>
      </c>
      <c r="AH286" s="468">
        <v>0.45</v>
      </c>
      <c r="AI286" s="466">
        <v>0.67</v>
      </c>
      <c r="AJ286" s="466">
        <v>-11</v>
      </c>
      <c r="AK286" s="466">
        <v>4.2</v>
      </c>
      <c r="AL286" s="490">
        <v>20.5</v>
      </c>
      <c r="AM286" s="703">
        <f>'COOLING-TARGET'!E$64</f>
        <v>15.1086005</v>
      </c>
    </row>
    <row r="287" spans="1:39" ht="25" customHeight="1" outlineLevel="1">
      <c r="A287" s="476" t="s">
        <v>97</v>
      </c>
      <c r="B287" s="466">
        <v>220</v>
      </c>
      <c r="C287" s="466">
        <v>-25</v>
      </c>
      <c r="D287" s="466">
        <v>-27</v>
      </c>
      <c r="E287" s="466">
        <v>29</v>
      </c>
      <c r="F287" s="466">
        <v>21</v>
      </c>
      <c r="G287" s="468">
        <v>33</v>
      </c>
      <c r="H287" s="468">
        <v>24</v>
      </c>
      <c r="I287" s="466">
        <v>4920</v>
      </c>
      <c r="J287" s="466">
        <v>4000</v>
      </c>
      <c r="K287" s="472">
        <f t="shared" si="4"/>
        <v>4420</v>
      </c>
      <c r="L287" s="521">
        <v>666</v>
      </c>
      <c r="M287" s="521">
        <v>666</v>
      </c>
      <c r="N287" s="490">
        <v>0</v>
      </c>
      <c r="O287" s="490">
        <v>0</v>
      </c>
      <c r="P287" s="466">
        <v>23</v>
      </c>
      <c r="Q287" s="468">
        <v>30</v>
      </c>
      <c r="R287" s="466">
        <v>108</v>
      </c>
      <c r="S287" s="468">
        <v>139</v>
      </c>
      <c r="T287" s="466">
        <v>650</v>
      </c>
      <c r="U287" s="468">
        <v>760</v>
      </c>
      <c r="V287" s="468">
        <v>0.8</v>
      </c>
      <c r="W287" s="466">
        <v>840</v>
      </c>
      <c r="X287" s="468">
        <v>910</v>
      </c>
      <c r="Y287" s="466">
        <v>160</v>
      </c>
      <c r="Z287" s="468">
        <v>170</v>
      </c>
      <c r="AA287" s="466">
        <v>2.2999999999999998</v>
      </c>
      <c r="AB287" s="466">
        <v>0.4</v>
      </c>
      <c r="AC287" s="466">
        <v>3.3</v>
      </c>
      <c r="AD287" s="466">
        <v>0.6</v>
      </c>
      <c r="AE287" s="466">
        <v>0.33</v>
      </c>
      <c r="AF287" s="468">
        <v>0.36</v>
      </c>
      <c r="AG287" s="466">
        <v>0.42</v>
      </c>
      <c r="AH287" s="468">
        <v>0.46</v>
      </c>
      <c r="AI287" s="466">
        <v>0.68</v>
      </c>
      <c r="AJ287" s="466">
        <v>-8</v>
      </c>
      <c r="AK287" s="466">
        <v>4</v>
      </c>
      <c r="AL287" s="490">
        <v>20.5</v>
      </c>
      <c r="AM287" s="703">
        <f>'COOLING-TARGET'!E$64</f>
        <v>15.1086005</v>
      </c>
    </row>
    <row r="288" spans="1:39" ht="25" customHeight="1" outlineLevel="1">
      <c r="A288" s="476" t="s">
        <v>98</v>
      </c>
      <c r="B288" s="466">
        <v>265</v>
      </c>
      <c r="C288" s="466">
        <v>-17</v>
      </c>
      <c r="D288" s="466">
        <v>-19</v>
      </c>
      <c r="E288" s="466">
        <v>30</v>
      </c>
      <c r="F288" s="466">
        <v>23</v>
      </c>
      <c r="G288" s="468">
        <v>34</v>
      </c>
      <c r="H288" s="468">
        <v>26</v>
      </c>
      <c r="I288" s="466">
        <v>3900</v>
      </c>
      <c r="J288" s="466">
        <v>3110</v>
      </c>
      <c r="K288" s="472">
        <f t="shared" si="4"/>
        <v>3400</v>
      </c>
      <c r="L288" s="521">
        <v>666</v>
      </c>
      <c r="M288" s="521">
        <v>666</v>
      </c>
      <c r="N288" s="490">
        <v>0</v>
      </c>
      <c r="O288" s="490">
        <v>0</v>
      </c>
      <c r="P288" s="466">
        <v>25</v>
      </c>
      <c r="Q288" s="468">
        <v>32</v>
      </c>
      <c r="R288" s="466">
        <v>113</v>
      </c>
      <c r="S288" s="468">
        <v>144</v>
      </c>
      <c r="T288" s="466">
        <v>810</v>
      </c>
      <c r="U288" s="468">
        <v>930</v>
      </c>
      <c r="V288" s="468">
        <v>0.9</v>
      </c>
      <c r="W288" s="466">
        <v>975</v>
      </c>
      <c r="X288" s="468">
        <v>1050</v>
      </c>
      <c r="Y288" s="466">
        <v>180</v>
      </c>
      <c r="Z288" s="468">
        <v>200</v>
      </c>
      <c r="AA288" s="466">
        <v>2.4</v>
      </c>
      <c r="AB288" s="466">
        <v>0.4</v>
      </c>
      <c r="AC288" s="466">
        <v>3.4</v>
      </c>
      <c r="AD288" s="466">
        <v>0.6</v>
      </c>
      <c r="AE288" s="466">
        <v>0.37</v>
      </c>
      <c r="AF288" s="468">
        <v>0.41</v>
      </c>
      <c r="AG288" s="466">
        <v>0.48</v>
      </c>
      <c r="AH288" s="468">
        <v>0.53</v>
      </c>
      <c r="AI288" s="466">
        <v>0.8</v>
      </c>
      <c r="AJ288" s="466">
        <v>-6</v>
      </c>
      <c r="AK288" s="466">
        <v>5</v>
      </c>
      <c r="AL288" s="490">
        <v>20.5</v>
      </c>
      <c r="AM288" s="703">
        <f>'COOLING-TARGET'!E$64</f>
        <v>15.1086005</v>
      </c>
    </row>
    <row r="289" spans="1:39" ht="25" customHeight="1" outlineLevel="1">
      <c r="A289" s="476" t="s">
        <v>99</v>
      </c>
      <c r="B289" s="466">
        <v>260</v>
      </c>
      <c r="C289" s="466">
        <v>-25</v>
      </c>
      <c r="D289" s="466">
        <v>-27</v>
      </c>
      <c r="E289" s="466">
        <v>30</v>
      </c>
      <c r="F289" s="466">
        <v>23</v>
      </c>
      <c r="G289" s="468">
        <v>34</v>
      </c>
      <c r="H289" s="468">
        <v>26</v>
      </c>
      <c r="I289" s="466">
        <v>4440</v>
      </c>
      <c r="J289" s="466">
        <v>3600</v>
      </c>
      <c r="K289" s="472">
        <f t="shared" si="4"/>
        <v>3940</v>
      </c>
      <c r="L289" s="521">
        <v>666</v>
      </c>
      <c r="M289" s="521">
        <v>666</v>
      </c>
      <c r="N289" s="490">
        <v>0</v>
      </c>
      <c r="O289" s="490">
        <v>0</v>
      </c>
      <c r="P289" s="466">
        <v>25</v>
      </c>
      <c r="Q289" s="468">
        <v>32</v>
      </c>
      <c r="R289" s="466">
        <v>108</v>
      </c>
      <c r="S289" s="468">
        <v>139</v>
      </c>
      <c r="T289" s="466">
        <v>730</v>
      </c>
      <c r="U289" s="468">
        <v>840</v>
      </c>
      <c r="V289" s="468">
        <v>0.9</v>
      </c>
      <c r="W289" s="466">
        <v>950</v>
      </c>
      <c r="X289" s="468">
        <v>1030</v>
      </c>
      <c r="Y289" s="466">
        <v>120</v>
      </c>
      <c r="Z289" s="468">
        <v>130</v>
      </c>
      <c r="AA289" s="466">
        <v>2.2999999999999998</v>
      </c>
      <c r="AB289" s="466">
        <v>0.4</v>
      </c>
      <c r="AC289" s="466">
        <v>3.3</v>
      </c>
      <c r="AD289" s="466">
        <v>0.6</v>
      </c>
      <c r="AE289" s="466">
        <v>0.28000000000000003</v>
      </c>
      <c r="AF289" s="468">
        <v>0.31</v>
      </c>
      <c r="AG289" s="466">
        <v>0.36</v>
      </c>
      <c r="AH289" s="468">
        <v>0.4</v>
      </c>
      <c r="AI289" s="466">
        <v>0.59</v>
      </c>
      <c r="AJ289" s="466">
        <v>-7</v>
      </c>
      <c r="AK289" s="466">
        <v>2</v>
      </c>
      <c r="AL289" s="490">
        <v>20.5</v>
      </c>
      <c r="AM289" s="703">
        <f>'COOLING-TARGET'!E$64</f>
        <v>15.1086005</v>
      </c>
    </row>
    <row r="290" spans="1:39" ht="25" customHeight="1" outlineLevel="1">
      <c r="A290" s="476" t="s">
        <v>100</v>
      </c>
      <c r="B290" s="466">
        <v>400</v>
      </c>
      <c r="C290" s="466">
        <v>-20</v>
      </c>
      <c r="D290" s="466">
        <v>-22</v>
      </c>
      <c r="E290" s="466">
        <v>29</v>
      </c>
      <c r="F290" s="466">
        <v>23</v>
      </c>
      <c r="G290" s="468">
        <v>33</v>
      </c>
      <c r="H290" s="468">
        <v>26</v>
      </c>
      <c r="I290" s="466">
        <v>4300</v>
      </c>
      <c r="J290" s="466">
        <v>3470</v>
      </c>
      <c r="K290" s="472">
        <f t="shared" si="4"/>
        <v>3800</v>
      </c>
      <c r="L290" s="521">
        <v>666</v>
      </c>
      <c r="M290" s="521">
        <v>666</v>
      </c>
      <c r="N290" s="490">
        <v>0</v>
      </c>
      <c r="O290" s="490">
        <v>0</v>
      </c>
      <c r="P290" s="466">
        <v>28</v>
      </c>
      <c r="Q290" s="468">
        <v>36</v>
      </c>
      <c r="R290" s="466">
        <v>108</v>
      </c>
      <c r="S290" s="468">
        <v>138</v>
      </c>
      <c r="T290" s="466">
        <v>760</v>
      </c>
      <c r="U290" s="468">
        <v>880</v>
      </c>
      <c r="V290" s="468">
        <v>0.9</v>
      </c>
      <c r="W290" s="466">
        <v>925</v>
      </c>
      <c r="X290" s="468">
        <v>1010</v>
      </c>
      <c r="Y290" s="466">
        <v>160</v>
      </c>
      <c r="Z290" s="468">
        <v>170</v>
      </c>
      <c r="AA290" s="466">
        <v>2.2000000000000002</v>
      </c>
      <c r="AB290" s="466">
        <v>0.4</v>
      </c>
      <c r="AC290" s="466">
        <v>3.2</v>
      </c>
      <c r="AD290" s="466">
        <v>0.6</v>
      </c>
      <c r="AE290" s="466">
        <v>0.28000000000000003</v>
      </c>
      <c r="AF290" s="468">
        <v>0.31</v>
      </c>
      <c r="AG290" s="466">
        <v>0.36</v>
      </c>
      <c r="AH290" s="468">
        <v>0.4</v>
      </c>
      <c r="AI290" s="466">
        <v>0.59</v>
      </c>
      <c r="AJ290" s="466">
        <v>-6</v>
      </c>
      <c r="AK290" s="466">
        <v>4.3</v>
      </c>
      <c r="AL290" s="490">
        <v>20.5</v>
      </c>
      <c r="AM290" s="703">
        <f>'COOLING-TARGET'!E$64</f>
        <v>15.1086005</v>
      </c>
    </row>
    <row r="291" spans="1:39" ht="25" customHeight="1" outlineLevel="1">
      <c r="A291" s="476" t="s">
        <v>101</v>
      </c>
      <c r="B291" s="466">
        <v>215</v>
      </c>
      <c r="C291" s="466">
        <v>-16</v>
      </c>
      <c r="D291" s="466">
        <v>-18</v>
      </c>
      <c r="E291" s="466">
        <v>31</v>
      </c>
      <c r="F291" s="466">
        <v>23</v>
      </c>
      <c r="G291" s="468">
        <v>35</v>
      </c>
      <c r="H291" s="468">
        <v>26</v>
      </c>
      <c r="I291" s="466">
        <v>3740</v>
      </c>
      <c r="J291" s="466">
        <v>2960</v>
      </c>
      <c r="K291" s="472">
        <f t="shared" si="4"/>
        <v>3240</v>
      </c>
      <c r="L291" s="521">
        <v>666</v>
      </c>
      <c r="M291" s="521">
        <v>666</v>
      </c>
      <c r="N291" s="490">
        <v>0</v>
      </c>
      <c r="O291" s="490">
        <v>0</v>
      </c>
      <c r="P291" s="466">
        <v>25</v>
      </c>
      <c r="Q291" s="468">
        <v>32</v>
      </c>
      <c r="R291" s="466">
        <v>103</v>
      </c>
      <c r="S291" s="468">
        <v>131</v>
      </c>
      <c r="T291" s="466">
        <v>810</v>
      </c>
      <c r="U291" s="468">
        <v>930</v>
      </c>
      <c r="V291" s="468">
        <v>1.1000000000000001</v>
      </c>
      <c r="W291" s="466">
        <v>875</v>
      </c>
      <c r="X291" s="468">
        <v>960</v>
      </c>
      <c r="Y291" s="466">
        <v>160</v>
      </c>
      <c r="Z291" s="468">
        <v>170</v>
      </c>
      <c r="AA291" s="466">
        <v>2</v>
      </c>
      <c r="AB291" s="466">
        <v>0.4</v>
      </c>
      <c r="AC291" s="466">
        <v>2.9</v>
      </c>
      <c r="AD291" s="466">
        <v>0.6</v>
      </c>
      <c r="AE291" s="466">
        <v>0.37</v>
      </c>
      <c r="AF291" s="468">
        <v>0.41</v>
      </c>
      <c r="AG291" s="466">
        <v>0.48</v>
      </c>
      <c r="AH291" s="468">
        <v>0.53</v>
      </c>
      <c r="AI291" s="466">
        <v>0.8</v>
      </c>
      <c r="AJ291" s="466">
        <v>-6</v>
      </c>
      <c r="AK291" s="466">
        <v>4.7</v>
      </c>
      <c r="AL291" s="490">
        <v>20.5</v>
      </c>
      <c r="AM291" s="703">
        <f>'COOLING-TARGET'!E$64</f>
        <v>15.1086005</v>
      </c>
    </row>
    <row r="292" spans="1:39" ht="25" customHeight="1" outlineLevel="1">
      <c r="A292" s="476" t="s">
        <v>102</v>
      </c>
      <c r="B292" s="466">
        <v>180</v>
      </c>
      <c r="C292" s="466">
        <v>-15</v>
      </c>
      <c r="D292" s="466">
        <v>-17</v>
      </c>
      <c r="E292" s="466">
        <v>30</v>
      </c>
      <c r="F292" s="466">
        <v>24</v>
      </c>
      <c r="G292" s="468">
        <v>34</v>
      </c>
      <c r="H292" s="468">
        <v>27</v>
      </c>
      <c r="I292" s="466">
        <v>3650</v>
      </c>
      <c r="J292" s="466">
        <v>2880</v>
      </c>
      <c r="K292" s="472">
        <f t="shared" si="4"/>
        <v>3150</v>
      </c>
      <c r="L292" s="521">
        <v>666</v>
      </c>
      <c r="M292" s="521">
        <v>666</v>
      </c>
      <c r="N292" s="490">
        <v>0</v>
      </c>
      <c r="O292" s="490">
        <v>0</v>
      </c>
      <c r="P292" s="466">
        <v>23</v>
      </c>
      <c r="Q292" s="468">
        <v>29</v>
      </c>
      <c r="R292" s="466">
        <v>108</v>
      </c>
      <c r="S292" s="468">
        <v>137</v>
      </c>
      <c r="T292" s="466">
        <v>860</v>
      </c>
      <c r="U292" s="468">
        <v>1000</v>
      </c>
      <c r="V292" s="468">
        <v>1</v>
      </c>
      <c r="W292" s="466">
        <v>1020</v>
      </c>
      <c r="X292" s="468">
        <v>1120</v>
      </c>
      <c r="Y292" s="466">
        <v>160</v>
      </c>
      <c r="Z292" s="468">
        <v>170</v>
      </c>
      <c r="AA292" s="466">
        <v>2.2999999999999998</v>
      </c>
      <c r="AB292" s="466">
        <v>0.4</v>
      </c>
      <c r="AC292" s="466">
        <v>3.4</v>
      </c>
      <c r="AD292" s="466">
        <v>0.6</v>
      </c>
      <c r="AE292" s="466">
        <v>0.36</v>
      </c>
      <c r="AF292" s="468">
        <v>0.4</v>
      </c>
      <c r="AG292" s="466">
        <v>0.46</v>
      </c>
      <c r="AH292" s="468">
        <v>0.51</v>
      </c>
      <c r="AI292" s="466">
        <v>0.75</v>
      </c>
      <c r="AJ292" s="466">
        <v>-5</v>
      </c>
      <c r="AK292" s="466">
        <v>5</v>
      </c>
      <c r="AL292" s="490">
        <v>20.5</v>
      </c>
      <c r="AM292" s="703">
        <f>'COOLING-TARGET'!E$64</f>
        <v>15.1086005</v>
      </c>
    </row>
    <row r="293" spans="1:39" ht="25" customHeight="1" outlineLevel="1">
      <c r="A293" s="476" t="s">
        <v>103</v>
      </c>
      <c r="B293" s="466">
        <v>190</v>
      </c>
      <c r="C293" s="466">
        <v>-15</v>
      </c>
      <c r="D293" s="466">
        <v>-17</v>
      </c>
      <c r="E293" s="466">
        <v>30</v>
      </c>
      <c r="F293" s="466">
        <v>24</v>
      </c>
      <c r="G293" s="468">
        <v>34</v>
      </c>
      <c r="H293" s="468">
        <v>27</v>
      </c>
      <c r="I293" s="466">
        <v>3600</v>
      </c>
      <c r="J293" s="466">
        <v>2830</v>
      </c>
      <c r="K293" s="472">
        <f t="shared" si="4"/>
        <v>3100</v>
      </c>
      <c r="L293" s="521">
        <v>666</v>
      </c>
      <c r="M293" s="521">
        <v>666</v>
      </c>
      <c r="N293" s="490">
        <v>0</v>
      </c>
      <c r="O293" s="490">
        <v>0</v>
      </c>
      <c r="P293" s="466">
        <v>25</v>
      </c>
      <c r="Q293" s="468">
        <v>32</v>
      </c>
      <c r="R293" s="466">
        <v>108</v>
      </c>
      <c r="S293" s="468">
        <v>137</v>
      </c>
      <c r="T293" s="466">
        <v>860</v>
      </c>
      <c r="U293" s="468">
        <v>1000</v>
      </c>
      <c r="V293" s="468">
        <v>1</v>
      </c>
      <c r="W293" s="466">
        <v>1000</v>
      </c>
      <c r="X293" s="468">
        <v>1100</v>
      </c>
      <c r="Y293" s="466">
        <v>160</v>
      </c>
      <c r="Z293" s="468">
        <v>170</v>
      </c>
      <c r="AA293" s="466">
        <v>2.2999999999999998</v>
      </c>
      <c r="AB293" s="466">
        <v>0.4</v>
      </c>
      <c r="AC293" s="466">
        <v>3.4</v>
      </c>
      <c r="AD293" s="466">
        <v>0.6</v>
      </c>
      <c r="AE293" s="466">
        <v>0.36</v>
      </c>
      <c r="AF293" s="468">
        <v>0.4</v>
      </c>
      <c r="AG293" s="466">
        <v>0.46</v>
      </c>
      <c r="AH293" s="468">
        <v>0.51</v>
      </c>
      <c r="AI293" s="466">
        <v>0.75</v>
      </c>
      <c r="AJ293" s="466">
        <v>-5</v>
      </c>
      <c r="AK293" s="466">
        <v>5</v>
      </c>
      <c r="AL293" s="490">
        <v>20.5</v>
      </c>
      <c r="AM293" s="703">
        <f>'COOLING-TARGET'!E$64</f>
        <v>15.1086005</v>
      </c>
    </row>
    <row r="294" spans="1:39" ht="25" customHeight="1" outlineLevel="1">
      <c r="A294" s="476" t="s">
        <v>104</v>
      </c>
      <c r="B294" s="466">
        <v>340</v>
      </c>
      <c r="C294" s="466">
        <v>-33</v>
      </c>
      <c r="D294" s="466">
        <v>-35</v>
      </c>
      <c r="E294" s="466">
        <v>29</v>
      </c>
      <c r="F294" s="466">
        <v>22</v>
      </c>
      <c r="G294" s="468">
        <v>33</v>
      </c>
      <c r="H294" s="468">
        <v>25</v>
      </c>
      <c r="I294" s="466">
        <v>5440</v>
      </c>
      <c r="J294" s="466">
        <v>4550</v>
      </c>
      <c r="K294" s="472">
        <f t="shared" si="4"/>
        <v>4940</v>
      </c>
      <c r="L294" s="521">
        <v>666</v>
      </c>
      <c r="M294" s="521">
        <v>666</v>
      </c>
      <c r="N294" s="490">
        <v>0</v>
      </c>
      <c r="O294" s="490">
        <v>0</v>
      </c>
      <c r="P294" s="466">
        <v>25</v>
      </c>
      <c r="Q294" s="468">
        <v>32</v>
      </c>
      <c r="R294" s="466">
        <v>108</v>
      </c>
      <c r="S294" s="468">
        <v>139</v>
      </c>
      <c r="T294" s="466">
        <v>570</v>
      </c>
      <c r="U294" s="468">
        <v>680</v>
      </c>
      <c r="V294" s="468">
        <v>0.7</v>
      </c>
      <c r="W294" s="466">
        <v>725</v>
      </c>
      <c r="X294" s="468">
        <v>810</v>
      </c>
      <c r="Y294" s="466">
        <v>120</v>
      </c>
      <c r="Z294" s="468">
        <v>130</v>
      </c>
      <c r="AA294" s="466">
        <v>2.2999999999999998</v>
      </c>
      <c r="AB294" s="466">
        <v>0.3</v>
      </c>
      <c r="AC294" s="466">
        <v>3.3</v>
      </c>
      <c r="AD294" s="466">
        <v>0.4</v>
      </c>
      <c r="AE294" s="466">
        <v>0.23</v>
      </c>
      <c r="AF294" s="468">
        <v>0.25</v>
      </c>
      <c r="AG294" s="466">
        <v>0.31</v>
      </c>
      <c r="AH294" s="468">
        <v>0.34</v>
      </c>
      <c r="AI294" s="466">
        <v>0.53</v>
      </c>
      <c r="AJ294" s="466">
        <v>-11</v>
      </c>
      <c r="AK294" s="466">
        <v>3.2</v>
      </c>
      <c r="AL294" s="490">
        <v>20.5</v>
      </c>
      <c r="AM294" s="703">
        <f>'COOLING-TARGET'!E$64</f>
        <v>15.1086005</v>
      </c>
    </row>
    <row r="295" spans="1:39" ht="25" customHeight="1" outlineLevel="1">
      <c r="A295" s="476" t="s">
        <v>105</v>
      </c>
      <c r="B295" s="466">
        <v>80</v>
      </c>
      <c r="C295" s="466">
        <v>-22</v>
      </c>
      <c r="D295" s="466">
        <v>-24</v>
      </c>
      <c r="E295" s="466">
        <v>28</v>
      </c>
      <c r="F295" s="466">
        <v>23</v>
      </c>
      <c r="G295" s="468">
        <v>32</v>
      </c>
      <c r="H295" s="468">
        <v>26</v>
      </c>
      <c r="I295" s="466">
        <v>4010</v>
      </c>
      <c r="J295" s="466">
        <v>3210</v>
      </c>
      <c r="K295" s="472">
        <f t="shared" si="4"/>
        <v>3510</v>
      </c>
      <c r="L295" s="521">
        <v>666</v>
      </c>
      <c r="M295" s="521">
        <v>666</v>
      </c>
      <c r="N295" s="490">
        <v>0</v>
      </c>
      <c r="O295" s="490">
        <v>0</v>
      </c>
      <c r="P295" s="466">
        <v>23</v>
      </c>
      <c r="Q295" s="468">
        <v>29</v>
      </c>
      <c r="R295" s="466">
        <v>103</v>
      </c>
      <c r="S295" s="468">
        <v>132</v>
      </c>
      <c r="T295" s="466">
        <v>760</v>
      </c>
      <c r="U295" s="468">
        <v>870</v>
      </c>
      <c r="V295" s="468">
        <v>0.9</v>
      </c>
      <c r="W295" s="466">
        <v>900</v>
      </c>
      <c r="X295" s="468">
        <v>980</v>
      </c>
      <c r="Y295" s="466">
        <v>180</v>
      </c>
      <c r="AA295" s="466">
        <v>2.1</v>
      </c>
      <c r="AB295" s="466">
        <v>0.4</v>
      </c>
      <c r="AC295" s="466">
        <v>3</v>
      </c>
      <c r="AD295" s="466">
        <v>0.6</v>
      </c>
      <c r="AE295" s="466">
        <v>0.37</v>
      </c>
      <c r="AF295" s="468">
        <v>0.41</v>
      </c>
      <c r="AG295" s="466">
        <v>0.47</v>
      </c>
      <c r="AH295" s="468">
        <v>0.52</v>
      </c>
      <c r="AI295" s="466">
        <v>0.76</v>
      </c>
      <c r="AJ295" s="466">
        <v>-7</v>
      </c>
      <c r="AK295" s="466">
        <v>3.8</v>
      </c>
      <c r="AL295" s="490">
        <v>20.5</v>
      </c>
      <c r="AM295" s="703">
        <f>'COOLING-TARGET'!E$64</f>
        <v>15.1086005</v>
      </c>
    </row>
    <row r="296" spans="1:39" ht="25" customHeight="1" outlineLevel="1">
      <c r="A296" s="476" t="s">
        <v>106</v>
      </c>
      <c r="B296" s="466">
        <v>345</v>
      </c>
      <c r="C296" s="466">
        <v>-36</v>
      </c>
      <c r="D296" s="466">
        <v>-39</v>
      </c>
      <c r="E296" s="466">
        <v>28</v>
      </c>
      <c r="F296" s="466">
        <v>21</v>
      </c>
      <c r="G296" s="468">
        <v>32</v>
      </c>
      <c r="H296" s="468">
        <v>24</v>
      </c>
      <c r="I296" s="466">
        <v>6450</v>
      </c>
      <c r="J296" s="466">
        <v>5490</v>
      </c>
      <c r="K296" s="472">
        <f t="shared" si="4"/>
        <v>5950</v>
      </c>
      <c r="L296" s="521">
        <v>666</v>
      </c>
      <c r="M296" s="521">
        <v>666</v>
      </c>
      <c r="N296" s="490">
        <v>0</v>
      </c>
      <c r="O296" s="490">
        <v>0</v>
      </c>
      <c r="P296" s="466">
        <v>20</v>
      </c>
      <c r="Q296" s="468">
        <v>26</v>
      </c>
      <c r="R296" s="466">
        <v>86</v>
      </c>
      <c r="S296" s="468">
        <v>112</v>
      </c>
      <c r="T296" s="466">
        <v>550</v>
      </c>
      <c r="U296" s="468">
        <v>670</v>
      </c>
      <c r="V296" s="468">
        <v>0.8</v>
      </c>
      <c r="W296" s="466">
        <v>725</v>
      </c>
      <c r="X296" s="468">
        <v>810</v>
      </c>
      <c r="Y296" s="466">
        <v>100</v>
      </c>
      <c r="Z296" s="468">
        <v>110</v>
      </c>
      <c r="AA296" s="466">
        <v>2.9</v>
      </c>
      <c r="AB296" s="466">
        <v>0.4</v>
      </c>
      <c r="AC296" s="466">
        <v>4</v>
      </c>
      <c r="AD296" s="466">
        <v>0.6</v>
      </c>
      <c r="AE296" s="466">
        <v>0.22</v>
      </c>
      <c r="AF296" s="468">
        <v>0.24</v>
      </c>
      <c r="AG296" s="466">
        <v>0.3</v>
      </c>
      <c r="AH296" s="468">
        <v>0.33</v>
      </c>
      <c r="AI296" s="466">
        <v>0.52</v>
      </c>
      <c r="AJ296" s="466">
        <v>-11</v>
      </c>
      <c r="AK296" s="466">
        <v>2.5</v>
      </c>
      <c r="AL296" s="490">
        <v>20.5</v>
      </c>
      <c r="AM296" s="703">
        <f>'COOLING-TARGET'!E$64</f>
        <v>15.1086005</v>
      </c>
    </row>
    <row r="297" spans="1:39" ht="25" customHeight="1" outlineLevel="1">
      <c r="A297" s="476" t="s">
        <v>107</v>
      </c>
      <c r="B297" s="466">
        <v>215</v>
      </c>
      <c r="C297" s="466">
        <v>-16</v>
      </c>
      <c r="D297" s="466">
        <v>-18</v>
      </c>
      <c r="E297" s="466">
        <v>31</v>
      </c>
      <c r="F297" s="466">
        <v>24</v>
      </c>
      <c r="G297" s="468">
        <v>35</v>
      </c>
      <c r="H297" s="468">
        <v>27</v>
      </c>
      <c r="I297" s="466">
        <v>3680</v>
      </c>
      <c r="J297" s="466">
        <v>2900</v>
      </c>
      <c r="K297" s="472">
        <f t="shared" si="4"/>
        <v>3180</v>
      </c>
      <c r="L297" s="521">
        <v>666</v>
      </c>
      <c r="M297" s="521">
        <v>666</v>
      </c>
      <c r="N297" s="490">
        <v>0</v>
      </c>
      <c r="O297" s="490">
        <v>0</v>
      </c>
      <c r="P297" s="466">
        <v>28</v>
      </c>
      <c r="Q297" s="468">
        <v>35</v>
      </c>
      <c r="R297" s="466">
        <v>103</v>
      </c>
      <c r="S297" s="468">
        <v>130</v>
      </c>
      <c r="T297" s="466">
        <v>800</v>
      </c>
      <c r="U297" s="468">
        <v>910</v>
      </c>
      <c r="V297" s="468">
        <v>0.9</v>
      </c>
      <c r="W297" s="466">
        <v>925</v>
      </c>
      <c r="X297" s="468">
        <v>1010</v>
      </c>
      <c r="Y297" s="466">
        <v>180</v>
      </c>
      <c r="Z297" s="468">
        <v>190</v>
      </c>
      <c r="AA297" s="466">
        <v>1.5</v>
      </c>
      <c r="AB297" s="466">
        <v>0.4</v>
      </c>
      <c r="AC297" s="466">
        <v>2.2000000000000002</v>
      </c>
      <c r="AD297" s="466">
        <v>0.6</v>
      </c>
      <c r="AE297" s="466">
        <v>0.34</v>
      </c>
      <c r="AF297" s="468">
        <v>0.37</v>
      </c>
      <c r="AG297" s="466">
        <v>0.43</v>
      </c>
      <c r="AH297" s="468">
        <v>0.47</v>
      </c>
      <c r="AI297" s="466">
        <v>0.69</v>
      </c>
      <c r="AJ297" s="466">
        <v>-6</v>
      </c>
      <c r="AK297" s="466">
        <v>4.2</v>
      </c>
      <c r="AL297" s="490">
        <v>20.5</v>
      </c>
      <c r="AM297" s="703">
        <f>'COOLING-TARGET'!E$64</f>
        <v>15.1086005</v>
      </c>
    </row>
    <row r="298" spans="1:39" ht="25" customHeight="1" outlineLevel="1">
      <c r="A298" s="476" t="s">
        <v>108</v>
      </c>
      <c r="B298" s="466">
        <v>185</v>
      </c>
      <c r="C298" s="466">
        <v>-16</v>
      </c>
      <c r="D298" s="466">
        <v>-18</v>
      </c>
      <c r="E298" s="466">
        <v>29</v>
      </c>
      <c r="F298" s="466">
        <v>23</v>
      </c>
      <c r="G298" s="468">
        <v>33</v>
      </c>
      <c r="H298" s="468">
        <v>26</v>
      </c>
      <c r="I298" s="466">
        <v>4000</v>
      </c>
      <c r="J298" s="466">
        <v>3200</v>
      </c>
      <c r="K298" s="472">
        <f t="shared" si="4"/>
        <v>3500</v>
      </c>
      <c r="L298" s="521">
        <v>666</v>
      </c>
      <c r="M298" s="521">
        <v>666</v>
      </c>
      <c r="N298" s="490">
        <v>0</v>
      </c>
      <c r="O298" s="490">
        <v>0</v>
      </c>
      <c r="P298" s="466">
        <v>25</v>
      </c>
      <c r="Q298" s="468">
        <v>32</v>
      </c>
      <c r="R298" s="466">
        <v>92</v>
      </c>
      <c r="S298" s="468">
        <v>117</v>
      </c>
      <c r="T298" s="466">
        <v>810</v>
      </c>
      <c r="U298" s="468">
        <v>930</v>
      </c>
      <c r="V298" s="468">
        <v>1</v>
      </c>
      <c r="W298" s="466">
        <v>950</v>
      </c>
      <c r="X298" s="468">
        <v>1030</v>
      </c>
      <c r="Y298" s="466">
        <v>180</v>
      </c>
      <c r="Z298" s="468">
        <v>200</v>
      </c>
      <c r="AA298" s="466">
        <v>2.4</v>
      </c>
      <c r="AB298" s="466">
        <v>0.4</v>
      </c>
      <c r="AC298" s="466">
        <v>3.5</v>
      </c>
      <c r="AD298" s="466">
        <v>0.6</v>
      </c>
      <c r="AE298" s="466">
        <v>0.37</v>
      </c>
      <c r="AF298" s="468">
        <v>0.41</v>
      </c>
      <c r="AG298" s="466">
        <v>0.48</v>
      </c>
      <c r="AH298" s="468">
        <v>0.53</v>
      </c>
      <c r="AI298" s="466">
        <v>0.8</v>
      </c>
      <c r="AJ298" s="466">
        <v>-6</v>
      </c>
      <c r="AK298" s="466">
        <v>5.3</v>
      </c>
      <c r="AL298" s="490">
        <v>20.5</v>
      </c>
      <c r="AM298" s="703">
        <f>'COOLING-TARGET'!E$64</f>
        <v>15.1086005</v>
      </c>
    </row>
    <row r="299" spans="1:39" ht="25" customHeight="1" outlineLevel="1">
      <c r="A299" s="476" t="s">
        <v>109</v>
      </c>
      <c r="B299" s="466">
        <v>205</v>
      </c>
      <c r="C299" s="466">
        <v>-24</v>
      </c>
      <c r="D299" s="466">
        <v>-26</v>
      </c>
      <c r="E299" s="466">
        <v>28</v>
      </c>
      <c r="F299" s="466">
        <v>22</v>
      </c>
      <c r="G299" s="468">
        <v>32</v>
      </c>
      <c r="H299" s="468">
        <v>25</v>
      </c>
      <c r="I299" s="466">
        <v>4700</v>
      </c>
      <c r="J299" s="466">
        <v>3830</v>
      </c>
      <c r="K299" s="472">
        <f t="shared" si="4"/>
        <v>4200</v>
      </c>
      <c r="L299" s="521">
        <v>666</v>
      </c>
      <c r="M299" s="521">
        <v>666</v>
      </c>
      <c r="N299" s="490">
        <v>0</v>
      </c>
      <c r="O299" s="490">
        <v>0</v>
      </c>
      <c r="P299" s="466">
        <v>23</v>
      </c>
      <c r="Q299" s="468">
        <v>30</v>
      </c>
      <c r="R299" s="466">
        <v>92</v>
      </c>
      <c r="S299" s="468">
        <v>118</v>
      </c>
      <c r="T299" s="466">
        <v>640</v>
      </c>
      <c r="U299" s="468">
        <v>750</v>
      </c>
      <c r="V299" s="468">
        <v>0.8</v>
      </c>
      <c r="W299" s="466">
        <v>860</v>
      </c>
      <c r="X299" s="468">
        <v>930</v>
      </c>
      <c r="Y299" s="466">
        <v>160</v>
      </c>
      <c r="Z299" s="468">
        <v>170</v>
      </c>
      <c r="AA299" s="466">
        <v>2.6</v>
      </c>
      <c r="AB299" s="466">
        <v>0.4</v>
      </c>
      <c r="AC299" s="466">
        <v>3.7</v>
      </c>
      <c r="AD299" s="466">
        <v>0.6</v>
      </c>
      <c r="AE299" s="466">
        <v>0.34</v>
      </c>
      <c r="AF299" s="468">
        <v>0.37</v>
      </c>
      <c r="AG299" s="466">
        <v>0.44</v>
      </c>
      <c r="AH299" s="468">
        <v>0.48</v>
      </c>
      <c r="AI299" s="466">
        <v>0.73</v>
      </c>
      <c r="AJ299" s="466">
        <v>-8</v>
      </c>
      <c r="AK299" s="466">
        <v>4.3</v>
      </c>
      <c r="AL299" s="490">
        <v>20.5</v>
      </c>
      <c r="AM299" s="703">
        <f>'COOLING-TARGET'!E$64</f>
        <v>15.1086005</v>
      </c>
    </row>
    <row r="300" spans="1:39" ht="25" customHeight="1" outlineLevel="1">
      <c r="A300" s="476" t="s">
        <v>110</v>
      </c>
      <c r="B300" s="466">
        <v>495</v>
      </c>
      <c r="C300" s="466">
        <v>-35</v>
      </c>
      <c r="D300" s="466">
        <v>-37</v>
      </c>
      <c r="E300" s="466">
        <v>29</v>
      </c>
      <c r="F300" s="466">
        <v>22</v>
      </c>
      <c r="G300" s="468">
        <v>33</v>
      </c>
      <c r="H300" s="468">
        <v>25</v>
      </c>
      <c r="I300" s="466">
        <v>5940</v>
      </c>
      <c r="J300" s="466">
        <v>4990</v>
      </c>
      <c r="K300" s="472">
        <f t="shared" si="4"/>
        <v>5440</v>
      </c>
      <c r="L300" s="521">
        <v>666</v>
      </c>
      <c r="M300" s="521">
        <v>666</v>
      </c>
      <c r="N300" s="490">
        <v>0</v>
      </c>
      <c r="O300" s="490">
        <v>0</v>
      </c>
      <c r="P300" s="466">
        <v>23</v>
      </c>
      <c r="Q300" s="468">
        <v>30</v>
      </c>
      <c r="R300" s="466">
        <v>97</v>
      </c>
      <c r="S300" s="468">
        <v>126</v>
      </c>
      <c r="T300" s="466">
        <v>570</v>
      </c>
      <c r="U300" s="468">
        <v>680</v>
      </c>
      <c r="V300" s="468">
        <v>0.8</v>
      </c>
      <c r="W300" s="466">
        <v>750</v>
      </c>
      <c r="X300" s="468">
        <v>830</v>
      </c>
      <c r="Y300" s="466">
        <v>140</v>
      </c>
      <c r="Z300" s="468">
        <v>150</v>
      </c>
      <c r="AA300" s="466">
        <v>2.6</v>
      </c>
      <c r="AB300" s="466">
        <v>0.3</v>
      </c>
      <c r="AC300" s="466">
        <v>3.7</v>
      </c>
      <c r="AD300" s="466">
        <v>0.4</v>
      </c>
      <c r="AE300" s="466">
        <v>0.22</v>
      </c>
      <c r="AF300" s="468">
        <v>0.24</v>
      </c>
      <c r="AG300" s="466">
        <v>0.3</v>
      </c>
      <c r="AH300" s="468">
        <v>0.33</v>
      </c>
      <c r="AI300" s="466">
        <v>0.52</v>
      </c>
      <c r="AJ300" s="466">
        <v>-11</v>
      </c>
      <c r="AK300" s="466">
        <v>2.5</v>
      </c>
      <c r="AL300" s="490">
        <v>20.5</v>
      </c>
      <c r="AM300" s="703">
        <f>'COOLING-TARGET'!E$64</f>
        <v>15.1086005</v>
      </c>
    </row>
    <row r="301" spans="1:39" ht="25" customHeight="1" outlineLevel="1">
      <c r="A301" s="476" t="s">
        <v>111</v>
      </c>
      <c r="B301" s="466">
        <v>255</v>
      </c>
      <c r="C301" s="466">
        <v>-26</v>
      </c>
      <c r="D301" s="466">
        <v>-28</v>
      </c>
      <c r="E301" s="466">
        <v>29</v>
      </c>
      <c r="F301" s="466">
        <v>23</v>
      </c>
      <c r="G301" s="468">
        <v>33</v>
      </c>
      <c r="H301" s="468">
        <v>26</v>
      </c>
      <c r="I301" s="466">
        <v>4760</v>
      </c>
      <c r="J301" s="466">
        <v>3890</v>
      </c>
      <c r="K301" s="472">
        <f t="shared" si="4"/>
        <v>4260</v>
      </c>
      <c r="L301" s="484">
        <v>282.8</v>
      </c>
      <c r="M301" s="521">
        <v>666</v>
      </c>
      <c r="N301" s="490">
        <v>0</v>
      </c>
      <c r="O301" s="490">
        <v>0</v>
      </c>
      <c r="P301" s="466">
        <v>25</v>
      </c>
      <c r="Q301" s="468">
        <v>32</v>
      </c>
      <c r="R301" s="466">
        <v>103</v>
      </c>
      <c r="S301" s="468">
        <v>132</v>
      </c>
      <c r="T301" s="466">
        <v>790</v>
      </c>
      <c r="U301" s="468">
        <v>910</v>
      </c>
      <c r="V301" s="468">
        <v>0.9</v>
      </c>
      <c r="W301" s="466">
        <v>1050</v>
      </c>
      <c r="X301" s="468">
        <v>1120</v>
      </c>
      <c r="Y301" s="466">
        <v>120</v>
      </c>
      <c r="Z301" s="468">
        <v>130</v>
      </c>
      <c r="AA301" s="466">
        <v>2.7</v>
      </c>
      <c r="AB301" s="466">
        <v>0.4</v>
      </c>
      <c r="AC301" s="466">
        <v>3.8</v>
      </c>
      <c r="AD301" s="466">
        <v>0.6</v>
      </c>
      <c r="AE301" s="466">
        <v>0.28000000000000003</v>
      </c>
      <c r="AF301" s="468">
        <v>0.31</v>
      </c>
      <c r="AG301" s="466">
        <v>0.36</v>
      </c>
      <c r="AH301" s="468">
        <v>0.4</v>
      </c>
      <c r="AI301" s="466">
        <v>0.59</v>
      </c>
      <c r="AJ301" s="466">
        <v>-8</v>
      </c>
      <c r="AK301" s="466">
        <v>2</v>
      </c>
      <c r="AL301" s="490">
        <v>20.5</v>
      </c>
      <c r="AM301" s="703">
        <f>'COOLING-TARGET'!E$64</f>
        <v>15.1086005</v>
      </c>
    </row>
    <row r="302" spans="1:39" ht="25" customHeight="1" outlineLevel="1">
      <c r="A302" s="476" t="s">
        <v>112</v>
      </c>
      <c r="B302" s="466">
        <v>85</v>
      </c>
      <c r="C302" s="466">
        <v>-16</v>
      </c>
      <c r="D302" s="466">
        <v>-18</v>
      </c>
      <c r="E302" s="466">
        <v>30</v>
      </c>
      <c r="F302" s="466">
        <v>23</v>
      </c>
      <c r="G302" s="468">
        <v>34</v>
      </c>
      <c r="H302" s="468">
        <v>26</v>
      </c>
      <c r="I302" s="466">
        <v>3520</v>
      </c>
      <c r="J302" s="466">
        <v>2760</v>
      </c>
      <c r="K302" s="472">
        <f t="shared" si="4"/>
        <v>3020</v>
      </c>
      <c r="L302" s="521">
        <v>666</v>
      </c>
      <c r="M302" s="521">
        <v>666</v>
      </c>
      <c r="N302" s="490">
        <v>0</v>
      </c>
      <c r="O302" s="490">
        <v>0</v>
      </c>
      <c r="P302" s="466">
        <v>23</v>
      </c>
      <c r="Q302" s="468">
        <v>29</v>
      </c>
      <c r="R302" s="466">
        <v>108</v>
      </c>
      <c r="S302" s="468">
        <v>138</v>
      </c>
      <c r="T302" s="466">
        <v>760</v>
      </c>
      <c r="U302" s="468">
        <v>880</v>
      </c>
      <c r="V302" s="468">
        <v>0.9</v>
      </c>
      <c r="W302" s="466">
        <v>875</v>
      </c>
      <c r="X302" s="468">
        <v>960</v>
      </c>
      <c r="Y302" s="466">
        <v>160</v>
      </c>
      <c r="Z302" s="468">
        <v>170</v>
      </c>
      <c r="AA302" s="466">
        <v>0.9</v>
      </c>
      <c r="AB302" s="466">
        <v>0.4</v>
      </c>
      <c r="AC302" s="466">
        <v>1.3</v>
      </c>
      <c r="AD302" s="466">
        <v>0.6</v>
      </c>
      <c r="AE302" s="466">
        <v>0.36</v>
      </c>
      <c r="AF302" s="468">
        <v>0.4</v>
      </c>
      <c r="AG302" s="466">
        <v>0.46</v>
      </c>
      <c r="AH302" s="468">
        <v>0.51</v>
      </c>
      <c r="AI302" s="466">
        <v>0.75</v>
      </c>
      <c r="AJ302" s="466">
        <v>-5</v>
      </c>
      <c r="AK302" s="466">
        <v>4.5</v>
      </c>
      <c r="AL302" s="490">
        <v>20.5</v>
      </c>
      <c r="AM302" s="703">
        <f>'COOLING-TARGET'!E$64</f>
        <v>15.1086005</v>
      </c>
    </row>
    <row r="303" spans="1:39" ht="25" customHeight="1" outlineLevel="1">
      <c r="A303" s="476" t="s">
        <v>113</v>
      </c>
      <c r="B303" s="466">
        <v>340</v>
      </c>
      <c r="C303" s="466">
        <v>-19</v>
      </c>
      <c r="D303" s="466">
        <v>-21</v>
      </c>
      <c r="E303" s="466">
        <v>29</v>
      </c>
      <c r="F303" s="466">
        <v>23</v>
      </c>
      <c r="G303" s="468">
        <v>33</v>
      </c>
      <c r="H303" s="468">
        <v>26</v>
      </c>
      <c r="I303" s="466">
        <v>4270</v>
      </c>
      <c r="J303" s="466">
        <v>3440</v>
      </c>
      <c r="K303" s="472">
        <f t="shared" si="4"/>
        <v>3770</v>
      </c>
      <c r="L303" s="521">
        <v>666</v>
      </c>
      <c r="M303" s="521">
        <v>666</v>
      </c>
      <c r="N303" s="490">
        <v>0</v>
      </c>
      <c r="O303" s="490">
        <v>0</v>
      </c>
      <c r="P303" s="466">
        <v>28</v>
      </c>
      <c r="Q303" s="468">
        <v>36</v>
      </c>
      <c r="R303" s="466">
        <v>103</v>
      </c>
      <c r="S303" s="468">
        <v>132</v>
      </c>
      <c r="T303" s="466">
        <v>770</v>
      </c>
      <c r="U303" s="468">
        <v>890</v>
      </c>
      <c r="V303" s="468">
        <v>0.9</v>
      </c>
      <c r="W303" s="466">
        <v>875</v>
      </c>
      <c r="X303" s="468">
        <v>950</v>
      </c>
      <c r="Y303" s="466">
        <v>140</v>
      </c>
      <c r="Z303" s="468">
        <v>150</v>
      </c>
      <c r="AA303" s="466">
        <v>1.9</v>
      </c>
      <c r="AB303" s="466">
        <v>0.4</v>
      </c>
      <c r="AC303" s="466">
        <v>2.7</v>
      </c>
      <c r="AD303" s="466">
        <v>0.6</v>
      </c>
      <c r="AE303" s="466">
        <v>0.28000000000000003</v>
      </c>
      <c r="AF303" s="468">
        <v>0.31</v>
      </c>
      <c r="AG303" s="466">
        <v>0.36</v>
      </c>
      <c r="AH303" s="468">
        <v>0.4</v>
      </c>
      <c r="AI303" s="466">
        <v>0.59</v>
      </c>
      <c r="AJ303" s="466">
        <v>-6</v>
      </c>
      <c r="AK303" s="466">
        <v>4.5</v>
      </c>
      <c r="AL303" s="490">
        <v>20.5</v>
      </c>
      <c r="AM303" s="703">
        <f>'COOLING-TARGET'!E$64</f>
        <v>15.1086005</v>
      </c>
    </row>
    <row r="304" spans="1:39" ht="25" customHeight="1" outlineLevel="1">
      <c r="A304" s="476" t="s">
        <v>114</v>
      </c>
      <c r="B304" s="466">
        <v>280</v>
      </c>
      <c r="C304" s="466">
        <v>-24</v>
      </c>
      <c r="D304" s="466">
        <v>-26</v>
      </c>
      <c r="E304" s="466">
        <v>29</v>
      </c>
      <c r="F304" s="466">
        <v>23</v>
      </c>
      <c r="G304" s="468">
        <v>33</v>
      </c>
      <c r="H304" s="468">
        <v>26</v>
      </c>
      <c r="I304" s="466">
        <v>4300</v>
      </c>
      <c r="J304" s="466">
        <v>3470</v>
      </c>
      <c r="K304" s="472">
        <f t="shared" si="4"/>
        <v>3800</v>
      </c>
      <c r="L304" s="521">
        <v>666</v>
      </c>
      <c r="M304" s="521">
        <v>666</v>
      </c>
      <c r="N304" s="490">
        <v>0</v>
      </c>
      <c r="O304" s="490">
        <v>0</v>
      </c>
      <c r="P304" s="466">
        <v>28</v>
      </c>
      <c r="Q304" s="468">
        <v>36</v>
      </c>
      <c r="R304" s="466">
        <v>103</v>
      </c>
      <c r="S304" s="468">
        <v>133</v>
      </c>
      <c r="T304" s="466">
        <v>700</v>
      </c>
      <c r="U304" s="468">
        <v>810</v>
      </c>
      <c r="V304" s="468">
        <v>0.8</v>
      </c>
      <c r="W304" s="466">
        <v>950</v>
      </c>
      <c r="X304" s="468">
        <v>1030</v>
      </c>
      <c r="Y304" s="466">
        <v>120</v>
      </c>
      <c r="Z304" s="468">
        <v>130</v>
      </c>
      <c r="AA304" s="466">
        <v>2.5</v>
      </c>
      <c r="AB304" s="466">
        <v>0.4</v>
      </c>
      <c r="AC304" s="466">
        <v>3.6</v>
      </c>
      <c r="AD304" s="466">
        <v>0.6</v>
      </c>
      <c r="AE304" s="466">
        <v>0.28000000000000003</v>
      </c>
      <c r="AF304" s="468">
        <v>0.31</v>
      </c>
      <c r="AG304" s="466">
        <v>0.36</v>
      </c>
      <c r="AH304" s="468">
        <v>0.4</v>
      </c>
      <c r="AI304" s="466">
        <v>0.59</v>
      </c>
      <c r="AJ304" s="466">
        <v>-7</v>
      </c>
      <c r="AK304" s="466">
        <v>3.5</v>
      </c>
      <c r="AL304" s="490">
        <v>20.5</v>
      </c>
      <c r="AM304" s="703">
        <f>'COOLING-TARGET'!E$64</f>
        <v>15.1086005</v>
      </c>
    </row>
    <row r="305" spans="1:40" ht="25" customHeight="1" outlineLevel="1">
      <c r="A305" s="476" t="s">
        <v>115</v>
      </c>
      <c r="B305" s="466">
        <v>210</v>
      </c>
      <c r="C305" s="466">
        <v>-32</v>
      </c>
      <c r="D305" s="466">
        <v>-35</v>
      </c>
      <c r="E305" s="466">
        <v>30</v>
      </c>
      <c r="F305" s="466">
        <v>22</v>
      </c>
      <c r="G305" s="468">
        <v>34</v>
      </c>
      <c r="H305" s="468">
        <v>25</v>
      </c>
      <c r="I305" s="466">
        <v>5600</v>
      </c>
      <c r="J305" s="466">
        <v>4660</v>
      </c>
      <c r="K305" s="472">
        <f t="shared" si="4"/>
        <v>5100</v>
      </c>
      <c r="L305" s="484">
        <v>219.2</v>
      </c>
      <c r="M305" s="521">
        <v>666</v>
      </c>
      <c r="N305" s="490">
        <v>0</v>
      </c>
      <c r="O305" s="490">
        <v>0</v>
      </c>
      <c r="P305" s="466">
        <v>23</v>
      </c>
      <c r="Q305" s="468">
        <v>30</v>
      </c>
      <c r="R305" s="466">
        <v>92</v>
      </c>
      <c r="S305" s="468">
        <v>120</v>
      </c>
      <c r="T305" s="466">
        <v>590</v>
      </c>
      <c r="U305" s="468">
        <v>710</v>
      </c>
      <c r="V305" s="468">
        <v>0.8</v>
      </c>
      <c r="W305" s="466">
        <v>820</v>
      </c>
      <c r="X305" s="468">
        <v>910</v>
      </c>
      <c r="Y305" s="466">
        <v>120</v>
      </c>
      <c r="Z305" s="468">
        <v>130</v>
      </c>
      <c r="AA305" s="466">
        <v>2.4</v>
      </c>
      <c r="AB305" s="466">
        <v>0.4</v>
      </c>
      <c r="AC305" s="466">
        <v>3.3</v>
      </c>
      <c r="AD305" s="466">
        <v>0.6</v>
      </c>
      <c r="AE305" s="466">
        <v>0.34</v>
      </c>
      <c r="AF305" s="468">
        <v>0.37</v>
      </c>
      <c r="AG305" s="466">
        <v>0.44</v>
      </c>
      <c r="AH305" s="468">
        <v>0.48</v>
      </c>
      <c r="AI305" s="466">
        <v>0.73</v>
      </c>
      <c r="AJ305" s="466">
        <v>-11</v>
      </c>
      <c r="AK305" s="466">
        <v>3.9</v>
      </c>
      <c r="AL305" s="490">
        <v>20.5</v>
      </c>
      <c r="AM305" s="703">
        <f>'COOLING-TARGET'!E$64</f>
        <v>15.1086005</v>
      </c>
    </row>
    <row r="306" spans="1:40" ht="25" customHeight="1" outlineLevel="1">
      <c r="A306" s="476" t="s">
        <v>116</v>
      </c>
      <c r="B306" s="466">
        <v>190</v>
      </c>
      <c r="C306" s="466">
        <v>-18</v>
      </c>
      <c r="D306" s="466">
        <v>-20</v>
      </c>
      <c r="E306" s="466">
        <v>30</v>
      </c>
      <c r="F306" s="466">
        <v>23</v>
      </c>
      <c r="G306" s="468">
        <v>34</v>
      </c>
      <c r="H306" s="468">
        <v>26</v>
      </c>
      <c r="I306" s="466">
        <v>3750</v>
      </c>
      <c r="J306" s="466">
        <v>2970</v>
      </c>
      <c r="K306" s="472">
        <f t="shared" si="4"/>
        <v>3250</v>
      </c>
      <c r="L306" s="521">
        <v>666</v>
      </c>
      <c r="M306" s="521">
        <v>666</v>
      </c>
      <c r="N306" s="490">
        <v>0</v>
      </c>
      <c r="O306" s="490">
        <v>0</v>
      </c>
      <c r="P306" s="466">
        <v>23</v>
      </c>
      <c r="Q306" s="468">
        <v>29</v>
      </c>
      <c r="R306" s="466">
        <v>108</v>
      </c>
      <c r="S306" s="468">
        <v>138</v>
      </c>
      <c r="T306" s="466">
        <v>810</v>
      </c>
      <c r="U306" s="468">
        <v>930</v>
      </c>
      <c r="V306" s="468">
        <v>0.9</v>
      </c>
      <c r="W306" s="466">
        <v>875</v>
      </c>
      <c r="X306" s="468">
        <v>960</v>
      </c>
      <c r="Y306" s="466">
        <v>160</v>
      </c>
      <c r="Z306" s="468">
        <v>170</v>
      </c>
      <c r="AA306" s="466">
        <v>1.2</v>
      </c>
      <c r="AB306" s="466">
        <v>0.4</v>
      </c>
      <c r="AC306" s="466">
        <v>1.8</v>
      </c>
      <c r="AD306" s="466">
        <v>0.6</v>
      </c>
      <c r="AE306" s="466">
        <v>0.34</v>
      </c>
      <c r="AF306" s="468">
        <v>0.37</v>
      </c>
      <c r="AG306" s="466">
        <v>0.44</v>
      </c>
      <c r="AH306" s="468">
        <v>0.48</v>
      </c>
      <c r="AI306" s="466">
        <v>0.73</v>
      </c>
      <c r="AJ306" s="466">
        <v>-6</v>
      </c>
      <c r="AK306" s="466">
        <v>4.5</v>
      </c>
      <c r="AL306" s="490">
        <v>20.5</v>
      </c>
      <c r="AM306" s="703">
        <f>'COOLING-TARGET'!E$64</f>
        <v>15.1086005</v>
      </c>
    </row>
    <row r="307" spans="1:40" ht="25" customHeight="1" outlineLevel="1">
      <c r="A307" s="476" t="s">
        <v>117</v>
      </c>
      <c r="B307" s="466">
        <v>215</v>
      </c>
      <c r="C307" s="466">
        <v>-17</v>
      </c>
      <c r="D307" s="466">
        <v>-19</v>
      </c>
      <c r="E307" s="466">
        <v>30</v>
      </c>
      <c r="F307" s="466">
        <v>23</v>
      </c>
      <c r="G307" s="468">
        <v>34</v>
      </c>
      <c r="H307" s="468">
        <v>26</v>
      </c>
      <c r="I307" s="466">
        <v>3760</v>
      </c>
      <c r="J307" s="466">
        <v>2980</v>
      </c>
      <c r="K307" s="472">
        <f t="shared" si="4"/>
        <v>3260</v>
      </c>
      <c r="L307" s="521">
        <v>666</v>
      </c>
      <c r="M307" s="521">
        <v>666</v>
      </c>
      <c r="N307" s="490">
        <v>0</v>
      </c>
      <c r="O307" s="490">
        <v>0</v>
      </c>
      <c r="P307" s="466">
        <v>25</v>
      </c>
      <c r="Q307" s="468">
        <v>32</v>
      </c>
      <c r="R307" s="466">
        <v>97</v>
      </c>
      <c r="S307" s="468">
        <v>123</v>
      </c>
      <c r="T307" s="466">
        <v>840</v>
      </c>
      <c r="U307" s="468">
        <v>970</v>
      </c>
      <c r="V307" s="468">
        <v>1</v>
      </c>
      <c r="W307" s="466">
        <v>875</v>
      </c>
      <c r="X307" s="468">
        <v>950</v>
      </c>
      <c r="Y307" s="466">
        <v>160</v>
      </c>
      <c r="Z307" s="468">
        <v>170</v>
      </c>
      <c r="AA307" s="466">
        <v>1.3</v>
      </c>
      <c r="AB307" s="466">
        <v>0.4</v>
      </c>
      <c r="AC307" s="466">
        <v>1.9</v>
      </c>
      <c r="AD307" s="466">
        <v>0.6</v>
      </c>
      <c r="AE307" s="466">
        <v>0.36</v>
      </c>
      <c r="AF307" s="468">
        <v>0.4</v>
      </c>
      <c r="AG307" s="466">
        <v>0.46</v>
      </c>
      <c r="AH307" s="468">
        <v>0.51</v>
      </c>
      <c r="AI307" s="466">
        <v>0.75</v>
      </c>
      <c r="AJ307" s="466">
        <v>-6</v>
      </c>
      <c r="AK307" s="466">
        <v>4.5</v>
      </c>
      <c r="AL307" s="490">
        <v>20.5</v>
      </c>
      <c r="AM307" s="703">
        <f>'COOLING-TARGET'!E$64</f>
        <v>15.1086005</v>
      </c>
    </row>
    <row r="308" spans="1:40" ht="25" customHeight="1" outlineLevel="1">
      <c r="A308" s="476" t="s">
        <v>118</v>
      </c>
      <c r="B308" s="466">
        <v>335</v>
      </c>
      <c r="C308" s="466">
        <v>-27</v>
      </c>
      <c r="D308" s="466">
        <v>-29</v>
      </c>
      <c r="E308" s="466">
        <v>29</v>
      </c>
      <c r="F308" s="466">
        <v>23</v>
      </c>
      <c r="G308" s="468">
        <v>33</v>
      </c>
      <c r="H308" s="468">
        <v>26</v>
      </c>
      <c r="I308" s="466">
        <v>4840</v>
      </c>
      <c r="J308" s="466">
        <v>3960</v>
      </c>
      <c r="K308" s="472">
        <f t="shared" si="4"/>
        <v>4340</v>
      </c>
      <c r="L308" s="484">
        <v>220.5</v>
      </c>
      <c r="M308" s="521">
        <v>666</v>
      </c>
      <c r="N308" s="490">
        <v>0</v>
      </c>
      <c r="O308" s="490">
        <v>0</v>
      </c>
      <c r="P308" s="466">
        <v>25</v>
      </c>
      <c r="Q308" s="468">
        <v>32</v>
      </c>
      <c r="R308" s="466">
        <v>92</v>
      </c>
      <c r="S308" s="468">
        <v>118</v>
      </c>
      <c r="T308" s="466">
        <v>780</v>
      </c>
      <c r="U308" s="468">
        <v>910</v>
      </c>
      <c r="V308" s="468">
        <v>0.9</v>
      </c>
      <c r="W308" s="466">
        <v>980</v>
      </c>
      <c r="X308" s="468">
        <v>1060</v>
      </c>
      <c r="Y308" s="466">
        <v>100</v>
      </c>
      <c r="Z308" s="468">
        <v>110</v>
      </c>
      <c r="AA308" s="466">
        <v>2.9</v>
      </c>
      <c r="AB308" s="466">
        <v>0.4</v>
      </c>
      <c r="AC308" s="466">
        <v>4</v>
      </c>
      <c r="AD308" s="466">
        <v>0.6</v>
      </c>
      <c r="AE308" s="466">
        <v>0.27</v>
      </c>
      <c r="AF308" s="468">
        <v>0.3</v>
      </c>
      <c r="AG308" s="466">
        <v>0.35</v>
      </c>
      <c r="AH308" s="468">
        <v>0.39</v>
      </c>
      <c r="AI308" s="466">
        <v>0.57999999999999996</v>
      </c>
      <c r="AJ308" s="466">
        <v>-8</v>
      </c>
      <c r="AK308" s="466">
        <v>2</v>
      </c>
      <c r="AL308" s="490">
        <v>20.5</v>
      </c>
      <c r="AM308" s="703">
        <f>'COOLING-TARGET'!E$64</f>
        <v>15.1086005</v>
      </c>
    </row>
    <row r="309" spans="1:40" ht="25" customHeight="1" outlineLevel="1">
      <c r="A309" s="476" t="s">
        <v>119</v>
      </c>
      <c r="B309" s="466">
        <v>255</v>
      </c>
      <c r="C309" s="466">
        <v>-19</v>
      </c>
      <c r="D309" s="466">
        <v>-21</v>
      </c>
      <c r="E309" s="466">
        <v>30</v>
      </c>
      <c r="F309" s="466">
        <v>23</v>
      </c>
      <c r="G309" s="468">
        <v>34</v>
      </c>
      <c r="H309" s="468">
        <v>26</v>
      </c>
      <c r="I309" s="466">
        <v>4200</v>
      </c>
      <c r="J309" s="466">
        <v>3380</v>
      </c>
      <c r="K309" s="472">
        <f t="shared" si="4"/>
        <v>3700</v>
      </c>
      <c r="L309" s="521">
        <v>666</v>
      </c>
      <c r="M309" s="521">
        <v>666</v>
      </c>
      <c r="N309" s="490">
        <v>0</v>
      </c>
      <c r="O309" s="490">
        <v>0</v>
      </c>
      <c r="P309" s="466">
        <v>28</v>
      </c>
      <c r="Q309" s="468">
        <v>36</v>
      </c>
      <c r="R309" s="466">
        <v>119</v>
      </c>
      <c r="S309" s="468">
        <v>152</v>
      </c>
      <c r="T309" s="466">
        <v>750</v>
      </c>
      <c r="U309" s="468">
        <v>870</v>
      </c>
      <c r="V309" s="468">
        <v>0.8</v>
      </c>
      <c r="W309" s="466">
        <v>850</v>
      </c>
      <c r="X309" s="468">
        <v>930</v>
      </c>
      <c r="Y309" s="466">
        <v>140</v>
      </c>
      <c r="Z309" s="468">
        <v>150</v>
      </c>
      <c r="AA309" s="466">
        <v>1.4</v>
      </c>
      <c r="AB309" s="466">
        <v>0.4</v>
      </c>
      <c r="AC309" s="466">
        <v>2</v>
      </c>
      <c r="AD309" s="466">
        <v>0.6</v>
      </c>
      <c r="AE309" s="466">
        <v>0.28999999999999998</v>
      </c>
      <c r="AF309" s="468">
        <v>0.32</v>
      </c>
      <c r="AG309" s="466">
        <v>0.37</v>
      </c>
      <c r="AH309" s="468">
        <v>0.41</v>
      </c>
      <c r="AI309" s="466">
        <v>0.61</v>
      </c>
      <c r="AJ309" s="466">
        <v>-6</v>
      </c>
      <c r="AK309" s="466">
        <v>4.8</v>
      </c>
      <c r="AL309" s="490">
        <v>20.5</v>
      </c>
      <c r="AM309" s="703">
        <f>'COOLING-TARGET'!E$64</f>
        <v>15.1086005</v>
      </c>
    </row>
    <row r="310" spans="1:40" ht="25" customHeight="1" outlineLevel="1">
      <c r="A310" s="476" t="s">
        <v>1148</v>
      </c>
      <c r="B310" s="466">
        <v>90</v>
      </c>
      <c r="C310" s="466">
        <v>-17</v>
      </c>
      <c r="D310" s="466">
        <v>-19</v>
      </c>
      <c r="E310" s="466">
        <v>31</v>
      </c>
      <c r="F310" s="466">
        <v>23</v>
      </c>
      <c r="G310" s="468">
        <v>35</v>
      </c>
      <c r="H310" s="468">
        <v>26</v>
      </c>
      <c r="I310" s="466">
        <v>3460</v>
      </c>
      <c r="J310" s="466">
        <v>2700</v>
      </c>
      <c r="K310" s="472">
        <f t="shared" si="4"/>
        <v>2960</v>
      </c>
      <c r="L310" s="484">
        <v>336</v>
      </c>
      <c r="M310" s="489">
        <v>465</v>
      </c>
      <c r="N310" s="491">
        <v>37.200000000000003</v>
      </c>
      <c r="O310" s="491">
        <v>37.200000000000003</v>
      </c>
      <c r="P310" s="466">
        <v>23</v>
      </c>
      <c r="Q310" s="468">
        <v>29</v>
      </c>
      <c r="R310" s="466">
        <v>108</v>
      </c>
      <c r="S310" s="468">
        <v>138</v>
      </c>
      <c r="T310" s="466">
        <v>810</v>
      </c>
      <c r="U310" s="468">
        <v>930</v>
      </c>
      <c r="V310" s="468">
        <v>0.9</v>
      </c>
      <c r="W310" s="466">
        <v>875</v>
      </c>
      <c r="X310" s="468">
        <v>960</v>
      </c>
      <c r="Y310" s="466">
        <v>160</v>
      </c>
      <c r="Z310" s="468">
        <v>170</v>
      </c>
      <c r="AA310" s="466">
        <v>1.1000000000000001</v>
      </c>
      <c r="AB310" s="466">
        <v>0.4</v>
      </c>
      <c r="AC310" s="466">
        <v>1.6</v>
      </c>
      <c r="AD310" s="466">
        <v>0.6</v>
      </c>
      <c r="AE310" s="466">
        <v>0.36</v>
      </c>
      <c r="AF310" s="468">
        <v>0.4</v>
      </c>
      <c r="AG310" s="466">
        <v>0.46</v>
      </c>
      <c r="AH310" s="468">
        <v>0.51</v>
      </c>
      <c r="AI310" s="466">
        <v>0.75</v>
      </c>
      <c r="AJ310" s="466">
        <v>-6</v>
      </c>
      <c r="AK310" s="466">
        <v>3.5</v>
      </c>
      <c r="AL310" s="715">
        <v>18.899999999999999</v>
      </c>
      <c r="AM310" s="715">
        <v>13.93</v>
      </c>
      <c r="AN310" s="715">
        <v>59.25</v>
      </c>
    </row>
    <row r="311" spans="1:40" ht="25" customHeight="1" outlineLevel="1">
      <c r="A311" s="476" t="s">
        <v>120</v>
      </c>
      <c r="B311" s="466">
        <v>270</v>
      </c>
      <c r="C311" s="466">
        <v>-19</v>
      </c>
      <c r="D311" s="466">
        <v>-21</v>
      </c>
      <c r="E311" s="466">
        <v>29</v>
      </c>
      <c r="F311" s="466">
        <v>22</v>
      </c>
      <c r="G311" s="468">
        <v>33</v>
      </c>
      <c r="H311" s="468">
        <v>25</v>
      </c>
      <c r="I311" s="466">
        <v>4300</v>
      </c>
      <c r="J311" s="466">
        <v>3470</v>
      </c>
      <c r="K311" s="472">
        <f t="shared" si="4"/>
        <v>3800</v>
      </c>
      <c r="L311" s="521">
        <v>666</v>
      </c>
      <c r="M311" s="521">
        <v>666</v>
      </c>
      <c r="N311" s="490">
        <v>0</v>
      </c>
      <c r="O311" s="490">
        <v>0</v>
      </c>
      <c r="P311" s="466">
        <v>28</v>
      </c>
      <c r="Q311" s="468">
        <v>36</v>
      </c>
      <c r="R311" s="466">
        <v>103</v>
      </c>
      <c r="S311" s="468">
        <v>132</v>
      </c>
      <c r="T311" s="466">
        <v>790</v>
      </c>
      <c r="U311" s="468">
        <v>920</v>
      </c>
      <c r="V311" s="468">
        <v>0.9</v>
      </c>
      <c r="W311" s="466">
        <v>1050</v>
      </c>
      <c r="X311" s="468">
        <v>1130</v>
      </c>
      <c r="Y311" s="466">
        <v>140</v>
      </c>
      <c r="Z311" s="468">
        <v>150</v>
      </c>
      <c r="AA311" s="466">
        <v>2.6</v>
      </c>
      <c r="AB311" s="466">
        <v>0.4</v>
      </c>
      <c r="AC311" s="466">
        <v>3.8</v>
      </c>
      <c r="AD311" s="466">
        <v>0.6</v>
      </c>
      <c r="AE311" s="466">
        <v>0.34</v>
      </c>
      <c r="AF311" s="468">
        <v>0.37</v>
      </c>
      <c r="AG311" s="466">
        <v>0.44</v>
      </c>
      <c r="AH311" s="468">
        <v>0.48</v>
      </c>
      <c r="AI311" s="466">
        <v>0.73</v>
      </c>
      <c r="AJ311" s="466">
        <v>-7</v>
      </c>
      <c r="AK311" s="466">
        <v>3.8</v>
      </c>
      <c r="AL311" s="490">
        <v>20.5</v>
      </c>
      <c r="AM311" s="703">
        <f>'COOLING-TARGET'!E$64</f>
        <v>15.1086005</v>
      </c>
    </row>
    <row r="312" spans="1:40" ht="25" customHeight="1" outlineLevel="1">
      <c r="A312" s="476" t="s">
        <v>121</v>
      </c>
      <c r="B312" s="466">
        <v>200</v>
      </c>
      <c r="C312" s="466">
        <v>-24</v>
      </c>
      <c r="D312" s="466">
        <v>-26</v>
      </c>
      <c r="E312" s="466">
        <v>30</v>
      </c>
      <c r="F312" s="466">
        <v>23</v>
      </c>
      <c r="G312" s="468">
        <v>34</v>
      </c>
      <c r="H312" s="468">
        <v>26</v>
      </c>
      <c r="I312" s="466">
        <v>4280</v>
      </c>
      <c r="J312" s="466">
        <v>3450</v>
      </c>
      <c r="K312" s="472">
        <f t="shared" si="4"/>
        <v>3780</v>
      </c>
      <c r="L312" s="521">
        <v>666</v>
      </c>
      <c r="M312" s="521">
        <v>666</v>
      </c>
      <c r="N312" s="490">
        <v>0</v>
      </c>
      <c r="O312" s="490">
        <v>0</v>
      </c>
      <c r="P312" s="466">
        <v>25</v>
      </c>
      <c r="Q312" s="468">
        <v>32</v>
      </c>
      <c r="R312" s="466">
        <v>92</v>
      </c>
      <c r="S312" s="468">
        <v>118</v>
      </c>
      <c r="T312" s="466">
        <v>730</v>
      </c>
      <c r="U312" s="468">
        <v>840</v>
      </c>
      <c r="V312" s="468">
        <v>0.9</v>
      </c>
      <c r="W312" s="466">
        <v>840</v>
      </c>
      <c r="X312" s="468">
        <v>910</v>
      </c>
      <c r="Y312" s="466">
        <v>140</v>
      </c>
      <c r="Z312" s="468">
        <v>150</v>
      </c>
      <c r="AA312" s="466">
        <v>2</v>
      </c>
      <c r="AB312" s="466">
        <v>0.4</v>
      </c>
      <c r="AC312" s="466">
        <v>2.8</v>
      </c>
      <c r="AD312" s="466">
        <v>0.6</v>
      </c>
      <c r="AE312" s="466">
        <v>0.32</v>
      </c>
      <c r="AF312" s="468">
        <v>0.35</v>
      </c>
      <c r="AG312" s="466">
        <v>0.41</v>
      </c>
      <c r="AH312" s="468">
        <v>0.45</v>
      </c>
      <c r="AI312" s="466">
        <v>0.67</v>
      </c>
      <c r="AJ312" s="466">
        <v>-7</v>
      </c>
      <c r="AK312" s="466">
        <v>3</v>
      </c>
      <c r="AL312" s="490">
        <v>20.5</v>
      </c>
      <c r="AM312" s="703">
        <f>'COOLING-TARGET'!E$64</f>
        <v>15.1086005</v>
      </c>
    </row>
    <row r="313" spans="1:40" ht="25" customHeight="1" outlineLevel="1">
      <c r="A313" s="476" t="s">
        <v>122</v>
      </c>
      <c r="B313" s="466">
        <v>50</v>
      </c>
      <c r="C313" s="466">
        <v>-25</v>
      </c>
      <c r="D313" s="466">
        <v>-27</v>
      </c>
      <c r="E313" s="466">
        <v>30</v>
      </c>
      <c r="F313" s="466">
        <v>23</v>
      </c>
      <c r="G313" s="468">
        <v>34</v>
      </c>
      <c r="H313" s="468">
        <v>26</v>
      </c>
      <c r="I313" s="466">
        <v>4610</v>
      </c>
      <c r="J313" s="466">
        <v>3750</v>
      </c>
      <c r="K313" s="472">
        <f t="shared" si="4"/>
        <v>4110</v>
      </c>
      <c r="L313" s="484">
        <v>340.3</v>
      </c>
      <c r="M313" s="484">
        <v>632.70000000000005</v>
      </c>
      <c r="N313" s="490">
        <v>0</v>
      </c>
      <c r="O313" s="490">
        <v>0</v>
      </c>
      <c r="P313" s="466">
        <v>23</v>
      </c>
      <c r="Q313" s="468">
        <v>30</v>
      </c>
      <c r="R313" s="466">
        <v>103</v>
      </c>
      <c r="S313" s="468">
        <v>133</v>
      </c>
      <c r="T313" s="466">
        <v>800</v>
      </c>
      <c r="U313" s="468">
        <v>950</v>
      </c>
      <c r="V313" s="468">
        <v>1</v>
      </c>
      <c r="W313" s="466">
        <v>925</v>
      </c>
      <c r="X313" s="468">
        <v>1030</v>
      </c>
      <c r="Y313" s="466">
        <v>160</v>
      </c>
      <c r="AA313" s="466">
        <v>2.2999999999999998</v>
      </c>
      <c r="AB313" s="466">
        <v>0.4</v>
      </c>
      <c r="AC313" s="466">
        <v>3.2</v>
      </c>
      <c r="AD313" s="466">
        <v>0.6</v>
      </c>
      <c r="AE313" s="466">
        <v>0.32</v>
      </c>
      <c r="AF313" s="468">
        <v>0.35</v>
      </c>
      <c r="AG313" s="466">
        <v>0.41</v>
      </c>
      <c r="AH313" s="468">
        <v>0.45</v>
      </c>
      <c r="AI313" s="466">
        <v>0.67</v>
      </c>
      <c r="AJ313" s="466">
        <v>-8</v>
      </c>
      <c r="AK313" s="466">
        <v>3.8</v>
      </c>
      <c r="AL313" s="490">
        <v>20.5</v>
      </c>
      <c r="AM313" s="703">
        <f>'COOLING-TARGET'!E$64</f>
        <v>15.1086005</v>
      </c>
    </row>
    <row r="314" spans="1:40" ht="25" customHeight="1" outlineLevel="1">
      <c r="A314" s="476" t="s">
        <v>123</v>
      </c>
      <c r="B314" s="466">
        <v>245</v>
      </c>
      <c r="C314" s="466">
        <v>-35</v>
      </c>
      <c r="D314" s="466">
        <v>-37</v>
      </c>
      <c r="E314" s="466">
        <v>29</v>
      </c>
      <c r="F314" s="466">
        <v>21</v>
      </c>
      <c r="G314" s="468">
        <v>33</v>
      </c>
      <c r="H314" s="468">
        <v>24</v>
      </c>
      <c r="I314" s="466">
        <v>6450</v>
      </c>
      <c r="J314" s="466">
        <v>5490</v>
      </c>
      <c r="K314" s="472">
        <f t="shared" si="4"/>
        <v>5950</v>
      </c>
      <c r="L314" s="521">
        <v>666</v>
      </c>
      <c r="M314" s="521">
        <v>666</v>
      </c>
      <c r="N314" s="490">
        <v>0</v>
      </c>
      <c r="O314" s="490">
        <v>0</v>
      </c>
      <c r="P314" s="466">
        <v>20</v>
      </c>
      <c r="Q314" s="468">
        <v>26</v>
      </c>
      <c r="R314" s="466">
        <v>86</v>
      </c>
      <c r="S314" s="468">
        <v>113</v>
      </c>
      <c r="T314" s="466">
        <v>520</v>
      </c>
      <c r="U314" s="468">
        <v>640</v>
      </c>
      <c r="V314" s="468">
        <v>0.7</v>
      </c>
      <c r="W314" s="466">
        <v>825</v>
      </c>
      <c r="X314" s="468">
        <v>930</v>
      </c>
      <c r="Y314" s="466">
        <v>80</v>
      </c>
      <c r="AA314" s="466">
        <v>2.8</v>
      </c>
      <c r="AB314" s="466">
        <v>0.3</v>
      </c>
      <c r="AC314" s="466">
        <v>3.9</v>
      </c>
      <c r="AD314" s="466">
        <v>0.4</v>
      </c>
      <c r="AE314" s="466">
        <v>0.23</v>
      </c>
      <c r="AF314" s="468">
        <v>0.25</v>
      </c>
      <c r="AG314" s="466">
        <v>0.3</v>
      </c>
      <c r="AH314" s="468">
        <v>0.33</v>
      </c>
      <c r="AI314" s="466">
        <v>0.47</v>
      </c>
      <c r="AJ314" s="466">
        <v>-12</v>
      </c>
      <c r="AK314" s="466">
        <v>3.5</v>
      </c>
      <c r="AL314" s="490">
        <v>20.5</v>
      </c>
      <c r="AM314" s="703">
        <f>'COOLING-TARGET'!E$64</f>
        <v>15.1086005</v>
      </c>
    </row>
    <row r="315" spans="1:40" ht="25" customHeight="1" outlineLevel="1">
      <c r="A315" s="476" t="s">
        <v>124</v>
      </c>
      <c r="B315" s="466">
        <v>180</v>
      </c>
      <c r="C315" s="466">
        <v>-24</v>
      </c>
      <c r="D315" s="466">
        <v>-26</v>
      </c>
      <c r="E315" s="466">
        <v>29</v>
      </c>
      <c r="F315" s="466">
        <v>23</v>
      </c>
      <c r="G315" s="468">
        <v>33</v>
      </c>
      <c r="H315" s="468">
        <v>26</v>
      </c>
      <c r="I315" s="466">
        <v>4300</v>
      </c>
      <c r="J315" s="466">
        <v>3470</v>
      </c>
      <c r="K315" s="472">
        <f t="shared" si="4"/>
        <v>3800</v>
      </c>
      <c r="L315" s="521">
        <v>666</v>
      </c>
      <c r="M315" s="521">
        <v>666</v>
      </c>
      <c r="N315" s="490">
        <v>0</v>
      </c>
      <c r="O315" s="490">
        <v>0</v>
      </c>
      <c r="P315" s="466">
        <v>25</v>
      </c>
      <c r="Q315" s="468">
        <v>32</v>
      </c>
      <c r="R315" s="466">
        <v>97</v>
      </c>
      <c r="S315" s="468">
        <v>124</v>
      </c>
      <c r="T315" s="466">
        <v>710</v>
      </c>
      <c r="U315" s="468">
        <v>820</v>
      </c>
      <c r="V315" s="468">
        <v>0.9</v>
      </c>
      <c r="W315" s="466">
        <v>1050</v>
      </c>
      <c r="X315" s="468">
        <v>1120</v>
      </c>
      <c r="Y315" s="466">
        <v>160</v>
      </c>
      <c r="Z315" s="468">
        <v>170</v>
      </c>
      <c r="AA315" s="466">
        <v>2.7</v>
      </c>
      <c r="AB315" s="466">
        <v>0.4</v>
      </c>
      <c r="AC315" s="466">
        <v>3.8</v>
      </c>
      <c r="AD315" s="466">
        <v>0.6</v>
      </c>
      <c r="AE315" s="466">
        <v>0.3</v>
      </c>
      <c r="AF315" s="468">
        <v>0.33</v>
      </c>
      <c r="AG315" s="466">
        <v>0.39</v>
      </c>
      <c r="AH315" s="468">
        <v>0.43</v>
      </c>
      <c r="AI315" s="466">
        <v>0.65</v>
      </c>
      <c r="AJ315" s="466">
        <v>-7</v>
      </c>
      <c r="AK315" s="466">
        <v>4</v>
      </c>
      <c r="AL315" s="490">
        <v>20.5</v>
      </c>
      <c r="AM315" s="703">
        <f>'COOLING-TARGET'!E$64</f>
        <v>15.1086005</v>
      </c>
    </row>
    <row r="316" spans="1:40" ht="25" customHeight="1" outlineLevel="1">
      <c r="A316" s="476" t="s">
        <v>125</v>
      </c>
      <c r="B316" s="466">
        <v>360</v>
      </c>
      <c r="C316" s="466">
        <v>-37</v>
      </c>
      <c r="D316" s="466">
        <v>-40</v>
      </c>
      <c r="E316" s="466">
        <v>28</v>
      </c>
      <c r="F316" s="466">
        <v>21</v>
      </c>
      <c r="G316" s="468">
        <v>32</v>
      </c>
      <c r="H316" s="468">
        <v>24</v>
      </c>
      <c r="I316" s="466">
        <v>6340</v>
      </c>
      <c r="J316" s="466">
        <v>5380</v>
      </c>
      <c r="K316" s="472">
        <f t="shared" si="4"/>
        <v>5840</v>
      </c>
      <c r="L316" s="521">
        <v>666</v>
      </c>
      <c r="M316" s="521">
        <v>666</v>
      </c>
      <c r="N316" s="490">
        <v>0</v>
      </c>
      <c r="O316" s="490">
        <v>0</v>
      </c>
      <c r="P316" s="466">
        <v>20</v>
      </c>
      <c r="Q316" s="468">
        <v>26</v>
      </c>
      <c r="R316" s="466">
        <v>93</v>
      </c>
      <c r="S316" s="468">
        <v>121</v>
      </c>
      <c r="T316" s="466">
        <v>420</v>
      </c>
      <c r="U316" s="468">
        <v>510</v>
      </c>
      <c r="V316" s="468">
        <v>0.7</v>
      </c>
      <c r="W316" s="466">
        <v>750</v>
      </c>
      <c r="X316" s="468">
        <v>840</v>
      </c>
      <c r="Y316" s="466">
        <v>80</v>
      </c>
      <c r="AA316" s="466">
        <v>3.3</v>
      </c>
      <c r="AB316" s="466">
        <v>0.4</v>
      </c>
      <c r="AC316" s="466">
        <v>4.5</v>
      </c>
      <c r="AD316" s="466">
        <v>0.6</v>
      </c>
      <c r="AE316" s="466">
        <v>0.22</v>
      </c>
      <c r="AF316" s="468">
        <v>0.24</v>
      </c>
      <c r="AG316" s="466">
        <v>0.3</v>
      </c>
      <c r="AH316" s="468">
        <v>0.33</v>
      </c>
      <c r="AI316" s="466">
        <v>0.52</v>
      </c>
      <c r="AJ316" s="466">
        <v>-11</v>
      </c>
      <c r="AK316" s="466">
        <v>3</v>
      </c>
      <c r="AL316" s="490">
        <v>20.5</v>
      </c>
      <c r="AM316" s="703">
        <f>'COOLING-TARGET'!E$64</f>
        <v>15.1086005</v>
      </c>
    </row>
    <row r="317" spans="1:40" ht="25" customHeight="1" outlineLevel="1">
      <c r="A317" s="476" t="s">
        <v>126</v>
      </c>
      <c r="B317" s="466">
        <v>335</v>
      </c>
      <c r="C317" s="466">
        <v>-26</v>
      </c>
      <c r="D317" s="466">
        <v>-29</v>
      </c>
      <c r="E317" s="466">
        <v>29</v>
      </c>
      <c r="F317" s="466">
        <v>22</v>
      </c>
      <c r="G317" s="468">
        <v>33</v>
      </c>
      <c r="H317" s="468">
        <v>25</v>
      </c>
      <c r="I317" s="466">
        <v>4850</v>
      </c>
      <c r="J317" s="466">
        <v>3970</v>
      </c>
      <c r="K317" s="472">
        <f t="shared" si="4"/>
        <v>4350</v>
      </c>
      <c r="L317" s="484">
        <v>220.5</v>
      </c>
      <c r="M317" s="521">
        <v>666</v>
      </c>
      <c r="N317" s="490">
        <v>0</v>
      </c>
      <c r="O317" s="490">
        <v>0</v>
      </c>
      <c r="P317" s="466">
        <v>25</v>
      </c>
      <c r="Q317" s="468">
        <v>32</v>
      </c>
      <c r="R317" s="466">
        <v>103</v>
      </c>
      <c r="S317" s="468">
        <v>132</v>
      </c>
      <c r="T317" s="466">
        <v>800</v>
      </c>
      <c r="U317" s="468">
        <v>930</v>
      </c>
      <c r="V317" s="468">
        <v>0.9</v>
      </c>
      <c r="W317" s="466">
        <v>1000</v>
      </c>
      <c r="X317" s="468">
        <v>1080</v>
      </c>
      <c r="Y317" s="466">
        <v>120</v>
      </c>
      <c r="AA317" s="466">
        <v>2.9</v>
      </c>
      <c r="AB317" s="466">
        <v>0.4</v>
      </c>
      <c r="AC317" s="466">
        <v>4</v>
      </c>
      <c r="AD317" s="466">
        <v>0.6</v>
      </c>
      <c r="AE317" s="466">
        <v>0.27</v>
      </c>
      <c r="AF317" s="468">
        <v>0.3</v>
      </c>
      <c r="AG317" s="466">
        <v>0.35</v>
      </c>
      <c r="AH317" s="468">
        <v>0.39</v>
      </c>
      <c r="AI317" s="466">
        <v>0.57999999999999996</v>
      </c>
      <c r="AJ317" s="466">
        <v>-8</v>
      </c>
      <c r="AK317" s="466">
        <v>2</v>
      </c>
      <c r="AL317" s="490">
        <v>20.5</v>
      </c>
      <c r="AM317" s="703">
        <f>'COOLING-TARGET'!E$64</f>
        <v>15.1086005</v>
      </c>
    </row>
    <row r="318" spans="1:40" ht="25" customHeight="1" outlineLevel="1">
      <c r="A318" s="476" t="s">
        <v>127</v>
      </c>
      <c r="B318" s="466">
        <v>280</v>
      </c>
      <c r="C318" s="466">
        <v>-18</v>
      </c>
      <c r="D318" s="466">
        <v>-20</v>
      </c>
      <c r="E318" s="466">
        <v>30</v>
      </c>
      <c r="F318" s="466">
        <v>23</v>
      </c>
      <c r="G318" s="468">
        <v>34</v>
      </c>
      <c r="H318" s="468">
        <v>26</v>
      </c>
      <c r="I318" s="466">
        <v>3920</v>
      </c>
      <c r="J318" s="466">
        <v>3120</v>
      </c>
      <c r="K318" s="472">
        <f t="shared" si="4"/>
        <v>3420</v>
      </c>
      <c r="L318" s="521">
        <v>666</v>
      </c>
      <c r="M318" s="521">
        <v>666</v>
      </c>
      <c r="N318" s="490">
        <v>0</v>
      </c>
      <c r="O318" s="490">
        <v>0</v>
      </c>
      <c r="P318" s="466">
        <v>28</v>
      </c>
      <c r="Q318" s="468">
        <v>36</v>
      </c>
      <c r="R318" s="466">
        <v>108</v>
      </c>
      <c r="S318" s="468">
        <v>138</v>
      </c>
      <c r="T318" s="466">
        <v>840</v>
      </c>
      <c r="U318" s="468">
        <v>960</v>
      </c>
      <c r="V318" s="468">
        <v>1</v>
      </c>
      <c r="W318" s="466">
        <v>950</v>
      </c>
      <c r="X318" s="468">
        <v>1030</v>
      </c>
      <c r="Y318" s="466">
        <v>180</v>
      </c>
      <c r="Z318" s="468">
        <v>200</v>
      </c>
      <c r="AA318" s="466">
        <v>1.7</v>
      </c>
      <c r="AB318" s="466">
        <v>0.4</v>
      </c>
      <c r="AC318" s="466">
        <v>2.4</v>
      </c>
      <c r="AD318" s="466">
        <v>0.6</v>
      </c>
      <c r="AE318" s="466">
        <v>0.37</v>
      </c>
      <c r="AF318" s="468">
        <v>0.41</v>
      </c>
      <c r="AG318" s="466">
        <v>0.48</v>
      </c>
      <c r="AH318" s="468">
        <v>0.53</v>
      </c>
      <c r="AI318" s="466">
        <v>0.8</v>
      </c>
      <c r="AJ318" s="466">
        <v>-6</v>
      </c>
      <c r="AK318" s="466">
        <v>4.4000000000000004</v>
      </c>
      <c r="AL318" s="490">
        <v>20.5</v>
      </c>
      <c r="AM318" s="703">
        <f>'COOLING-TARGET'!E$64</f>
        <v>15.1086005</v>
      </c>
    </row>
    <row r="319" spans="1:40" ht="25" customHeight="1" outlineLevel="1">
      <c r="A319" s="476" t="s">
        <v>128</v>
      </c>
      <c r="B319" s="466">
        <v>275</v>
      </c>
      <c r="C319" s="466">
        <v>-33</v>
      </c>
      <c r="D319" s="466">
        <v>-36</v>
      </c>
      <c r="E319" s="466">
        <v>29</v>
      </c>
      <c r="F319" s="466">
        <v>21</v>
      </c>
      <c r="G319" s="468">
        <v>33</v>
      </c>
      <c r="H319" s="468">
        <v>24</v>
      </c>
      <c r="I319" s="466">
        <v>6100</v>
      </c>
      <c r="J319" s="466">
        <v>5150</v>
      </c>
      <c r="K319" s="472">
        <f t="shared" si="4"/>
        <v>5600</v>
      </c>
      <c r="L319" s="521">
        <v>666</v>
      </c>
      <c r="M319" s="521">
        <v>666</v>
      </c>
      <c r="N319" s="490">
        <v>0</v>
      </c>
      <c r="O319" s="490">
        <v>0</v>
      </c>
      <c r="P319" s="466">
        <v>20</v>
      </c>
      <c r="Q319" s="468">
        <v>26</v>
      </c>
      <c r="R319" s="466">
        <v>86</v>
      </c>
      <c r="S319" s="468">
        <v>113</v>
      </c>
      <c r="T319" s="466">
        <v>575</v>
      </c>
      <c r="U319" s="468">
        <v>700</v>
      </c>
      <c r="V319" s="468">
        <v>0.8</v>
      </c>
      <c r="W319" s="466">
        <v>825</v>
      </c>
      <c r="X319" s="468">
        <v>920</v>
      </c>
      <c r="Y319" s="466">
        <v>100</v>
      </c>
      <c r="AA319" s="466">
        <v>2.9</v>
      </c>
      <c r="AB319" s="466">
        <v>0.3</v>
      </c>
      <c r="AC319" s="466">
        <v>4</v>
      </c>
      <c r="AD319" s="466">
        <v>0.4</v>
      </c>
      <c r="AE319" s="466">
        <v>0.28999999999999998</v>
      </c>
      <c r="AF319" s="468">
        <v>0.32</v>
      </c>
      <c r="AG319" s="466">
        <v>0.37</v>
      </c>
      <c r="AH319" s="468">
        <v>0.41</v>
      </c>
      <c r="AI319" s="466">
        <v>0.57999999999999996</v>
      </c>
      <c r="AJ319" s="466">
        <v>-11</v>
      </c>
      <c r="AK319" s="466">
        <v>3.5</v>
      </c>
      <c r="AL319" s="490">
        <v>20.5</v>
      </c>
      <c r="AM319" s="703">
        <f>'COOLING-TARGET'!E$64</f>
        <v>15.1086005</v>
      </c>
    </row>
    <row r="320" spans="1:40" ht="25" customHeight="1" outlineLevel="1">
      <c r="A320" s="476" t="s">
        <v>129</v>
      </c>
      <c r="B320" s="466">
        <v>330</v>
      </c>
      <c r="C320" s="466">
        <v>-36</v>
      </c>
      <c r="D320" s="466">
        <v>-39</v>
      </c>
      <c r="E320" s="466">
        <v>28</v>
      </c>
      <c r="F320" s="466">
        <v>21</v>
      </c>
      <c r="G320" s="468">
        <v>32</v>
      </c>
      <c r="H320" s="468">
        <v>24</v>
      </c>
      <c r="I320" s="466">
        <v>6400</v>
      </c>
      <c r="J320" s="466">
        <v>5440</v>
      </c>
      <c r="K320" s="472">
        <f t="shared" si="4"/>
        <v>5900</v>
      </c>
      <c r="L320" s="521">
        <v>666</v>
      </c>
      <c r="M320" s="521">
        <v>666</v>
      </c>
      <c r="N320" s="490">
        <v>0</v>
      </c>
      <c r="O320" s="490">
        <v>0</v>
      </c>
      <c r="P320" s="466">
        <v>20</v>
      </c>
      <c r="Q320" s="468">
        <v>26</v>
      </c>
      <c r="R320" s="466">
        <v>86</v>
      </c>
      <c r="S320" s="468">
        <v>112</v>
      </c>
      <c r="T320" s="466">
        <v>550</v>
      </c>
      <c r="U320" s="468">
        <v>670</v>
      </c>
      <c r="V320" s="468">
        <v>0.8</v>
      </c>
      <c r="W320" s="466">
        <v>750</v>
      </c>
      <c r="X320" s="468">
        <v>840</v>
      </c>
      <c r="Y320" s="466">
        <v>100</v>
      </c>
      <c r="Z320" s="468">
        <v>110</v>
      </c>
      <c r="AA320" s="466">
        <v>2.7</v>
      </c>
      <c r="AB320" s="466">
        <v>0.4</v>
      </c>
      <c r="AC320" s="466">
        <v>3.8</v>
      </c>
      <c r="AD320" s="466">
        <v>0.6</v>
      </c>
      <c r="AE320" s="466">
        <v>0.22</v>
      </c>
      <c r="AF320" s="468">
        <v>0.24</v>
      </c>
      <c r="AG320" s="466">
        <v>0.3</v>
      </c>
      <c r="AH320" s="468">
        <v>0.33</v>
      </c>
      <c r="AI320" s="466">
        <v>0.52</v>
      </c>
      <c r="AJ320" s="466">
        <v>-11</v>
      </c>
      <c r="AK320" s="466">
        <v>2.2999999999999998</v>
      </c>
      <c r="AL320" s="490">
        <v>20.5</v>
      </c>
      <c r="AM320" s="703">
        <f>'COOLING-TARGET'!E$64</f>
        <v>15.1086005</v>
      </c>
    </row>
    <row r="321" spans="1:39" ht="25" customHeight="1" outlineLevel="1">
      <c r="A321" s="476" t="s">
        <v>130</v>
      </c>
      <c r="B321" s="466">
        <v>245</v>
      </c>
      <c r="C321" s="466">
        <v>-34</v>
      </c>
      <c r="D321" s="466">
        <v>-36</v>
      </c>
      <c r="E321" s="466">
        <v>29</v>
      </c>
      <c r="F321" s="466">
        <v>21</v>
      </c>
      <c r="G321" s="468">
        <v>33</v>
      </c>
      <c r="H321" s="468">
        <v>24</v>
      </c>
      <c r="I321" s="466">
        <v>6250</v>
      </c>
      <c r="J321" s="466">
        <v>5290</v>
      </c>
      <c r="K321" s="472">
        <f t="shared" si="4"/>
        <v>5750</v>
      </c>
      <c r="L321" s="521">
        <v>666</v>
      </c>
      <c r="M321" s="521">
        <v>666</v>
      </c>
      <c r="N321" s="490">
        <v>0</v>
      </c>
      <c r="O321" s="490">
        <v>0</v>
      </c>
      <c r="P321" s="466">
        <v>20</v>
      </c>
      <c r="Q321" s="468">
        <v>26</v>
      </c>
      <c r="R321" s="466">
        <v>86</v>
      </c>
      <c r="S321" s="468">
        <v>113</v>
      </c>
      <c r="T321" s="466">
        <v>550</v>
      </c>
      <c r="U321" s="468">
        <v>670</v>
      </c>
      <c r="V321" s="468">
        <v>0.8</v>
      </c>
      <c r="W321" s="466">
        <v>825</v>
      </c>
      <c r="X321" s="468">
        <v>930</v>
      </c>
      <c r="Y321" s="466">
        <v>100</v>
      </c>
      <c r="AA321" s="466">
        <v>3</v>
      </c>
      <c r="AB321" s="466">
        <v>0.3</v>
      </c>
      <c r="AC321" s="466">
        <v>4.2</v>
      </c>
      <c r="AD321" s="466">
        <v>0.4</v>
      </c>
      <c r="AE321" s="466">
        <v>0.24</v>
      </c>
      <c r="AF321" s="468">
        <v>0.26</v>
      </c>
      <c r="AG321" s="466">
        <v>0.31</v>
      </c>
      <c r="AH321" s="468">
        <v>0.34</v>
      </c>
      <c r="AI321" s="466">
        <v>0.49</v>
      </c>
      <c r="AJ321" s="466">
        <v>-12</v>
      </c>
      <c r="AK321" s="466">
        <v>3.9</v>
      </c>
      <c r="AL321" s="490">
        <v>20.5</v>
      </c>
      <c r="AM321" s="703">
        <f>'COOLING-TARGET'!E$64</f>
        <v>15.1086005</v>
      </c>
    </row>
    <row r="322" spans="1:39" ht="25" customHeight="1" outlineLevel="1">
      <c r="A322" s="476" t="s">
        <v>131</v>
      </c>
      <c r="B322" s="466">
        <v>90</v>
      </c>
      <c r="C322" s="466">
        <v>-25</v>
      </c>
      <c r="D322" s="466">
        <v>-27</v>
      </c>
      <c r="E322" s="466">
        <v>30</v>
      </c>
      <c r="F322" s="466">
        <v>23</v>
      </c>
      <c r="G322" s="468">
        <v>34</v>
      </c>
      <c r="H322" s="468">
        <v>26</v>
      </c>
      <c r="I322" s="466">
        <v>4540</v>
      </c>
      <c r="J322" s="466">
        <v>3690</v>
      </c>
      <c r="K322" s="472">
        <f t="shared" si="4"/>
        <v>4040</v>
      </c>
      <c r="L322" s="521">
        <v>666</v>
      </c>
      <c r="M322" s="521">
        <v>666</v>
      </c>
      <c r="N322" s="490">
        <v>0</v>
      </c>
      <c r="O322" s="490">
        <v>0</v>
      </c>
      <c r="P322" s="466">
        <v>25</v>
      </c>
      <c r="Q322" s="468">
        <v>32</v>
      </c>
      <c r="R322" s="466">
        <v>92</v>
      </c>
      <c r="S322" s="468">
        <v>118</v>
      </c>
      <c r="T322" s="466">
        <v>750</v>
      </c>
      <c r="U322" s="468">
        <v>880</v>
      </c>
      <c r="V322" s="468">
        <v>1</v>
      </c>
      <c r="W322" s="466">
        <v>925</v>
      </c>
      <c r="X322" s="468">
        <v>1030</v>
      </c>
      <c r="Y322" s="466">
        <v>160</v>
      </c>
      <c r="AA322" s="466">
        <v>2.2999999999999998</v>
      </c>
      <c r="AB322" s="466">
        <v>0.4</v>
      </c>
      <c r="AC322" s="466">
        <v>3.3</v>
      </c>
      <c r="AD322" s="466">
        <v>0.6</v>
      </c>
      <c r="AE322" s="466">
        <v>0.32</v>
      </c>
      <c r="AF322" s="468">
        <v>0.35</v>
      </c>
      <c r="AG322" s="466">
        <v>0.41</v>
      </c>
      <c r="AH322" s="468">
        <v>0.45</v>
      </c>
      <c r="AI322" s="466">
        <v>0.67</v>
      </c>
      <c r="AJ322" s="466">
        <v>-8</v>
      </c>
      <c r="AK322" s="466">
        <v>2.2999999999999998</v>
      </c>
      <c r="AL322" s="490">
        <v>20.5</v>
      </c>
      <c r="AM322" s="703">
        <f>'COOLING-TARGET'!E$64</f>
        <v>15.1086005</v>
      </c>
    </row>
    <row r="323" spans="1:39" ht="25" customHeight="1" outlineLevel="1">
      <c r="A323" s="476" t="s">
        <v>132</v>
      </c>
      <c r="B323" s="466">
        <v>370</v>
      </c>
      <c r="C323" s="466">
        <v>-33</v>
      </c>
      <c r="D323" s="466">
        <v>-35</v>
      </c>
      <c r="E323" s="466">
        <v>28</v>
      </c>
      <c r="F323" s="466">
        <v>22</v>
      </c>
      <c r="G323" s="468">
        <v>32</v>
      </c>
      <c r="H323" s="468">
        <v>25</v>
      </c>
      <c r="I323" s="466">
        <v>5630</v>
      </c>
      <c r="J323" s="466">
        <v>4730</v>
      </c>
      <c r="K323" s="472">
        <f t="shared" si="4"/>
        <v>5130</v>
      </c>
      <c r="L323" s="521">
        <v>666</v>
      </c>
      <c r="M323" s="521">
        <v>666</v>
      </c>
      <c r="N323" s="490">
        <v>0</v>
      </c>
      <c r="O323" s="490">
        <v>0</v>
      </c>
      <c r="P323" s="466">
        <v>25</v>
      </c>
      <c r="Q323" s="468">
        <v>32</v>
      </c>
      <c r="R323" s="466">
        <v>113</v>
      </c>
      <c r="S323" s="468">
        <v>146</v>
      </c>
      <c r="T323" s="466">
        <v>515</v>
      </c>
      <c r="U323" s="468">
        <v>610</v>
      </c>
      <c r="V323" s="468">
        <v>0.6</v>
      </c>
      <c r="W323" s="466">
        <v>630</v>
      </c>
      <c r="X323" s="468">
        <v>700</v>
      </c>
      <c r="Y323" s="466">
        <v>120</v>
      </c>
      <c r="AA323" s="466">
        <v>2.5</v>
      </c>
      <c r="AB323" s="466">
        <v>0.3</v>
      </c>
      <c r="AC323" s="466">
        <v>3.6</v>
      </c>
      <c r="AD323" s="466">
        <v>0.4</v>
      </c>
      <c r="AE323" s="466">
        <v>0.23</v>
      </c>
      <c r="AF323" s="468">
        <v>0.25</v>
      </c>
      <c r="AG323" s="466">
        <v>0.31</v>
      </c>
      <c r="AH323" s="468">
        <v>0.34</v>
      </c>
      <c r="AI323" s="466">
        <v>0.53</v>
      </c>
      <c r="AJ323" s="466">
        <v>-11</v>
      </c>
      <c r="AK323" s="466">
        <v>2.9</v>
      </c>
      <c r="AL323" s="490">
        <v>20.5</v>
      </c>
      <c r="AM323" s="703">
        <f>'COOLING-TARGET'!E$64</f>
        <v>15.1086005</v>
      </c>
    </row>
    <row r="324" spans="1:39" ht="25" customHeight="1" outlineLevel="1">
      <c r="A324" s="476" t="s">
        <v>133</v>
      </c>
      <c r="B324" s="466">
        <v>185</v>
      </c>
      <c r="C324" s="466">
        <v>-28</v>
      </c>
      <c r="D324" s="466">
        <v>-31</v>
      </c>
      <c r="E324" s="466">
        <v>30</v>
      </c>
      <c r="F324" s="466">
        <v>22</v>
      </c>
      <c r="G324" s="468">
        <v>34</v>
      </c>
      <c r="H324" s="468">
        <v>25</v>
      </c>
      <c r="I324" s="466">
        <v>4960</v>
      </c>
      <c r="J324" s="466">
        <v>4070</v>
      </c>
      <c r="K324" s="472">
        <f t="shared" si="4"/>
        <v>4460</v>
      </c>
      <c r="L324" s="521">
        <v>666</v>
      </c>
      <c r="M324" s="521">
        <v>666</v>
      </c>
      <c r="N324" s="490">
        <v>0</v>
      </c>
      <c r="O324" s="490">
        <v>0</v>
      </c>
      <c r="P324" s="466">
        <v>23</v>
      </c>
      <c r="Q324" s="468">
        <v>30</v>
      </c>
      <c r="R324" s="466">
        <v>86</v>
      </c>
      <c r="S324" s="468">
        <v>110</v>
      </c>
      <c r="T324" s="466">
        <v>680</v>
      </c>
      <c r="U324" s="468">
        <v>820</v>
      </c>
      <c r="V324" s="468">
        <v>0.8</v>
      </c>
      <c r="W324" s="466">
        <v>825</v>
      </c>
      <c r="X324" s="468">
        <v>920</v>
      </c>
      <c r="Y324" s="466">
        <v>120</v>
      </c>
      <c r="AA324" s="466">
        <v>2.7</v>
      </c>
      <c r="AB324" s="466">
        <v>0.4</v>
      </c>
      <c r="AC324" s="466">
        <v>3.9</v>
      </c>
      <c r="AD324" s="466">
        <v>0.6</v>
      </c>
      <c r="AE324" s="466">
        <v>0.27</v>
      </c>
      <c r="AF324" s="468">
        <v>0.3</v>
      </c>
      <c r="AG324" s="466">
        <v>0.35</v>
      </c>
      <c r="AH324" s="468">
        <v>0.39</v>
      </c>
      <c r="AI324" s="466">
        <v>0.57999999999999996</v>
      </c>
      <c r="AJ324" s="466">
        <v>-9</v>
      </c>
      <c r="AK324" s="466">
        <v>2</v>
      </c>
      <c r="AL324" s="490">
        <v>20.5</v>
      </c>
      <c r="AM324" s="703">
        <f>'COOLING-TARGET'!E$64</f>
        <v>15.1086005</v>
      </c>
    </row>
    <row r="325" spans="1:39" ht="25" customHeight="1" outlineLevel="1">
      <c r="A325" s="476" t="s">
        <v>134</v>
      </c>
      <c r="B325" s="466">
        <v>190</v>
      </c>
      <c r="C325" s="466">
        <v>-17</v>
      </c>
      <c r="D325" s="466">
        <v>-19</v>
      </c>
      <c r="E325" s="466">
        <v>28</v>
      </c>
      <c r="F325" s="466">
        <v>22</v>
      </c>
      <c r="G325" s="468">
        <v>32</v>
      </c>
      <c r="H325" s="468">
        <v>25</v>
      </c>
      <c r="I325" s="466">
        <v>3890</v>
      </c>
      <c r="J325" s="466">
        <v>3100</v>
      </c>
      <c r="K325" s="472">
        <f t="shared" si="4"/>
        <v>3390</v>
      </c>
      <c r="L325" s="521">
        <v>666</v>
      </c>
      <c r="M325" s="521">
        <v>666</v>
      </c>
      <c r="N325" s="490">
        <v>0</v>
      </c>
      <c r="O325" s="490">
        <v>0</v>
      </c>
      <c r="P325" s="466">
        <v>25</v>
      </c>
      <c r="Q325" s="468">
        <v>32</v>
      </c>
      <c r="R325" s="466">
        <v>92</v>
      </c>
      <c r="S325" s="468">
        <v>118</v>
      </c>
      <c r="T325" s="466">
        <v>800</v>
      </c>
      <c r="U325" s="468">
        <v>930</v>
      </c>
      <c r="V325" s="468">
        <v>1</v>
      </c>
      <c r="W325" s="466">
        <v>950</v>
      </c>
      <c r="X325" s="468">
        <v>1030</v>
      </c>
      <c r="Y325" s="466">
        <v>180</v>
      </c>
      <c r="Z325" s="468">
        <v>190</v>
      </c>
      <c r="AA325" s="466">
        <v>2.6</v>
      </c>
      <c r="AB325" s="466">
        <v>0.4</v>
      </c>
      <c r="AC325" s="466">
        <v>3.8</v>
      </c>
      <c r="AD325" s="466">
        <v>0.6</v>
      </c>
      <c r="AE325" s="466">
        <v>0.37</v>
      </c>
      <c r="AF325" s="468">
        <v>0.41</v>
      </c>
      <c r="AG325" s="466">
        <v>0.48</v>
      </c>
      <c r="AH325" s="468">
        <v>0.53</v>
      </c>
      <c r="AI325" s="466">
        <v>0.8</v>
      </c>
      <c r="AJ325" s="466">
        <v>-6</v>
      </c>
      <c r="AK325" s="466">
        <v>5.3</v>
      </c>
      <c r="AL325" s="490">
        <v>20.5</v>
      </c>
      <c r="AM325" s="703">
        <f>'COOLING-TARGET'!E$64</f>
        <v>15.1086005</v>
      </c>
    </row>
    <row r="326" spans="1:39" ht="25" customHeight="1" outlineLevel="1">
      <c r="A326" s="476" t="s">
        <v>135</v>
      </c>
      <c r="B326" s="466">
        <v>80</v>
      </c>
      <c r="C326" s="466">
        <v>-22</v>
      </c>
      <c r="D326" s="466">
        <v>-24</v>
      </c>
      <c r="E326" s="466">
        <v>28</v>
      </c>
      <c r="F326" s="466">
        <v>23</v>
      </c>
      <c r="G326" s="468">
        <v>32</v>
      </c>
      <c r="H326" s="468">
        <v>26</v>
      </c>
      <c r="I326" s="466">
        <v>4000</v>
      </c>
      <c r="J326" s="466">
        <v>3200</v>
      </c>
      <c r="K326" s="472">
        <f t="shared" ref="K326:K388" si="5">I326-500</f>
        <v>3500</v>
      </c>
      <c r="L326" s="484">
        <v>230</v>
      </c>
      <c r="M326" s="521">
        <v>666</v>
      </c>
      <c r="N326" s="490">
        <v>0</v>
      </c>
      <c r="O326" s="490">
        <v>0</v>
      </c>
      <c r="P326" s="466">
        <v>23</v>
      </c>
      <c r="Q326" s="468">
        <v>29</v>
      </c>
      <c r="R326" s="466">
        <v>108</v>
      </c>
      <c r="S326" s="468">
        <v>138</v>
      </c>
      <c r="T326" s="466">
        <v>780</v>
      </c>
      <c r="U326" s="468">
        <v>890</v>
      </c>
      <c r="V326" s="468">
        <v>1</v>
      </c>
      <c r="W326" s="466">
        <v>950</v>
      </c>
      <c r="X326" s="468">
        <v>1020</v>
      </c>
      <c r="Y326" s="466">
        <v>180</v>
      </c>
      <c r="Z326" s="468">
        <v>190</v>
      </c>
      <c r="AA326" s="466">
        <v>2.1</v>
      </c>
      <c r="AB326" s="466">
        <v>0.4</v>
      </c>
      <c r="AC326" s="466">
        <v>3</v>
      </c>
      <c r="AD326" s="466">
        <v>0.6</v>
      </c>
      <c r="AE326" s="466">
        <v>0.37</v>
      </c>
      <c r="AF326" s="468">
        <v>0.41</v>
      </c>
      <c r="AG326" s="466">
        <v>0.47</v>
      </c>
      <c r="AH326" s="468">
        <v>0.52</v>
      </c>
      <c r="AI326" s="466">
        <v>0.76</v>
      </c>
      <c r="AJ326" s="466">
        <v>-7</v>
      </c>
      <c r="AK326" s="466">
        <v>4.3</v>
      </c>
      <c r="AL326" s="490">
        <v>20.5</v>
      </c>
      <c r="AM326" s="703">
        <f>'COOLING-TARGET'!E$64</f>
        <v>15.1086005</v>
      </c>
    </row>
    <row r="327" spans="1:39" ht="25" customHeight="1" outlineLevel="1">
      <c r="A327" s="476" t="s">
        <v>136</v>
      </c>
      <c r="B327" s="466">
        <v>295</v>
      </c>
      <c r="C327" s="466">
        <v>-26</v>
      </c>
      <c r="D327" s="466">
        <v>-28</v>
      </c>
      <c r="E327" s="466">
        <v>29</v>
      </c>
      <c r="F327" s="466">
        <v>23</v>
      </c>
      <c r="G327" s="468">
        <v>33</v>
      </c>
      <c r="H327" s="468">
        <v>26</v>
      </c>
      <c r="I327" s="466">
        <v>4600</v>
      </c>
      <c r="J327" s="466">
        <v>3740</v>
      </c>
      <c r="K327" s="472">
        <f t="shared" si="5"/>
        <v>4100</v>
      </c>
      <c r="L327" s="521">
        <v>666</v>
      </c>
      <c r="M327" s="521">
        <v>666</v>
      </c>
      <c r="N327" s="490">
        <v>0</v>
      </c>
      <c r="O327" s="490">
        <v>0</v>
      </c>
      <c r="P327" s="466">
        <v>25</v>
      </c>
      <c r="Q327" s="468">
        <v>32</v>
      </c>
      <c r="R327" s="466">
        <v>108</v>
      </c>
      <c r="S327" s="468">
        <v>139</v>
      </c>
      <c r="T327" s="466">
        <v>750</v>
      </c>
      <c r="U327" s="468">
        <v>870</v>
      </c>
      <c r="V327" s="468">
        <v>0.9</v>
      </c>
      <c r="W327" s="466">
        <v>950</v>
      </c>
      <c r="X327" s="468">
        <v>1030</v>
      </c>
      <c r="Y327" s="466">
        <v>120</v>
      </c>
      <c r="Z327" s="468">
        <v>130</v>
      </c>
      <c r="AA327" s="466">
        <v>2.7</v>
      </c>
      <c r="AB327" s="466">
        <v>0.4</v>
      </c>
      <c r="AC327" s="466">
        <v>3.8</v>
      </c>
      <c r="AD327" s="466">
        <v>0.6</v>
      </c>
      <c r="AE327" s="466">
        <v>0.27</v>
      </c>
      <c r="AF327" s="468">
        <v>0.3</v>
      </c>
      <c r="AG327" s="466">
        <v>0.35</v>
      </c>
      <c r="AH327" s="468">
        <v>0.39</v>
      </c>
      <c r="AI327" s="466">
        <v>0.57999999999999996</v>
      </c>
      <c r="AJ327" s="466">
        <v>-7</v>
      </c>
      <c r="AK327" s="466">
        <v>2</v>
      </c>
      <c r="AL327" s="490">
        <v>20.5</v>
      </c>
      <c r="AM327" s="703">
        <f>'COOLING-TARGET'!E$64</f>
        <v>15.1086005</v>
      </c>
    </row>
    <row r="328" spans="1:39" ht="25" customHeight="1" outlineLevel="1">
      <c r="A328" s="476" t="s">
        <v>137</v>
      </c>
      <c r="B328" s="466">
        <v>325</v>
      </c>
      <c r="C328" s="466">
        <v>-33</v>
      </c>
      <c r="D328" s="466">
        <v>-36</v>
      </c>
      <c r="E328" s="466">
        <v>29</v>
      </c>
      <c r="F328" s="466">
        <v>22</v>
      </c>
      <c r="G328" s="468">
        <v>33</v>
      </c>
      <c r="H328" s="468">
        <v>25</v>
      </c>
      <c r="I328" s="466">
        <v>6000</v>
      </c>
      <c r="J328" s="466">
        <v>5050</v>
      </c>
      <c r="K328" s="472">
        <f t="shared" si="5"/>
        <v>5500</v>
      </c>
      <c r="L328" s="521">
        <v>666</v>
      </c>
      <c r="M328" s="521">
        <v>666</v>
      </c>
      <c r="N328" s="490">
        <v>0</v>
      </c>
      <c r="O328" s="490">
        <v>0</v>
      </c>
      <c r="P328" s="466">
        <v>23</v>
      </c>
      <c r="Q328" s="468">
        <v>30</v>
      </c>
      <c r="R328" s="466">
        <v>92</v>
      </c>
      <c r="S328" s="468">
        <v>120</v>
      </c>
      <c r="T328" s="466">
        <v>600</v>
      </c>
      <c r="U328" s="468">
        <v>720</v>
      </c>
      <c r="V328" s="468">
        <v>0.8</v>
      </c>
      <c r="W328" s="466">
        <v>875</v>
      </c>
      <c r="X328" s="468">
        <v>970</v>
      </c>
      <c r="Y328" s="466">
        <v>100</v>
      </c>
      <c r="AA328" s="466">
        <v>2.9</v>
      </c>
      <c r="AB328" s="466">
        <v>0.3</v>
      </c>
      <c r="AC328" s="466">
        <v>4</v>
      </c>
      <c r="AD328" s="466">
        <v>0.4</v>
      </c>
      <c r="AE328" s="466">
        <v>0.3</v>
      </c>
      <c r="AF328" s="468">
        <v>0.33</v>
      </c>
      <c r="AG328" s="466">
        <v>0.39</v>
      </c>
      <c r="AH328" s="468">
        <v>0.43</v>
      </c>
      <c r="AI328" s="466">
        <v>0.62</v>
      </c>
      <c r="AJ328" s="466">
        <v>-11</v>
      </c>
      <c r="AK328" s="466">
        <v>3.8</v>
      </c>
      <c r="AL328" s="490">
        <v>20.5</v>
      </c>
      <c r="AM328" s="703">
        <f>'COOLING-TARGET'!E$64</f>
        <v>15.1086005</v>
      </c>
    </row>
    <row r="329" spans="1:39" ht="25" customHeight="1" outlineLevel="1">
      <c r="A329" s="476" t="s">
        <v>138</v>
      </c>
      <c r="B329" s="466">
        <v>335</v>
      </c>
      <c r="C329" s="466">
        <v>-19</v>
      </c>
      <c r="D329" s="466">
        <v>-21</v>
      </c>
      <c r="E329" s="466">
        <v>29</v>
      </c>
      <c r="F329" s="466">
        <v>23</v>
      </c>
      <c r="G329" s="468">
        <v>33</v>
      </c>
      <c r="H329" s="468">
        <v>26</v>
      </c>
      <c r="I329" s="466">
        <v>4200</v>
      </c>
      <c r="J329" s="466">
        <v>3380</v>
      </c>
      <c r="K329" s="472">
        <f t="shared" si="5"/>
        <v>3700</v>
      </c>
      <c r="L329" s="484">
        <v>276</v>
      </c>
      <c r="M329" s="521">
        <v>666</v>
      </c>
      <c r="N329" s="490">
        <v>0</v>
      </c>
      <c r="O329" s="490">
        <v>0</v>
      </c>
      <c r="P329" s="466">
        <v>28</v>
      </c>
      <c r="Q329" s="468">
        <v>36</v>
      </c>
      <c r="R329" s="466">
        <v>119</v>
      </c>
      <c r="S329" s="468">
        <v>152</v>
      </c>
      <c r="T329" s="466">
        <v>780</v>
      </c>
      <c r="U329" s="468">
        <v>900</v>
      </c>
      <c r="V329" s="468">
        <v>0.9</v>
      </c>
      <c r="W329" s="466">
        <v>925</v>
      </c>
      <c r="X329" s="468">
        <v>1010</v>
      </c>
      <c r="Y329" s="466">
        <v>140</v>
      </c>
      <c r="Z329" s="468">
        <v>150</v>
      </c>
      <c r="AA329" s="466">
        <v>2</v>
      </c>
      <c r="AB329" s="466">
        <v>0.4</v>
      </c>
      <c r="AC329" s="466">
        <v>2.9</v>
      </c>
      <c r="AD329" s="466">
        <v>0.6</v>
      </c>
      <c r="AE329" s="466">
        <v>0.28999999999999998</v>
      </c>
      <c r="AF329" s="468">
        <v>0.32</v>
      </c>
      <c r="AG329" s="466">
        <v>0.37</v>
      </c>
      <c r="AH329" s="468">
        <v>0.41</v>
      </c>
      <c r="AI329" s="466">
        <v>0.61</v>
      </c>
      <c r="AJ329" s="466">
        <v>-6</v>
      </c>
      <c r="AK329" s="466">
        <v>4.5</v>
      </c>
      <c r="AL329" s="490">
        <v>20.5</v>
      </c>
      <c r="AM329" s="703">
        <f>'COOLING-TARGET'!E$64</f>
        <v>15.1086005</v>
      </c>
    </row>
    <row r="330" spans="1:39" ht="25" customHeight="1" outlineLevel="1">
      <c r="A330" s="476" t="s">
        <v>1149</v>
      </c>
      <c r="B330" s="466">
        <v>215</v>
      </c>
      <c r="C330" s="466">
        <v>-38</v>
      </c>
      <c r="D330" s="466">
        <v>-40</v>
      </c>
      <c r="E330" s="466">
        <v>26</v>
      </c>
      <c r="F330" s="466">
        <v>20</v>
      </c>
      <c r="G330" s="468">
        <v>30</v>
      </c>
      <c r="H330" s="468">
        <v>23</v>
      </c>
      <c r="I330" s="466">
        <v>7450</v>
      </c>
      <c r="J330" s="466" t="s">
        <v>1150</v>
      </c>
      <c r="K330" s="472">
        <f t="shared" si="5"/>
        <v>6950</v>
      </c>
      <c r="L330" s="521">
        <v>666</v>
      </c>
      <c r="M330" s="521">
        <v>666</v>
      </c>
      <c r="N330" s="490">
        <v>0</v>
      </c>
      <c r="O330" s="490">
        <v>0</v>
      </c>
      <c r="P330" s="466">
        <v>18</v>
      </c>
      <c r="Q330" s="468">
        <v>24</v>
      </c>
      <c r="R330" s="466">
        <v>92</v>
      </c>
      <c r="S330" s="468">
        <v>123</v>
      </c>
      <c r="T330" s="466">
        <v>400</v>
      </c>
      <c r="U330" s="468">
        <v>490</v>
      </c>
      <c r="V330" s="468">
        <v>0.8</v>
      </c>
      <c r="W330" s="466">
        <v>600</v>
      </c>
      <c r="X330" s="468">
        <v>680</v>
      </c>
      <c r="Y330" s="466">
        <v>150</v>
      </c>
      <c r="AA330" s="466">
        <v>3.2</v>
      </c>
      <c r="AB330" s="466">
        <v>0.2</v>
      </c>
      <c r="AC330" s="466">
        <v>4.5999999999999996</v>
      </c>
      <c r="AD330" s="466">
        <v>0.3</v>
      </c>
      <c r="AE330" s="466">
        <v>0.31</v>
      </c>
      <c r="AF330" s="468">
        <v>0.34</v>
      </c>
      <c r="AG330" s="466">
        <v>0.42</v>
      </c>
      <c r="AH330" s="468">
        <v>0.46</v>
      </c>
      <c r="AI330" s="466">
        <v>0.69</v>
      </c>
      <c r="AJ330" s="466">
        <v>-14</v>
      </c>
      <c r="AK330" s="466">
        <v>3.7</v>
      </c>
      <c r="AL330" s="490">
        <v>20.5</v>
      </c>
      <c r="AM330" s="703">
        <f>'COOLING-TARGET'!E$64</f>
        <v>15.1086005</v>
      </c>
    </row>
    <row r="331" spans="1:39" ht="25" customHeight="1" outlineLevel="1">
      <c r="A331" s="476" t="s">
        <v>139</v>
      </c>
      <c r="B331" s="466">
        <v>240</v>
      </c>
      <c r="C331" s="466">
        <v>-24</v>
      </c>
      <c r="D331" s="466">
        <v>-26</v>
      </c>
      <c r="E331" s="466">
        <v>30</v>
      </c>
      <c r="F331" s="466">
        <v>23</v>
      </c>
      <c r="G331" s="468">
        <v>34</v>
      </c>
      <c r="H331" s="468">
        <v>26</v>
      </c>
      <c r="I331" s="466">
        <v>4330</v>
      </c>
      <c r="J331" s="466">
        <v>3500</v>
      </c>
      <c r="K331" s="472">
        <f t="shared" si="5"/>
        <v>3830</v>
      </c>
      <c r="L331" s="521">
        <v>666</v>
      </c>
      <c r="M331" s="521">
        <v>666</v>
      </c>
      <c r="N331" s="490">
        <v>0</v>
      </c>
      <c r="O331" s="490">
        <v>0</v>
      </c>
      <c r="P331" s="466">
        <v>25</v>
      </c>
      <c r="Q331" s="468">
        <v>32</v>
      </c>
      <c r="R331" s="466">
        <v>92</v>
      </c>
      <c r="S331" s="468">
        <v>118</v>
      </c>
      <c r="T331" s="466">
        <v>720</v>
      </c>
      <c r="U331" s="468">
        <v>830</v>
      </c>
      <c r="V331" s="468">
        <v>0.9</v>
      </c>
      <c r="W331" s="466">
        <v>850</v>
      </c>
      <c r="X331" s="468">
        <v>920</v>
      </c>
      <c r="Y331" s="466">
        <v>140</v>
      </c>
      <c r="Z331" s="468">
        <v>150</v>
      </c>
      <c r="AA331" s="466">
        <v>2.2000000000000002</v>
      </c>
      <c r="AB331" s="466">
        <v>0.4</v>
      </c>
      <c r="AC331" s="466">
        <v>3.1</v>
      </c>
      <c r="AD331" s="466">
        <v>0.6</v>
      </c>
      <c r="AE331" s="466">
        <v>0.3</v>
      </c>
      <c r="AF331" s="468">
        <v>0.33</v>
      </c>
      <c r="AG331" s="466">
        <v>0.38</v>
      </c>
      <c r="AH331" s="468">
        <v>0.42</v>
      </c>
      <c r="AI331" s="466">
        <v>0.62</v>
      </c>
      <c r="AJ331" s="466">
        <v>-7</v>
      </c>
      <c r="AK331" s="466">
        <v>2</v>
      </c>
      <c r="AL331" s="490">
        <v>20.5</v>
      </c>
      <c r="AM331" s="703">
        <f>'COOLING-TARGET'!E$64</f>
        <v>15.1086005</v>
      </c>
    </row>
    <row r="332" spans="1:39" ht="25" customHeight="1" outlineLevel="1">
      <c r="A332" s="476" t="s">
        <v>140</v>
      </c>
      <c r="B332" s="466">
        <v>240</v>
      </c>
      <c r="C332" s="466">
        <v>-38</v>
      </c>
      <c r="D332" s="466">
        <v>-40</v>
      </c>
      <c r="E332" s="466">
        <v>28</v>
      </c>
      <c r="F332" s="466">
        <v>21</v>
      </c>
      <c r="G332" s="468">
        <v>32</v>
      </c>
      <c r="H332" s="468">
        <v>24</v>
      </c>
      <c r="I332" s="466">
        <v>7150</v>
      </c>
      <c r="J332" s="466">
        <v>6160</v>
      </c>
      <c r="K332" s="472">
        <f t="shared" si="5"/>
        <v>6650</v>
      </c>
      <c r="L332" s="521">
        <v>666</v>
      </c>
      <c r="M332" s="521">
        <v>666</v>
      </c>
      <c r="N332" s="490">
        <v>0</v>
      </c>
      <c r="O332" s="490">
        <v>0</v>
      </c>
      <c r="P332" s="466">
        <v>23</v>
      </c>
      <c r="Q332" s="468">
        <v>30</v>
      </c>
      <c r="R332" s="466">
        <v>92</v>
      </c>
      <c r="S332" s="468">
        <v>122</v>
      </c>
      <c r="T332" s="466">
        <v>500</v>
      </c>
      <c r="U332" s="468">
        <v>610</v>
      </c>
      <c r="V332" s="468">
        <v>0.8</v>
      </c>
      <c r="W332" s="466">
        <v>680</v>
      </c>
      <c r="X332" s="468">
        <v>770</v>
      </c>
      <c r="Y332" s="466">
        <v>140</v>
      </c>
      <c r="Z332" s="468">
        <v>150</v>
      </c>
      <c r="AA332" s="466">
        <v>3</v>
      </c>
      <c r="AB332" s="466">
        <v>0.2</v>
      </c>
      <c r="AC332" s="466">
        <v>4.2</v>
      </c>
      <c r="AD332" s="466">
        <v>0.3</v>
      </c>
      <c r="AE332" s="466">
        <v>0.24</v>
      </c>
      <c r="AF332" s="468">
        <v>0.26</v>
      </c>
      <c r="AG332" s="466">
        <v>0.32</v>
      </c>
      <c r="AH332" s="468">
        <v>0.35</v>
      </c>
      <c r="AI332" s="466">
        <v>0.52</v>
      </c>
      <c r="AJ332" s="466">
        <v>-13</v>
      </c>
      <c r="AK332" s="466">
        <v>3.5</v>
      </c>
      <c r="AL332" s="490">
        <v>20.5</v>
      </c>
      <c r="AM332" s="703">
        <f>'COOLING-TARGET'!E$64</f>
        <v>15.1086005</v>
      </c>
    </row>
    <row r="333" spans="1:39" ht="25" customHeight="1" outlineLevel="1">
      <c r="A333" s="476" t="s">
        <v>141</v>
      </c>
      <c r="B333" s="466">
        <v>190</v>
      </c>
      <c r="C333" s="466">
        <v>-15</v>
      </c>
      <c r="D333" s="466">
        <v>-17</v>
      </c>
      <c r="E333" s="466">
        <v>31</v>
      </c>
      <c r="F333" s="466">
        <v>24</v>
      </c>
      <c r="G333" s="468">
        <v>34</v>
      </c>
      <c r="H333" s="468">
        <v>27</v>
      </c>
      <c r="I333" s="466">
        <v>3400</v>
      </c>
      <c r="J333" s="466">
        <v>2650</v>
      </c>
      <c r="K333" s="472">
        <f t="shared" si="5"/>
        <v>2900</v>
      </c>
      <c r="L333" s="521">
        <v>666</v>
      </c>
      <c r="M333" s="521">
        <v>666</v>
      </c>
      <c r="N333" s="490">
        <v>0</v>
      </c>
      <c r="O333" s="490">
        <v>0</v>
      </c>
      <c r="P333" s="466">
        <v>28</v>
      </c>
      <c r="Q333" s="468">
        <v>35</v>
      </c>
      <c r="R333" s="466">
        <v>113</v>
      </c>
      <c r="S333" s="468">
        <v>142</v>
      </c>
      <c r="T333" s="466">
        <v>800</v>
      </c>
      <c r="U333" s="468">
        <v>910</v>
      </c>
      <c r="V333" s="468">
        <v>0.9</v>
      </c>
      <c r="W333" s="466">
        <v>875</v>
      </c>
      <c r="X333" s="468">
        <v>960</v>
      </c>
      <c r="Y333" s="466">
        <v>180</v>
      </c>
      <c r="Z333" s="468">
        <v>190</v>
      </c>
      <c r="AA333" s="466">
        <v>0.8</v>
      </c>
      <c r="AB333" s="466">
        <v>0.4</v>
      </c>
      <c r="AC333" s="466">
        <v>1.2</v>
      </c>
      <c r="AD333" s="466">
        <v>0.6</v>
      </c>
      <c r="AE333" s="466">
        <v>0.37</v>
      </c>
      <c r="AF333" s="468">
        <v>0.41</v>
      </c>
      <c r="AG333" s="466">
        <v>0.47</v>
      </c>
      <c r="AH333" s="468">
        <v>0.52</v>
      </c>
      <c r="AI333" s="466">
        <v>0.76</v>
      </c>
      <c r="AJ333" s="466">
        <v>-5</v>
      </c>
      <c r="AK333" s="466">
        <v>5</v>
      </c>
      <c r="AL333" s="490">
        <v>20.5</v>
      </c>
      <c r="AM333" s="703">
        <f>'COOLING-TARGET'!E$64</f>
        <v>15.1086005</v>
      </c>
    </row>
    <row r="334" spans="1:39" ht="25" customHeight="1" outlineLevel="1">
      <c r="A334" s="476" t="s">
        <v>142</v>
      </c>
      <c r="B334" s="466">
        <v>265</v>
      </c>
      <c r="C334" s="466">
        <v>-24</v>
      </c>
      <c r="D334" s="466">
        <v>-26</v>
      </c>
      <c r="E334" s="466">
        <v>30</v>
      </c>
      <c r="F334" s="466">
        <v>23</v>
      </c>
      <c r="G334" s="468">
        <v>34</v>
      </c>
      <c r="H334" s="468">
        <v>26</v>
      </c>
      <c r="I334" s="466">
        <v>4320</v>
      </c>
      <c r="J334" s="466">
        <v>3490</v>
      </c>
      <c r="K334" s="472">
        <f t="shared" si="5"/>
        <v>3820</v>
      </c>
      <c r="L334" s="521">
        <v>666</v>
      </c>
      <c r="M334" s="521">
        <v>666</v>
      </c>
      <c r="N334" s="490">
        <v>0</v>
      </c>
      <c r="O334" s="490">
        <v>0</v>
      </c>
      <c r="P334" s="466">
        <v>25</v>
      </c>
      <c r="Q334" s="468">
        <v>32</v>
      </c>
      <c r="R334" s="466">
        <v>103</v>
      </c>
      <c r="S334" s="468">
        <v>133</v>
      </c>
      <c r="T334" s="466">
        <v>720</v>
      </c>
      <c r="U334" s="468">
        <v>830</v>
      </c>
      <c r="V334" s="468">
        <v>0.8</v>
      </c>
      <c r="W334" s="466">
        <v>850</v>
      </c>
      <c r="X334" s="468">
        <v>930</v>
      </c>
      <c r="Y334" s="466">
        <v>140</v>
      </c>
      <c r="Z334" s="468">
        <v>150</v>
      </c>
      <c r="AA334" s="466">
        <v>2.2999999999999998</v>
      </c>
      <c r="AB334" s="466">
        <v>0.4</v>
      </c>
      <c r="AC334" s="466">
        <v>3.3</v>
      </c>
      <c r="AD334" s="466">
        <v>0.6</v>
      </c>
      <c r="AE334" s="466">
        <v>0.3</v>
      </c>
      <c r="AF334" s="468">
        <v>0.33</v>
      </c>
      <c r="AG334" s="466">
        <v>0.38</v>
      </c>
      <c r="AH334" s="468">
        <v>0.42</v>
      </c>
      <c r="AI334" s="466">
        <v>0.62</v>
      </c>
      <c r="AJ334" s="466">
        <v>-7</v>
      </c>
      <c r="AK334" s="466">
        <v>2.5</v>
      </c>
      <c r="AL334" s="490">
        <v>20.5</v>
      </c>
      <c r="AM334" s="703">
        <f>'COOLING-TARGET'!E$64</f>
        <v>15.1086005</v>
      </c>
    </row>
    <row r="335" spans="1:39" ht="25" customHeight="1" outlineLevel="1">
      <c r="A335" s="476" t="s">
        <v>143</v>
      </c>
      <c r="B335" s="466">
        <v>185</v>
      </c>
      <c r="C335" s="466">
        <v>-19</v>
      </c>
      <c r="D335" s="466">
        <v>-21</v>
      </c>
      <c r="E335" s="466">
        <v>27</v>
      </c>
      <c r="F335" s="466">
        <v>22</v>
      </c>
      <c r="G335" s="468">
        <v>31</v>
      </c>
      <c r="H335" s="468">
        <v>25</v>
      </c>
      <c r="I335" s="466">
        <v>4300</v>
      </c>
      <c r="J335" s="466">
        <v>3470</v>
      </c>
      <c r="K335" s="472">
        <f t="shared" si="5"/>
        <v>3800</v>
      </c>
      <c r="L335" s="521">
        <v>666</v>
      </c>
      <c r="M335" s="521">
        <v>666</v>
      </c>
      <c r="N335" s="490">
        <v>0</v>
      </c>
      <c r="O335" s="490">
        <v>0</v>
      </c>
      <c r="P335" s="466">
        <v>25</v>
      </c>
      <c r="Q335" s="468">
        <v>32</v>
      </c>
      <c r="R335" s="466">
        <v>103</v>
      </c>
      <c r="S335" s="468">
        <v>132</v>
      </c>
      <c r="T335" s="466">
        <v>700</v>
      </c>
      <c r="U335" s="468">
        <v>820</v>
      </c>
      <c r="V335" s="468">
        <v>0.9</v>
      </c>
      <c r="W335" s="466">
        <v>950</v>
      </c>
      <c r="X335" s="468">
        <v>1020</v>
      </c>
      <c r="Y335" s="466">
        <v>180</v>
      </c>
      <c r="Z335" s="468">
        <v>190</v>
      </c>
      <c r="AA335" s="466">
        <v>2.7</v>
      </c>
      <c r="AB335" s="466">
        <v>0.4</v>
      </c>
      <c r="AC335" s="466">
        <v>3.9</v>
      </c>
      <c r="AD335" s="466">
        <v>0.6</v>
      </c>
      <c r="AE335" s="466">
        <v>0.37</v>
      </c>
      <c r="AF335" s="468">
        <v>0.41</v>
      </c>
      <c r="AG335" s="466">
        <v>0.48</v>
      </c>
      <c r="AH335" s="468">
        <v>0.53</v>
      </c>
      <c r="AI335" s="466">
        <v>0.8</v>
      </c>
      <c r="AJ335" s="466">
        <v>-6</v>
      </c>
      <c r="AK335" s="466">
        <v>4.0999999999999996</v>
      </c>
      <c r="AL335" s="490">
        <v>20.5</v>
      </c>
      <c r="AM335" s="703">
        <f>'COOLING-TARGET'!E$64</f>
        <v>15.1086005</v>
      </c>
    </row>
    <row r="336" spans="1:39" ht="25" customHeight="1" outlineLevel="1">
      <c r="A336" s="476" t="s">
        <v>144</v>
      </c>
      <c r="B336" s="466">
        <v>380</v>
      </c>
      <c r="C336" s="466">
        <v>-19</v>
      </c>
      <c r="D336" s="466">
        <v>-21</v>
      </c>
      <c r="E336" s="466">
        <v>29</v>
      </c>
      <c r="F336" s="466">
        <v>23</v>
      </c>
      <c r="G336" s="468">
        <v>33</v>
      </c>
      <c r="H336" s="468">
        <v>26</v>
      </c>
      <c r="I336" s="466">
        <v>4300</v>
      </c>
      <c r="J336" s="466">
        <v>3470</v>
      </c>
      <c r="K336" s="472">
        <f t="shared" si="5"/>
        <v>3800</v>
      </c>
      <c r="L336" s="521">
        <v>666</v>
      </c>
      <c r="M336" s="521">
        <v>666</v>
      </c>
      <c r="N336" s="490">
        <v>0</v>
      </c>
      <c r="O336" s="490">
        <v>0</v>
      </c>
      <c r="P336" s="466">
        <v>28</v>
      </c>
      <c r="Q336" s="468">
        <v>36</v>
      </c>
      <c r="R336" s="466">
        <v>119</v>
      </c>
      <c r="S336" s="468">
        <v>152</v>
      </c>
      <c r="T336" s="466">
        <v>800</v>
      </c>
      <c r="U336" s="468">
        <v>920</v>
      </c>
      <c r="V336" s="468">
        <v>0.9</v>
      </c>
      <c r="W336" s="466">
        <v>1000</v>
      </c>
      <c r="X336" s="468">
        <v>1080</v>
      </c>
      <c r="Y336" s="466">
        <v>160</v>
      </c>
      <c r="Z336" s="468">
        <v>170</v>
      </c>
      <c r="AA336" s="466">
        <v>2.6</v>
      </c>
      <c r="AB336" s="466">
        <v>0.4</v>
      </c>
      <c r="AC336" s="466">
        <v>3.8</v>
      </c>
      <c r="AD336" s="466">
        <v>0.6</v>
      </c>
      <c r="AE336" s="466">
        <v>0.34</v>
      </c>
      <c r="AF336" s="468">
        <v>0.37</v>
      </c>
      <c r="AG336" s="466">
        <v>0.43</v>
      </c>
      <c r="AH336" s="468">
        <v>0.47</v>
      </c>
      <c r="AI336" s="466">
        <v>0.69</v>
      </c>
      <c r="AJ336" s="466">
        <v>-6</v>
      </c>
      <c r="AK336" s="466">
        <v>4.5</v>
      </c>
      <c r="AL336" s="490">
        <v>20.5</v>
      </c>
      <c r="AM336" s="703">
        <f>'COOLING-TARGET'!E$64</f>
        <v>15.1086005</v>
      </c>
    </row>
    <row r="337" spans="1:40" ht="25" customHeight="1" outlineLevel="1">
      <c r="A337" s="476" t="s">
        <v>145</v>
      </c>
      <c r="B337" s="466">
        <v>245</v>
      </c>
      <c r="C337" s="466">
        <v>-18</v>
      </c>
      <c r="D337" s="466">
        <v>-20</v>
      </c>
      <c r="E337" s="466">
        <v>30</v>
      </c>
      <c r="F337" s="466">
        <v>24</v>
      </c>
      <c r="G337" s="468">
        <v>34</v>
      </c>
      <c r="H337" s="468">
        <v>27</v>
      </c>
      <c r="I337" s="466">
        <v>3900</v>
      </c>
      <c r="J337" s="466">
        <v>3110</v>
      </c>
      <c r="K337" s="472">
        <f t="shared" si="5"/>
        <v>3400</v>
      </c>
      <c r="L337" s="484">
        <v>318</v>
      </c>
      <c r="M337" s="484">
        <v>493.3</v>
      </c>
      <c r="N337" s="490">
        <v>0</v>
      </c>
      <c r="O337" s="490">
        <v>0</v>
      </c>
      <c r="P337" s="466">
        <v>28</v>
      </c>
      <c r="Q337" s="468">
        <v>36</v>
      </c>
      <c r="R337" s="466">
        <v>103</v>
      </c>
      <c r="S337" s="468">
        <v>131</v>
      </c>
      <c r="T337" s="466">
        <v>825</v>
      </c>
      <c r="U337" s="468">
        <v>940</v>
      </c>
      <c r="V337" s="468">
        <v>0.9</v>
      </c>
      <c r="W337" s="466">
        <v>975</v>
      </c>
      <c r="X337" s="468">
        <v>1060</v>
      </c>
      <c r="Y337" s="466">
        <v>180</v>
      </c>
      <c r="Z337" s="468">
        <v>200</v>
      </c>
      <c r="AA337" s="466">
        <v>1.9</v>
      </c>
      <c r="AB337" s="466">
        <v>0.4</v>
      </c>
      <c r="AC337" s="466">
        <v>2.8</v>
      </c>
      <c r="AD337" s="466">
        <v>0.6</v>
      </c>
      <c r="AE337" s="466">
        <v>0.37</v>
      </c>
      <c r="AF337" s="468">
        <v>0.41</v>
      </c>
      <c r="AG337" s="466">
        <v>0.47</v>
      </c>
      <c r="AH337" s="468">
        <v>0.52</v>
      </c>
      <c r="AI337" s="466">
        <v>0.76</v>
      </c>
      <c r="AJ337" s="466">
        <v>-6</v>
      </c>
      <c r="AK337" s="466">
        <v>4.4000000000000004</v>
      </c>
      <c r="AL337" s="715">
        <v>19.05</v>
      </c>
      <c r="AM337" s="715">
        <v>13.82</v>
      </c>
      <c r="AN337" s="715">
        <v>57.33</v>
      </c>
    </row>
    <row r="338" spans="1:40" ht="25" customHeight="1" outlineLevel="1">
      <c r="A338" s="476" t="s">
        <v>146</v>
      </c>
      <c r="B338" s="466">
        <v>300</v>
      </c>
      <c r="C338" s="466">
        <v>-17</v>
      </c>
      <c r="D338" s="466">
        <v>-19</v>
      </c>
      <c r="E338" s="466">
        <v>30</v>
      </c>
      <c r="F338" s="466">
        <v>23</v>
      </c>
      <c r="G338" s="468">
        <v>34</v>
      </c>
      <c r="H338" s="468">
        <v>26</v>
      </c>
      <c r="I338" s="466">
        <v>3900</v>
      </c>
      <c r="J338" s="466">
        <v>3110</v>
      </c>
      <c r="K338" s="472">
        <f t="shared" si="5"/>
        <v>3400</v>
      </c>
      <c r="L338" s="521">
        <v>666</v>
      </c>
      <c r="M338" s="521">
        <v>666</v>
      </c>
      <c r="N338" s="490">
        <v>0</v>
      </c>
      <c r="O338" s="490">
        <v>0</v>
      </c>
      <c r="P338" s="466">
        <v>25</v>
      </c>
      <c r="Q338" s="468">
        <v>32</v>
      </c>
      <c r="R338" s="466">
        <v>113</v>
      </c>
      <c r="S338" s="468">
        <v>144</v>
      </c>
      <c r="T338" s="466">
        <v>810</v>
      </c>
      <c r="U338" s="468">
        <v>930</v>
      </c>
      <c r="V338" s="468">
        <v>0.9</v>
      </c>
      <c r="W338" s="466">
        <v>1000</v>
      </c>
      <c r="X338" s="468">
        <v>1090</v>
      </c>
      <c r="Y338" s="466">
        <v>180</v>
      </c>
      <c r="Z338" s="468">
        <v>200</v>
      </c>
      <c r="AA338" s="466">
        <v>2.2999999999999998</v>
      </c>
      <c r="AB338" s="466">
        <v>0.4</v>
      </c>
      <c r="AC338" s="466">
        <v>3.3</v>
      </c>
      <c r="AD338" s="466">
        <v>0.6</v>
      </c>
      <c r="AE338" s="466">
        <v>0.37</v>
      </c>
      <c r="AF338" s="468">
        <v>0.41</v>
      </c>
      <c r="AG338" s="466">
        <v>0.48</v>
      </c>
      <c r="AH338" s="468">
        <v>0.53</v>
      </c>
      <c r="AI338" s="466">
        <v>0.8</v>
      </c>
      <c r="AJ338" s="466">
        <v>-6</v>
      </c>
      <c r="AK338" s="466">
        <v>4.5999999999999996</v>
      </c>
      <c r="AL338" s="490">
        <v>20.5</v>
      </c>
      <c r="AM338" s="703">
        <f>'COOLING-TARGET'!E$64</f>
        <v>15.1086005</v>
      </c>
    </row>
    <row r="339" spans="1:40" ht="25" customHeight="1" outlineLevel="1">
      <c r="A339" s="476" t="s">
        <v>147</v>
      </c>
      <c r="B339" s="466">
        <v>85</v>
      </c>
      <c r="C339" s="466">
        <v>-23</v>
      </c>
      <c r="D339" s="466">
        <v>-25</v>
      </c>
      <c r="E339" s="466">
        <v>29</v>
      </c>
      <c r="F339" s="466">
        <v>23</v>
      </c>
      <c r="G339" s="468">
        <v>33</v>
      </c>
      <c r="H339" s="468">
        <v>26</v>
      </c>
      <c r="I339" s="466">
        <v>4080</v>
      </c>
      <c r="J339" s="466">
        <v>3270</v>
      </c>
      <c r="K339" s="472">
        <f t="shared" si="5"/>
        <v>3580</v>
      </c>
      <c r="L339" s="521">
        <v>666</v>
      </c>
      <c r="M339" s="521">
        <v>666</v>
      </c>
      <c r="N339" s="490">
        <v>0</v>
      </c>
      <c r="O339" s="490">
        <v>0</v>
      </c>
      <c r="P339" s="466">
        <v>25</v>
      </c>
      <c r="Q339" s="468">
        <v>32</v>
      </c>
      <c r="R339" s="466">
        <v>103</v>
      </c>
      <c r="S339" s="468">
        <v>132</v>
      </c>
      <c r="T339" s="466">
        <v>770</v>
      </c>
      <c r="U339" s="468">
        <v>900</v>
      </c>
      <c r="V339" s="468">
        <v>1</v>
      </c>
      <c r="W339" s="466">
        <v>975</v>
      </c>
      <c r="X339" s="468">
        <v>1070</v>
      </c>
      <c r="Y339" s="466">
        <v>180</v>
      </c>
      <c r="AA339" s="466">
        <v>2.2000000000000002</v>
      </c>
      <c r="AB339" s="466">
        <v>0.4</v>
      </c>
      <c r="AC339" s="466">
        <v>3.1</v>
      </c>
      <c r="AD339" s="466">
        <v>0.6</v>
      </c>
      <c r="AE339" s="466">
        <v>0.34</v>
      </c>
      <c r="AF339" s="468">
        <v>0.37</v>
      </c>
      <c r="AG339" s="466">
        <v>0.44</v>
      </c>
      <c r="AH339" s="468">
        <v>0.48</v>
      </c>
      <c r="AI339" s="466">
        <v>0.73</v>
      </c>
      <c r="AJ339" s="466">
        <v>-8</v>
      </c>
      <c r="AK339" s="466">
        <v>3.2</v>
      </c>
      <c r="AL339" s="490">
        <v>20.5</v>
      </c>
      <c r="AM339" s="703">
        <f>'COOLING-TARGET'!E$64</f>
        <v>15.1086005</v>
      </c>
    </row>
    <row r="340" spans="1:40" ht="25" customHeight="1" outlineLevel="1">
      <c r="A340" s="476" t="s">
        <v>148</v>
      </c>
      <c r="B340" s="466">
        <v>425</v>
      </c>
      <c r="C340" s="466">
        <v>-20</v>
      </c>
      <c r="D340" s="466">
        <v>-22</v>
      </c>
      <c r="E340" s="466">
        <v>29</v>
      </c>
      <c r="F340" s="466">
        <v>22</v>
      </c>
      <c r="G340" s="468">
        <v>33</v>
      </c>
      <c r="H340" s="468">
        <v>25</v>
      </c>
      <c r="I340" s="466">
        <v>4500</v>
      </c>
      <c r="J340" s="466">
        <v>3650</v>
      </c>
      <c r="K340" s="472">
        <f t="shared" si="5"/>
        <v>4000</v>
      </c>
      <c r="L340" s="521">
        <v>666</v>
      </c>
      <c r="M340" s="521">
        <v>666</v>
      </c>
      <c r="N340" s="490">
        <v>0</v>
      </c>
      <c r="O340" s="490">
        <v>0</v>
      </c>
      <c r="P340" s="466">
        <v>28</v>
      </c>
      <c r="Q340" s="468">
        <v>36</v>
      </c>
      <c r="R340" s="466">
        <v>103</v>
      </c>
      <c r="S340" s="468">
        <v>132</v>
      </c>
      <c r="T340" s="466">
        <v>820</v>
      </c>
      <c r="U340" s="468">
        <v>960</v>
      </c>
      <c r="V340" s="468">
        <v>0.9</v>
      </c>
      <c r="W340" s="466">
        <v>1050</v>
      </c>
      <c r="X340" s="468">
        <v>1130</v>
      </c>
      <c r="Y340" s="466">
        <v>160</v>
      </c>
      <c r="Z340" s="468">
        <v>170</v>
      </c>
      <c r="AA340" s="466">
        <v>3.2</v>
      </c>
      <c r="AB340" s="466">
        <v>0.4</v>
      </c>
      <c r="AC340" s="466">
        <v>4.5999999999999996</v>
      </c>
      <c r="AD340" s="466">
        <v>0.6</v>
      </c>
      <c r="AE340" s="466">
        <v>0.32</v>
      </c>
      <c r="AF340" s="468">
        <v>0.35</v>
      </c>
      <c r="AG340" s="466">
        <v>0.41</v>
      </c>
      <c r="AH340" s="468">
        <v>0.45</v>
      </c>
      <c r="AI340" s="466">
        <v>0.67</v>
      </c>
      <c r="AJ340" s="466">
        <v>-6</v>
      </c>
      <c r="AK340" s="466">
        <v>3.6</v>
      </c>
      <c r="AL340" s="490">
        <v>20.5</v>
      </c>
      <c r="AM340" s="703">
        <f>'COOLING-TARGET'!E$64</f>
        <v>15.1086005</v>
      </c>
    </row>
    <row r="341" spans="1:40" ht="25" customHeight="1" outlineLevel="1">
      <c r="A341" s="476" t="s">
        <v>149</v>
      </c>
      <c r="B341" s="466">
        <v>175</v>
      </c>
      <c r="C341" s="466">
        <v>-21</v>
      </c>
      <c r="D341" s="466">
        <v>-23</v>
      </c>
      <c r="E341" s="466">
        <v>31</v>
      </c>
      <c r="F341" s="466">
        <v>24</v>
      </c>
      <c r="G341" s="468">
        <v>35</v>
      </c>
      <c r="H341" s="468">
        <v>27</v>
      </c>
      <c r="I341" s="466">
        <v>4000</v>
      </c>
      <c r="J341" s="466">
        <v>3200</v>
      </c>
      <c r="K341" s="472">
        <f t="shared" si="5"/>
        <v>3500</v>
      </c>
      <c r="L341" s="521">
        <v>666</v>
      </c>
      <c r="M341" s="521">
        <v>666</v>
      </c>
      <c r="N341" s="490">
        <v>0</v>
      </c>
      <c r="O341" s="490">
        <v>0</v>
      </c>
      <c r="P341" s="466">
        <v>25</v>
      </c>
      <c r="Q341" s="468">
        <v>32</v>
      </c>
      <c r="R341" s="466">
        <v>86</v>
      </c>
      <c r="S341" s="468">
        <v>110</v>
      </c>
      <c r="T341" s="466">
        <v>720</v>
      </c>
      <c r="U341" s="468">
        <v>830</v>
      </c>
      <c r="V341" s="468">
        <v>0.8</v>
      </c>
      <c r="W341" s="466">
        <v>825</v>
      </c>
      <c r="X341" s="468">
        <v>900</v>
      </c>
      <c r="Y341" s="466">
        <v>140</v>
      </c>
      <c r="Z341" s="468">
        <v>150</v>
      </c>
      <c r="AA341" s="466">
        <v>1.3</v>
      </c>
      <c r="AB341" s="466">
        <v>0.4</v>
      </c>
      <c r="AC341" s="466">
        <v>1.9</v>
      </c>
      <c r="AD341" s="466">
        <v>0.6</v>
      </c>
      <c r="AE341" s="466">
        <v>0.34</v>
      </c>
      <c r="AF341" s="468">
        <v>0.37</v>
      </c>
      <c r="AG341" s="466">
        <v>0.44</v>
      </c>
      <c r="AH341" s="468">
        <v>0.48</v>
      </c>
      <c r="AI341" s="466">
        <v>0.73</v>
      </c>
      <c r="AJ341" s="466">
        <v>-6</v>
      </c>
      <c r="AK341" s="466">
        <v>4.2</v>
      </c>
      <c r="AL341" s="490">
        <v>20.5</v>
      </c>
      <c r="AM341" s="703">
        <f>'COOLING-TARGET'!E$64</f>
        <v>15.1086005</v>
      </c>
    </row>
    <row r="342" spans="1:40" ht="25" customHeight="1" outlineLevel="1">
      <c r="A342" s="476" t="s">
        <v>150</v>
      </c>
      <c r="B342" s="466">
        <v>485</v>
      </c>
      <c r="C342" s="466">
        <v>-35</v>
      </c>
      <c r="D342" s="466">
        <v>-37</v>
      </c>
      <c r="E342" s="466">
        <v>29</v>
      </c>
      <c r="F342" s="466">
        <v>22</v>
      </c>
      <c r="G342" s="468">
        <v>33</v>
      </c>
      <c r="H342" s="468">
        <v>25</v>
      </c>
      <c r="I342" s="466">
        <v>5900</v>
      </c>
      <c r="J342" s="466">
        <v>4950</v>
      </c>
      <c r="K342" s="472">
        <f t="shared" si="5"/>
        <v>5400</v>
      </c>
      <c r="L342" s="521">
        <v>666</v>
      </c>
      <c r="M342" s="521">
        <v>666</v>
      </c>
      <c r="N342" s="490">
        <v>0</v>
      </c>
      <c r="O342" s="490">
        <v>0</v>
      </c>
      <c r="P342" s="466">
        <v>25</v>
      </c>
      <c r="Q342" s="468">
        <v>32</v>
      </c>
      <c r="R342" s="466">
        <v>103</v>
      </c>
      <c r="S342" s="468">
        <v>133</v>
      </c>
      <c r="T342" s="466">
        <v>560</v>
      </c>
      <c r="U342" s="468">
        <v>670</v>
      </c>
      <c r="V342" s="468">
        <v>0.8</v>
      </c>
      <c r="W342" s="466">
        <v>750</v>
      </c>
      <c r="X342" s="468">
        <v>830</v>
      </c>
      <c r="Y342" s="466">
        <v>120</v>
      </c>
      <c r="Z342" s="468">
        <v>130</v>
      </c>
      <c r="AA342" s="466">
        <v>2.6</v>
      </c>
      <c r="AB342" s="466">
        <v>0.3</v>
      </c>
      <c r="AC342" s="466">
        <v>3.7</v>
      </c>
      <c r="AD342" s="466">
        <v>0.4</v>
      </c>
      <c r="AE342" s="466">
        <v>0.22</v>
      </c>
      <c r="AF342" s="468">
        <v>0.24</v>
      </c>
      <c r="AG342" s="466">
        <v>0.3</v>
      </c>
      <c r="AH342" s="468">
        <v>0.33</v>
      </c>
      <c r="AI342" s="466">
        <v>0.52</v>
      </c>
      <c r="AJ342" s="466">
        <v>-11</v>
      </c>
      <c r="AK342" s="466">
        <v>2.8</v>
      </c>
      <c r="AL342" s="490">
        <v>20.5</v>
      </c>
      <c r="AM342" s="703">
        <f>'COOLING-TARGET'!E$64</f>
        <v>15.1086005</v>
      </c>
    </row>
    <row r="343" spans="1:40" ht="25" customHeight="1" outlineLevel="1">
      <c r="A343" s="476" t="s">
        <v>151</v>
      </c>
      <c r="B343" s="466">
        <v>265</v>
      </c>
      <c r="C343" s="466">
        <v>-33</v>
      </c>
      <c r="D343" s="466">
        <v>-36</v>
      </c>
      <c r="E343" s="466">
        <v>29</v>
      </c>
      <c r="F343" s="466">
        <v>21</v>
      </c>
      <c r="G343" s="468">
        <v>33</v>
      </c>
      <c r="H343" s="468">
        <v>24</v>
      </c>
      <c r="I343" s="466">
        <v>6080</v>
      </c>
      <c r="J343" s="466">
        <v>5130</v>
      </c>
      <c r="K343" s="472">
        <f t="shared" si="5"/>
        <v>5580</v>
      </c>
      <c r="L343" s="521">
        <v>666</v>
      </c>
      <c r="M343" s="521">
        <v>666</v>
      </c>
      <c r="N343" s="490">
        <v>0</v>
      </c>
      <c r="O343" s="490">
        <v>0</v>
      </c>
      <c r="P343" s="466">
        <v>20</v>
      </c>
      <c r="Q343" s="468">
        <v>26</v>
      </c>
      <c r="R343" s="466">
        <v>86</v>
      </c>
      <c r="S343" s="468">
        <v>113</v>
      </c>
      <c r="T343" s="466">
        <v>580</v>
      </c>
      <c r="U343" s="468">
        <v>700</v>
      </c>
      <c r="V343" s="468">
        <v>0.8</v>
      </c>
      <c r="W343" s="466">
        <v>825</v>
      </c>
      <c r="X343" s="468">
        <v>920</v>
      </c>
      <c r="Y343" s="466">
        <v>100</v>
      </c>
      <c r="AA343" s="466">
        <v>2.8</v>
      </c>
      <c r="AB343" s="466">
        <v>0.3</v>
      </c>
      <c r="AC343" s="466">
        <v>3.9</v>
      </c>
      <c r="AD343" s="466">
        <v>0.4</v>
      </c>
      <c r="AE343" s="466">
        <v>0.3</v>
      </c>
      <c r="AF343" s="468">
        <v>0.33</v>
      </c>
      <c r="AG343" s="466">
        <v>0.39</v>
      </c>
      <c r="AH343" s="468">
        <v>0.43</v>
      </c>
      <c r="AI343" s="466">
        <v>0.62</v>
      </c>
      <c r="AJ343" s="466">
        <v>-11</v>
      </c>
      <c r="AK343" s="466">
        <v>3.5</v>
      </c>
      <c r="AL343" s="490">
        <v>20.5</v>
      </c>
      <c r="AM343" s="703">
        <f>'COOLING-TARGET'!E$64</f>
        <v>15.1086005</v>
      </c>
    </row>
    <row r="344" spans="1:40" ht="25" customHeight="1" outlineLevel="1">
      <c r="A344" s="476" t="s">
        <v>152</v>
      </c>
      <c r="B344" s="466">
        <v>165</v>
      </c>
      <c r="C344" s="466">
        <v>-29</v>
      </c>
      <c r="D344" s="466">
        <v>-31</v>
      </c>
      <c r="E344" s="466">
        <v>30</v>
      </c>
      <c r="F344" s="466">
        <v>22</v>
      </c>
      <c r="G344" s="468">
        <v>34</v>
      </c>
      <c r="H344" s="468">
        <v>25</v>
      </c>
      <c r="I344" s="466">
        <v>5050</v>
      </c>
      <c r="J344" s="466">
        <v>4130</v>
      </c>
      <c r="K344" s="472">
        <f t="shared" si="5"/>
        <v>4550</v>
      </c>
      <c r="L344" s="521">
        <v>666</v>
      </c>
      <c r="M344" s="521">
        <v>666</v>
      </c>
      <c r="N344" s="490">
        <v>0</v>
      </c>
      <c r="O344" s="490">
        <v>0</v>
      </c>
      <c r="P344" s="466">
        <v>23</v>
      </c>
      <c r="Q344" s="468">
        <v>30</v>
      </c>
      <c r="R344" s="466">
        <v>86</v>
      </c>
      <c r="S344" s="468">
        <v>111</v>
      </c>
      <c r="T344" s="466">
        <v>700</v>
      </c>
      <c r="U344" s="468">
        <v>830</v>
      </c>
      <c r="V344" s="468">
        <v>0.9</v>
      </c>
      <c r="W344" s="466">
        <v>875</v>
      </c>
      <c r="X344" s="468">
        <v>960</v>
      </c>
      <c r="Y344" s="466">
        <v>100</v>
      </c>
      <c r="Z344" s="468">
        <v>110</v>
      </c>
      <c r="AA344" s="466">
        <v>2.1</v>
      </c>
      <c r="AB344" s="466">
        <v>0.4</v>
      </c>
      <c r="AC344" s="466">
        <v>2.9</v>
      </c>
      <c r="AD344" s="466">
        <v>0.6</v>
      </c>
      <c r="AE344" s="466">
        <v>0.25</v>
      </c>
      <c r="AF344" s="468">
        <v>0.28000000000000003</v>
      </c>
      <c r="AG344" s="466">
        <v>0.32</v>
      </c>
      <c r="AH344" s="468">
        <v>0.35</v>
      </c>
      <c r="AI344" s="466">
        <v>0.52</v>
      </c>
      <c r="AJ344" s="466">
        <v>-9</v>
      </c>
      <c r="AK344" s="466">
        <v>3.2</v>
      </c>
      <c r="AL344" s="490">
        <v>20.5</v>
      </c>
      <c r="AM344" s="703">
        <f>'COOLING-TARGET'!E$64</f>
        <v>15.1086005</v>
      </c>
    </row>
    <row r="345" spans="1:40" ht="25" customHeight="1" outlineLevel="1">
      <c r="A345" s="476" t="s">
        <v>153</v>
      </c>
      <c r="B345" s="466">
        <v>190</v>
      </c>
      <c r="C345" s="466">
        <v>-24</v>
      </c>
      <c r="D345" s="466">
        <v>-26</v>
      </c>
      <c r="E345" s="466">
        <v>29</v>
      </c>
      <c r="F345" s="466">
        <v>23</v>
      </c>
      <c r="G345" s="468">
        <v>33</v>
      </c>
      <c r="H345" s="468">
        <v>26</v>
      </c>
      <c r="I345" s="466">
        <v>4200</v>
      </c>
      <c r="J345" s="466">
        <v>3380</v>
      </c>
      <c r="K345" s="472">
        <f t="shared" si="5"/>
        <v>3700</v>
      </c>
      <c r="L345" s="484">
        <v>337.1</v>
      </c>
      <c r="M345" s="484">
        <v>379.9</v>
      </c>
      <c r="N345" s="490">
        <v>0</v>
      </c>
      <c r="O345" s="490">
        <v>0</v>
      </c>
      <c r="P345" s="466">
        <v>25</v>
      </c>
      <c r="Q345" s="468">
        <v>32</v>
      </c>
      <c r="R345" s="466">
        <v>97</v>
      </c>
      <c r="S345" s="468">
        <v>124</v>
      </c>
      <c r="T345" s="466">
        <v>740</v>
      </c>
      <c r="U345" s="468">
        <v>860</v>
      </c>
      <c r="V345" s="468">
        <v>0.9</v>
      </c>
      <c r="W345" s="466">
        <v>1060</v>
      </c>
      <c r="X345" s="468">
        <v>1140</v>
      </c>
      <c r="Y345" s="466">
        <v>160</v>
      </c>
      <c r="Z345" s="468">
        <v>170</v>
      </c>
      <c r="AA345" s="466">
        <v>2.7</v>
      </c>
      <c r="AB345" s="466">
        <v>0.4</v>
      </c>
      <c r="AC345" s="466">
        <v>3.9</v>
      </c>
      <c r="AD345" s="466">
        <v>0.6</v>
      </c>
      <c r="AE345" s="466">
        <v>0.3</v>
      </c>
      <c r="AF345" s="468">
        <v>0.33</v>
      </c>
      <c r="AG345" s="466">
        <v>0.39</v>
      </c>
      <c r="AH345" s="468">
        <v>0.43</v>
      </c>
      <c r="AI345" s="466">
        <v>0.65</v>
      </c>
      <c r="AJ345" s="466">
        <v>-6</v>
      </c>
      <c r="AK345" s="466">
        <v>3.7</v>
      </c>
      <c r="AL345" s="490">
        <v>20.5</v>
      </c>
      <c r="AM345" s="703">
        <f>'COOLING-TARGET'!E$64</f>
        <v>15.1086005</v>
      </c>
    </row>
    <row r="346" spans="1:40" ht="25" customHeight="1" outlineLevel="1">
      <c r="A346" s="476" t="s">
        <v>154</v>
      </c>
      <c r="B346" s="466">
        <v>200</v>
      </c>
      <c r="C346" s="466">
        <v>-18</v>
      </c>
      <c r="D346" s="466">
        <v>-20</v>
      </c>
      <c r="E346" s="466">
        <v>30</v>
      </c>
      <c r="F346" s="466">
        <v>23</v>
      </c>
      <c r="G346" s="902">
        <v>34.799999999999997</v>
      </c>
      <c r="H346" s="468">
        <v>26</v>
      </c>
      <c r="I346" s="466">
        <v>3920</v>
      </c>
      <c r="J346" s="466">
        <v>3120</v>
      </c>
      <c r="K346" s="472">
        <f t="shared" si="5"/>
        <v>3420</v>
      </c>
      <c r="L346" s="484">
        <v>410</v>
      </c>
      <c r="M346" s="484">
        <v>410</v>
      </c>
      <c r="N346" s="490">
        <v>0</v>
      </c>
      <c r="O346" s="490">
        <v>0</v>
      </c>
      <c r="P346" s="466">
        <v>25</v>
      </c>
      <c r="Q346" s="468">
        <v>32</v>
      </c>
      <c r="R346" s="466">
        <v>125</v>
      </c>
      <c r="S346" s="468">
        <v>160</v>
      </c>
      <c r="T346" s="466">
        <v>750</v>
      </c>
      <c r="U346" s="468">
        <v>870</v>
      </c>
      <c r="V346" s="468">
        <v>0.9</v>
      </c>
      <c r="W346" s="466">
        <v>850</v>
      </c>
      <c r="X346" s="468">
        <v>930</v>
      </c>
      <c r="Y346" s="466">
        <v>160</v>
      </c>
      <c r="Z346" s="468">
        <v>170</v>
      </c>
      <c r="AA346" s="466">
        <v>1.3</v>
      </c>
      <c r="AB346" s="466">
        <v>0.4</v>
      </c>
      <c r="AC346" s="466">
        <v>1.9</v>
      </c>
      <c r="AD346" s="466">
        <v>0.6</v>
      </c>
      <c r="AE346" s="466">
        <v>0.34</v>
      </c>
      <c r="AF346" s="468">
        <v>0.37</v>
      </c>
      <c r="AG346" s="466">
        <v>0.43</v>
      </c>
      <c r="AH346" s="468">
        <v>0.47</v>
      </c>
      <c r="AI346" s="466">
        <v>0.69</v>
      </c>
      <c r="AJ346" s="466">
        <v>-6</v>
      </c>
      <c r="AK346" s="466">
        <v>4.5</v>
      </c>
      <c r="AL346" s="490">
        <v>20.5</v>
      </c>
      <c r="AM346" s="703">
        <f>'COOLING-TARGET'!E$64</f>
        <v>15.1086005</v>
      </c>
    </row>
    <row r="347" spans="1:40" ht="25" customHeight="1" outlineLevel="1">
      <c r="A347" s="476" t="s">
        <v>155</v>
      </c>
      <c r="B347" s="466">
        <v>370</v>
      </c>
      <c r="C347" s="466">
        <v>-19</v>
      </c>
      <c r="D347" s="466">
        <v>-21</v>
      </c>
      <c r="E347" s="466">
        <v>29</v>
      </c>
      <c r="F347" s="466">
        <v>23</v>
      </c>
      <c r="G347" s="468">
        <v>33</v>
      </c>
      <c r="H347" s="468">
        <v>26</v>
      </c>
      <c r="I347" s="466">
        <v>4200</v>
      </c>
      <c r="J347" s="466">
        <v>3380</v>
      </c>
      <c r="K347" s="472">
        <f t="shared" si="5"/>
        <v>3700</v>
      </c>
      <c r="L347" s="521">
        <v>666</v>
      </c>
      <c r="M347" s="521">
        <v>666</v>
      </c>
      <c r="N347" s="490">
        <v>0</v>
      </c>
      <c r="O347" s="490">
        <v>0</v>
      </c>
      <c r="P347" s="466">
        <v>28</v>
      </c>
      <c r="Q347" s="468">
        <v>36</v>
      </c>
      <c r="R347" s="466">
        <v>108</v>
      </c>
      <c r="S347" s="468">
        <v>138</v>
      </c>
      <c r="T347" s="466">
        <v>800</v>
      </c>
      <c r="U347" s="468">
        <v>920</v>
      </c>
      <c r="V347" s="468">
        <v>0.9</v>
      </c>
      <c r="W347" s="466">
        <v>1050</v>
      </c>
      <c r="X347" s="468">
        <v>1140</v>
      </c>
      <c r="Y347" s="466">
        <v>160</v>
      </c>
      <c r="Z347" s="468">
        <v>170</v>
      </c>
      <c r="AA347" s="466">
        <v>2.4</v>
      </c>
      <c r="AB347" s="466">
        <v>0.4</v>
      </c>
      <c r="AC347" s="466">
        <v>3.5</v>
      </c>
      <c r="AD347" s="466">
        <v>0.6</v>
      </c>
      <c r="AE347" s="466">
        <v>0.34</v>
      </c>
      <c r="AF347" s="468">
        <v>0.37</v>
      </c>
      <c r="AG347" s="466">
        <v>0.43</v>
      </c>
      <c r="AH347" s="468">
        <v>0.47</v>
      </c>
      <c r="AI347" s="466">
        <v>0.69</v>
      </c>
      <c r="AJ347" s="466">
        <v>-6</v>
      </c>
      <c r="AK347" s="466">
        <v>4.5999999999999996</v>
      </c>
      <c r="AL347" s="490">
        <v>20.5</v>
      </c>
      <c r="AM347" s="703">
        <f>'COOLING-TARGET'!E$64</f>
        <v>15.1086005</v>
      </c>
    </row>
    <row r="348" spans="1:40" ht="25" customHeight="1" outlineLevel="1">
      <c r="A348" s="476" t="s">
        <v>276</v>
      </c>
      <c r="B348" s="466">
        <v>270</v>
      </c>
      <c r="C348" s="466">
        <v>-27</v>
      </c>
      <c r="D348" s="466">
        <v>-29</v>
      </c>
      <c r="E348" s="466">
        <v>29</v>
      </c>
      <c r="F348" s="466">
        <v>23</v>
      </c>
      <c r="G348" s="468">
        <v>33</v>
      </c>
      <c r="H348" s="468">
        <v>26</v>
      </c>
      <c r="I348" s="466">
        <v>4640</v>
      </c>
      <c r="J348" s="466">
        <v>3780</v>
      </c>
      <c r="K348" s="472">
        <f t="shared" si="5"/>
        <v>4140</v>
      </c>
      <c r="L348" s="484">
        <v>220.5</v>
      </c>
      <c r="M348" s="521">
        <v>666</v>
      </c>
      <c r="N348" s="490">
        <v>0</v>
      </c>
      <c r="O348" s="490">
        <v>0</v>
      </c>
      <c r="P348" s="466">
        <v>25</v>
      </c>
      <c r="Q348" s="468">
        <v>32</v>
      </c>
      <c r="R348" s="466">
        <v>97</v>
      </c>
      <c r="S348" s="468">
        <v>124</v>
      </c>
      <c r="T348" s="466">
        <v>780</v>
      </c>
      <c r="U348" s="468">
        <v>900</v>
      </c>
      <c r="V348" s="468">
        <v>0.9</v>
      </c>
      <c r="W348" s="466">
        <v>1010</v>
      </c>
      <c r="X348" s="468">
        <v>1090</v>
      </c>
      <c r="Y348" s="466">
        <v>100</v>
      </c>
      <c r="Z348" s="468">
        <v>110</v>
      </c>
      <c r="AA348" s="466">
        <v>2.7</v>
      </c>
      <c r="AB348" s="466">
        <v>0.4</v>
      </c>
      <c r="AC348" s="466">
        <v>3.7</v>
      </c>
      <c r="AD348" s="466">
        <v>0.6</v>
      </c>
      <c r="AE348" s="466">
        <v>0.27</v>
      </c>
      <c r="AF348" s="468">
        <v>0.3</v>
      </c>
      <c r="AG348" s="466">
        <v>0.35</v>
      </c>
      <c r="AH348" s="468">
        <v>0.39</v>
      </c>
      <c r="AI348" s="466">
        <v>0.57999999999999996</v>
      </c>
      <c r="AJ348" s="466">
        <v>-8</v>
      </c>
      <c r="AK348" s="466">
        <v>2</v>
      </c>
      <c r="AL348" s="490">
        <v>20.5</v>
      </c>
      <c r="AM348" s="703">
        <f>'COOLING-TARGET'!E$64</f>
        <v>15.1086005</v>
      </c>
    </row>
    <row r="349" spans="1:40" ht="25" customHeight="1" outlineLevel="1">
      <c r="A349" s="476" t="s">
        <v>156</v>
      </c>
      <c r="B349" s="466">
        <v>160</v>
      </c>
      <c r="C349" s="466">
        <v>-18</v>
      </c>
      <c r="D349" s="466">
        <v>-20</v>
      </c>
      <c r="E349" s="466">
        <v>30</v>
      </c>
      <c r="F349" s="466">
        <v>23</v>
      </c>
      <c r="G349" s="468">
        <v>34</v>
      </c>
      <c r="H349" s="468">
        <v>26</v>
      </c>
      <c r="I349" s="466">
        <v>3880</v>
      </c>
      <c r="J349" s="466">
        <v>3090</v>
      </c>
      <c r="K349" s="472">
        <f t="shared" si="5"/>
        <v>3380</v>
      </c>
      <c r="L349" s="484">
        <v>427.3</v>
      </c>
      <c r="M349" s="521">
        <v>666</v>
      </c>
      <c r="N349" s="490">
        <v>0</v>
      </c>
      <c r="O349" s="490">
        <v>0</v>
      </c>
      <c r="P349" s="466">
        <v>25</v>
      </c>
      <c r="Q349" s="468">
        <v>32</v>
      </c>
      <c r="R349" s="466">
        <v>113</v>
      </c>
      <c r="S349" s="468">
        <v>145</v>
      </c>
      <c r="T349" s="466">
        <v>720</v>
      </c>
      <c r="U349" s="468">
        <v>830</v>
      </c>
      <c r="V349" s="468">
        <v>0.9</v>
      </c>
      <c r="W349" s="466">
        <v>800</v>
      </c>
      <c r="X349" s="468">
        <v>880</v>
      </c>
      <c r="Y349" s="466">
        <v>160</v>
      </c>
      <c r="Z349" s="468">
        <v>170</v>
      </c>
      <c r="AA349" s="466">
        <v>1.1000000000000001</v>
      </c>
      <c r="AB349" s="466">
        <v>0.4</v>
      </c>
      <c r="AC349" s="466">
        <v>1.6</v>
      </c>
      <c r="AD349" s="466">
        <v>0.6</v>
      </c>
      <c r="AE349" s="466">
        <v>0.34</v>
      </c>
      <c r="AF349" s="468">
        <v>0.37</v>
      </c>
      <c r="AG349" s="466">
        <v>0.44</v>
      </c>
      <c r="AH349" s="468">
        <v>0.48</v>
      </c>
      <c r="AI349" s="466">
        <v>0.73</v>
      </c>
      <c r="AJ349" s="466">
        <v>-5</v>
      </c>
      <c r="AK349" s="466">
        <v>5.2</v>
      </c>
      <c r="AL349" s="490">
        <v>20.5</v>
      </c>
      <c r="AM349" s="703">
        <f>'COOLING-TARGET'!E$64</f>
        <v>15.1086005</v>
      </c>
    </row>
    <row r="350" spans="1:40" ht="25" customHeight="1" outlineLevel="1">
      <c r="A350" s="476" t="s">
        <v>157</v>
      </c>
      <c r="B350" s="466">
        <v>170</v>
      </c>
      <c r="C350" s="466">
        <v>-20</v>
      </c>
      <c r="D350" s="466">
        <v>-22</v>
      </c>
      <c r="E350" s="466">
        <v>31</v>
      </c>
      <c r="F350" s="466">
        <v>24</v>
      </c>
      <c r="G350" s="468">
        <v>35</v>
      </c>
      <c r="H350" s="468">
        <v>27</v>
      </c>
      <c r="I350" s="466">
        <v>3890</v>
      </c>
      <c r="J350" s="466" t="s">
        <v>1150</v>
      </c>
      <c r="K350" s="472">
        <f t="shared" si="5"/>
        <v>3390</v>
      </c>
      <c r="L350" s="484">
        <v>427.3</v>
      </c>
      <c r="M350" s="521">
        <v>666</v>
      </c>
      <c r="N350" s="490">
        <v>0</v>
      </c>
      <c r="O350" s="490">
        <v>0</v>
      </c>
      <c r="P350" s="466">
        <v>26</v>
      </c>
      <c r="Q350" s="468">
        <v>33</v>
      </c>
      <c r="R350" s="466">
        <v>108</v>
      </c>
      <c r="S350" s="468">
        <v>138</v>
      </c>
      <c r="T350" s="466">
        <v>685</v>
      </c>
      <c r="U350" s="468">
        <v>790</v>
      </c>
      <c r="V350" s="468">
        <v>0.8</v>
      </c>
      <c r="W350" s="466">
        <v>790</v>
      </c>
      <c r="X350" s="468">
        <v>870</v>
      </c>
      <c r="Y350" s="466">
        <v>160</v>
      </c>
      <c r="Z350" s="468">
        <v>170</v>
      </c>
      <c r="AA350" s="466">
        <v>1.1000000000000001</v>
      </c>
      <c r="AB350" s="466">
        <v>0.4</v>
      </c>
      <c r="AC350" s="466">
        <v>1.6</v>
      </c>
      <c r="AD350" s="466">
        <v>0.6</v>
      </c>
      <c r="AE350" s="466">
        <v>0.34</v>
      </c>
      <c r="AF350" s="468">
        <v>0.37</v>
      </c>
      <c r="AG350" s="466">
        <v>0.44</v>
      </c>
      <c r="AH350" s="468">
        <v>0.48</v>
      </c>
      <c r="AI350" s="466">
        <v>0.73</v>
      </c>
      <c r="AJ350" s="466">
        <v>-6</v>
      </c>
      <c r="AK350" s="466">
        <v>5.2</v>
      </c>
      <c r="AL350" s="490">
        <v>20.5</v>
      </c>
      <c r="AM350" s="703">
        <f>'COOLING-TARGET'!E$64</f>
        <v>15.1086005</v>
      </c>
    </row>
    <row r="351" spans="1:40" ht="25" customHeight="1" outlineLevel="1">
      <c r="A351" s="476" t="s">
        <v>1151</v>
      </c>
      <c r="B351" s="466">
        <v>75</v>
      </c>
      <c r="C351" s="466">
        <v>-18</v>
      </c>
      <c r="D351" s="466">
        <v>-20</v>
      </c>
      <c r="E351" s="466">
        <v>29</v>
      </c>
      <c r="F351" s="466">
        <v>23</v>
      </c>
      <c r="G351" s="468">
        <v>33</v>
      </c>
      <c r="H351" s="468">
        <v>26</v>
      </c>
      <c r="I351" s="466">
        <v>3780</v>
      </c>
      <c r="J351" s="466">
        <v>3000</v>
      </c>
      <c r="K351" s="472">
        <f t="shared" si="5"/>
        <v>3280</v>
      </c>
      <c r="L351" s="484">
        <v>427.3</v>
      </c>
      <c r="M351" s="521">
        <v>666</v>
      </c>
      <c r="N351" s="490">
        <v>0</v>
      </c>
      <c r="O351" s="490">
        <v>0</v>
      </c>
      <c r="P351" s="466">
        <v>25</v>
      </c>
      <c r="Q351" s="468">
        <v>32</v>
      </c>
      <c r="R351" s="466">
        <v>108</v>
      </c>
      <c r="S351" s="468">
        <v>138</v>
      </c>
      <c r="T351" s="466">
        <v>720</v>
      </c>
      <c r="U351" s="468">
        <v>830</v>
      </c>
      <c r="V351" s="468">
        <v>0.9</v>
      </c>
      <c r="W351" s="466">
        <v>800</v>
      </c>
      <c r="X351" s="468">
        <v>880</v>
      </c>
      <c r="Y351" s="466">
        <v>160</v>
      </c>
      <c r="Z351" s="468">
        <v>170</v>
      </c>
      <c r="AA351" s="466">
        <v>0.9</v>
      </c>
      <c r="AB351" s="466">
        <v>0.4</v>
      </c>
      <c r="AC351" s="466">
        <v>1.3</v>
      </c>
      <c r="AD351" s="466">
        <v>0.6</v>
      </c>
      <c r="AE351" s="466">
        <v>0.37</v>
      </c>
      <c r="AF351" s="468">
        <v>0.41</v>
      </c>
      <c r="AG351" s="466">
        <v>0.48</v>
      </c>
      <c r="AH351" s="468">
        <v>0.53</v>
      </c>
      <c r="AI351" s="466">
        <v>0.8</v>
      </c>
      <c r="AJ351" s="466">
        <v>-6</v>
      </c>
      <c r="AK351" s="466">
        <v>5.2</v>
      </c>
      <c r="AL351" s="490">
        <v>20.5</v>
      </c>
      <c r="AM351" s="703">
        <f>'COOLING-TARGET'!E$64</f>
        <v>15.1086005</v>
      </c>
    </row>
    <row r="352" spans="1:40" ht="25" customHeight="1" outlineLevel="1">
      <c r="A352" s="476" t="s">
        <v>158</v>
      </c>
      <c r="B352" s="466">
        <v>335</v>
      </c>
      <c r="C352" s="466">
        <v>-18</v>
      </c>
      <c r="D352" s="466">
        <v>-20</v>
      </c>
      <c r="E352" s="466">
        <v>29</v>
      </c>
      <c r="F352" s="466">
        <v>23</v>
      </c>
      <c r="G352" s="468">
        <v>33</v>
      </c>
      <c r="H352" s="468">
        <v>26</v>
      </c>
      <c r="I352" s="466">
        <v>4100</v>
      </c>
      <c r="J352" s="466">
        <v>3290</v>
      </c>
      <c r="K352" s="472">
        <f t="shared" si="5"/>
        <v>3600</v>
      </c>
      <c r="L352" s="521">
        <v>666</v>
      </c>
      <c r="M352" s="521">
        <v>666</v>
      </c>
      <c r="N352" s="490">
        <v>0</v>
      </c>
      <c r="O352" s="490">
        <v>0</v>
      </c>
      <c r="P352" s="466">
        <v>28</v>
      </c>
      <c r="Q352" s="468">
        <v>36</v>
      </c>
      <c r="R352" s="466">
        <v>113</v>
      </c>
      <c r="S352" s="468">
        <v>144</v>
      </c>
      <c r="T352" s="466">
        <v>810</v>
      </c>
      <c r="U352" s="468">
        <v>930</v>
      </c>
      <c r="V352" s="468">
        <v>0.9</v>
      </c>
      <c r="W352" s="466">
        <v>1050</v>
      </c>
      <c r="X352" s="468">
        <v>1140</v>
      </c>
      <c r="Y352" s="466">
        <v>160</v>
      </c>
      <c r="Z352" s="468">
        <v>170</v>
      </c>
      <c r="AA352" s="466">
        <v>2.4</v>
      </c>
      <c r="AB352" s="466">
        <v>0.4</v>
      </c>
      <c r="AC352" s="466">
        <v>3.5</v>
      </c>
      <c r="AD352" s="466">
        <v>0.6</v>
      </c>
      <c r="AE352" s="466">
        <v>0.35</v>
      </c>
      <c r="AF352" s="468">
        <v>0.39</v>
      </c>
      <c r="AG352" s="466">
        <v>0.45</v>
      </c>
      <c r="AH352" s="468">
        <v>0.5</v>
      </c>
      <c r="AI352" s="466">
        <v>0.74</v>
      </c>
      <c r="AJ352" s="466">
        <v>-6</v>
      </c>
      <c r="AK352" s="466">
        <v>4.5</v>
      </c>
      <c r="AL352" s="490">
        <v>20.5</v>
      </c>
      <c r="AM352" s="703">
        <f>'COOLING-TARGET'!E$64</f>
        <v>15.1086005</v>
      </c>
    </row>
    <row r="353" spans="1:39" ht="25" customHeight="1" outlineLevel="1">
      <c r="A353" s="476" t="s">
        <v>159</v>
      </c>
      <c r="B353" s="466">
        <v>10</v>
      </c>
      <c r="C353" s="466">
        <v>-36</v>
      </c>
      <c r="D353" s="466">
        <v>-38</v>
      </c>
      <c r="E353" s="466">
        <v>28</v>
      </c>
      <c r="F353" s="466">
        <v>22</v>
      </c>
      <c r="G353" s="468">
        <v>32</v>
      </c>
      <c r="H353" s="468">
        <v>25</v>
      </c>
      <c r="I353" s="466">
        <v>6800</v>
      </c>
      <c r="J353" s="466">
        <v>5820</v>
      </c>
      <c r="K353" s="472">
        <f t="shared" si="5"/>
        <v>6300</v>
      </c>
      <c r="L353" s="521">
        <v>666</v>
      </c>
      <c r="M353" s="521">
        <v>666</v>
      </c>
      <c r="N353" s="490">
        <v>0</v>
      </c>
      <c r="O353" s="490">
        <v>0</v>
      </c>
      <c r="P353" s="466">
        <v>18</v>
      </c>
      <c r="Q353" s="468">
        <v>25</v>
      </c>
      <c r="R353" s="466">
        <v>81</v>
      </c>
      <c r="S353" s="468">
        <v>111</v>
      </c>
      <c r="T353" s="466">
        <v>500</v>
      </c>
      <c r="U353" s="468">
        <v>630</v>
      </c>
      <c r="V353" s="468">
        <v>0.8</v>
      </c>
      <c r="W353" s="466">
        <v>700</v>
      </c>
      <c r="X353" s="468">
        <v>790</v>
      </c>
      <c r="Y353" s="466">
        <v>160</v>
      </c>
      <c r="Z353" s="468">
        <v>170</v>
      </c>
      <c r="AA353" s="466">
        <v>2.7</v>
      </c>
      <c r="AB353" s="466">
        <v>0.3</v>
      </c>
      <c r="AC353" s="466">
        <v>3.8</v>
      </c>
      <c r="AD353" s="466">
        <v>0.4</v>
      </c>
      <c r="AE353" s="466">
        <v>0.26</v>
      </c>
      <c r="AF353" s="468">
        <v>0.28999999999999998</v>
      </c>
      <c r="AG353" s="466">
        <v>0.35</v>
      </c>
      <c r="AH353" s="468">
        <v>0.39</v>
      </c>
      <c r="AI353" s="466">
        <v>0.57999999999999996</v>
      </c>
      <c r="AJ353" s="466">
        <v>-12</v>
      </c>
      <c r="AK353" s="466">
        <v>4</v>
      </c>
      <c r="AL353" s="490">
        <v>20.5</v>
      </c>
      <c r="AM353" s="703">
        <f>'COOLING-TARGET'!E$64</f>
        <v>15.1086005</v>
      </c>
    </row>
    <row r="354" spans="1:39" ht="25" customHeight="1" outlineLevel="1">
      <c r="A354" s="476" t="s">
        <v>160</v>
      </c>
      <c r="B354" s="466">
        <v>75</v>
      </c>
      <c r="C354" s="466">
        <v>-23</v>
      </c>
      <c r="D354" s="466">
        <v>-25</v>
      </c>
      <c r="E354" s="466">
        <v>30</v>
      </c>
      <c r="F354" s="466">
        <v>23</v>
      </c>
      <c r="G354" s="468">
        <v>34</v>
      </c>
      <c r="H354" s="468">
        <v>26</v>
      </c>
      <c r="I354" s="466">
        <v>4370</v>
      </c>
      <c r="J354" s="466">
        <v>3530</v>
      </c>
      <c r="K354" s="472">
        <f t="shared" si="5"/>
        <v>3870</v>
      </c>
      <c r="L354" s="521">
        <v>666</v>
      </c>
      <c r="M354" s="521">
        <v>666</v>
      </c>
      <c r="N354" s="490">
        <v>0</v>
      </c>
      <c r="O354" s="490">
        <v>0</v>
      </c>
      <c r="P354" s="466">
        <v>25</v>
      </c>
      <c r="Q354" s="468">
        <v>32</v>
      </c>
      <c r="R354" s="466">
        <v>103</v>
      </c>
      <c r="S354" s="468">
        <v>132</v>
      </c>
      <c r="T354" s="466">
        <v>800</v>
      </c>
      <c r="U354" s="468">
        <v>940</v>
      </c>
      <c r="V354" s="468">
        <v>1</v>
      </c>
      <c r="W354" s="466">
        <v>950</v>
      </c>
      <c r="X354" s="468">
        <v>1050</v>
      </c>
      <c r="Y354" s="466">
        <v>180</v>
      </c>
      <c r="AA354" s="466">
        <v>2.2999999999999998</v>
      </c>
      <c r="AB354" s="466">
        <v>0.4</v>
      </c>
      <c r="AC354" s="466">
        <v>3.2</v>
      </c>
      <c r="AD354" s="466">
        <v>0.6</v>
      </c>
      <c r="AE354" s="466">
        <v>0.32</v>
      </c>
      <c r="AF354" s="468">
        <v>0.35</v>
      </c>
      <c r="AG354" s="466">
        <v>0.41</v>
      </c>
      <c r="AH354" s="468">
        <v>0.45</v>
      </c>
      <c r="AI354" s="466">
        <v>0.67</v>
      </c>
      <c r="AJ354" s="466">
        <v>-8</v>
      </c>
      <c r="AK354" s="466">
        <v>3.5</v>
      </c>
      <c r="AL354" s="490">
        <v>20.5</v>
      </c>
      <c r="AM354" s="703">
        <f>'COOLING-TARGET'!E$64</f>
        <v>15.1086005</v>
      </c>
    </row>
    <row r="355" spans="1:39" ht="25" customHeight="1" outlineLevel="1">
      <c r="A355" s="476" t="s">
        <v>161</v>
      </c>
      <c r="B355" s="466">
        <v>420</v>
      </c>
      <c r="C355" s="466">
        <v>-21</v>
      </c>
      <c r="D355" s="466">
        <v>-24</v>
      </c>
      <c r="E355" s="466">
        <v>28</v>
      </c>
      <c r="F355" s="466">
        <v>22</v>
      </c>
      <c r="G355" s="468">
        <v>32</v>
      </c>
      <c r="H355" s="468">
        <v>25</v>
      </c>
      <c r="I355" s="466">
        <v>4700</v>
      </c>
      <c r="J355" s="466">
        <v>3830</v>
      </c>
      <c r="K355" s="472">
        <f t="shared" si="5"/>
        <v>4200</v>
      </c>
      <c r="L355" s="521">
        <v>666</v>
      </c>
      <c r="M355" s="521">
        <v>666</v>
      </c>
      <c r="N355" s="490">
        <v>0</v>
      </c>
      <c r="O355" s="490">
        <v>0</v>
      </c>
      <c r="P355" s="466">
        <v>28</v>
      </c>
      <c r="Q355" s="468">
        <v>36</v>
      </c>
      <c r="R355" s="466">
        <v>103</v>
      </c>
      <c r="S355" s="468">
        <v>132</v>
      </c>
      <c r="T355" s="466">
        <v>740</v>
      </c>
      <c r="U355" s="468">
        <v>860</v>
      </c>
      <c r="V355" s="468">
        <v>0.9</v>
      </c>
      <c r="W355" s="466">
        <v>940</v>
      </c>
      <c r="X355" s="468">
        <v>1020</v>
      </c>
      <c r="Y355" s="466">
        <v>140</v>
      </c>
      <c r="Z355" s="468">
        <v>150</v>
      </c>
      <c r="AA355" s="466">
        <v>2.7</v>
      </c>
      <c r="AB355" s="466">
        <v>0.4</v>
      </c>
      <c r="AC355" s="466">
        <v>3.9</v>
      </c>
      <c r="AD355" s="466">
        <v>0.6</v>
      </c>
      <c r="AE355" s="466">
        <v>0.32</v>
      </c>
      <c r="AF355" s="468">
        <v>0.35</v>
      </c>
      <c r="AG355" s="466">
        <v>0.41</v>
      </c>
      <c r="AH355" s="468">
        <v>0.45</v>
      </c>
      <c r="AI355" s="466">
        <v>0.67</v>
      </c>
      <c r="AJ355" s="466">
        <v>-7</v>
      </c>
      <c r="AK355" s="466">
        <v>3.3</v>
      </c>
      <c r="AL355" s="490">
        <v>20.5</v>
      </c>
      <c r="AM355" s="703">
        <f>'COOLING-TARGET'!E$64</f>
        <v>15.1086005</v>
      </c>
    </row>
    <row r="356" spans="1:39" ht="25" customHeight="1" outlineLevel="1">
      <c r="A356" s="476" t="s">
        <v>162</v>
      </c>
      <c r="B356" s="466">
        <v>325</v>
      </c>
      <c r="C356" s="466">
        <v>-36</v>
      </c>
      <c r="D356" s="466">
        <v>-38</v>
      </c>
      <c r="E356" s="466">
        <v>28</v>
      </c>
      <c r="F356" s="466">
        <v>21</v>
      </c>
      <c r="G356" s="468">
        <v>32</v>
      </c>
      <c r="H356" s="468">
        <v>24</v>
      </c>
      <c r="I356" s="466">
        <v>6500</v>
      </c>
      <c r="J356" s="466">
        <v>5530</v>
      </c>
      <c r="K356" s="472">
        <f t="shared" si="5"/>
        <v>6000</v>
      </c>
      <c r="L356" s="521">
        <v>666</v>
      </c>
      <c r="M356" s="521">
        <v>666</v>
      </c>
      <c r="N356" s="490">
        <v>0</v>
      </c>
      <c r="O356" s="490">
        <v>0</v>
      </c>
      <c r="P356" s="466">
        <v>20</v>
      </c>
      <c r="Q356" s="468">
        <v>26</v>
      </c>
      <c r="R356" s="466">
        <v>86</v>
      </c>
      <c r="S356" s="468">
        <v>113</v>
      </c>
      <c r="T356" s="466">
        <v>540</v>
      </c>
      <c r="U356" s="468">
        <v>660</v>
      </c>
      <c r="V356" s="468">
        <v>0.8</v>
      </c>
      <c r="W356" s="466">
        <v>750</v>
      </c>
      <c r="X356" s="468">
        <v>850</v>
      </c>
      <c r="Y356" s="466">
        <v>100</v>
      </c>
      <c r="Z356" s="468">
        <v>110</v>
      </c>
      <c r="AA356" s="466">
        <v>2.8</v>
      </c>
      <c r="AB356" s="466">
        <v>0.4</v>
      </c>
      <c r="AC356" s="466">
        <v>3.8</v>
      </c>
      <c r="AD356" s="466">
        <v>0.5</v>
      </c>
      <c r="AE356" s="466">
        <v>0.22</v>
      </c>
      <c r="AF356" s="468">
        <v>0.24</v>
      </c>
      <c r="AG356" s="466">
        <v>0.3</v>
      </c>
      <c r="AH356" s="468">
        <v>0.33</v>
      </c>
      <c r="AI356" s="466">
        <v>0.52</v>
      </c>
      <c r="AJ356" s="466">
        <v>-12</v>
      </c>
      <c r="AK356" s="466">
        <v>2.7</v>
      </c>
      <c r="AL356" s="490">
        <v>20.5</v>
      </c>
      <c r="AM356" s="703">
        <f>'COOLING-TARGET'!E$64</f>
        <v>15.1086005</v>
      </c>
    </row>
    <row r="357" spans="1:39" ht="25" customHeight="1" outlineLevel="1">
      <c r="A357" s="476" t="s">
        <v>163</v>
      </c>
      <c r="B357" s="466">
        <v>205</v>
      </c>
      <c r="C357" s="466">
        <v>-17</v>
      </c>
      <c r="D357" s="466">
        <v>-18</v>
      </c>
      <c r="E357" s="466">
        <v>30</v>
      </c>
      <c r="F357" s="466">
        <v>23</v>
      </c>
      <c r="G357" s="468">
        <v>34</v>
      </c>
      <c r="H357" s="468">
        <v>26</v>
      </c>
      <c r="I357" s="466">
        <v>3700</v>
      </c>
      <c r="J357" s="466">
        <v>2920</v>
      </c>
      <c r="K357" s="472">
        <f t="shared" si="5"/>
        <v>3200</v>
      </c>
      <c r="L357" s="521">
        <v>666</v>
      </c>
      <c r="M357" s="521">
        <v>666</v>
      </c>
      <c r="N357" s="490">
        <v>0</v>
      </c>
      <c r="O357" s="490">
        <v>0</v>
      </c>
      <c r="P357" s="466">
        <v>28</v>
      </c>
      <c r="Q357" s="468">
        <v>36</v>
      </c>
      <c r="R357" s="466">
        <v>108</v>
      </c>
      <c r="S357" s="468">
        <v>137</v>
      </c>
      <c r="T357" s="466">
        <v>840</v>
      </c>
      <c r="U357" s="468">
        <v>970</v>
      </c>
      <c r="V357" s="468">
        <v>1</v>
      </c>
      <c r="W357" s="466">
        <v>900</v>
      </c>
      <c r="X357" s="468">
        <v>980</v>
      </c>
      <c r="Y357" s="466">
        <v>160</v>
      </c>
      <c r="Z357" s="468">
        <v>170</v>
      </c>
      <c r="AA357" s="466">
        <v>1.4</v>
      </c>
      <c r="AB357" s="466">
        <v>0.4</v>
      </c>
      <c r="AC357" s="466">
        <v>2.1</v>
      </c>
      <c r="AD357" s="466">
        <v>0.6</v>
      </c>
      <c r="AE357" s="466">
        <v>0.37</v>
      </c>
      <c r="AF357" s="468">
        <v>0.41</v>
      </c>
      <c r="AG357" s="466">
        <v>0.48</v>
      </c>
      <c r="AH357" s="468">
        <v>0.53</v>
      </c>
      <c r="AI357" s="466">
        <v>0.8</v>
      </c>
      <c r="AJ357" s="466">
        <v>-6</v>
      </c>
      <c r="AK357" s="466">
        <v>4.5</v>
      </c>
      <c r="AL357" s="490">
        <v>20.5</v>
      </c>
      <c r="AM357" s="703">
        <f>'COOLING-TARGET'!E$64</f>
        <v>15.1086005</v>
      </c>
    </row>
    <row r="358" spans="1:39" ht="25" customHeight="1" outlineLevel="1">
      <c r="A358" s="476" t="s">
        <v>164</v>
      </c>
      <c r="B358" s="466">
        <v>180</v>
      </c>
      <c r="C358" s="466">
        <v>-15</v>
      </c>
      <c r="D358" s="466">
        <v>-17</v>
      </c>
      <c r="E358" s="466">
        <v>30</v>
      </c>
      <c r="F358" s="466">
        <v>24</v>
      </c>
      <c r="G358" s="468">
        <v>34</v>
      </c>
      <c r="H358" s="468">
        <v>27</v>
      </c>
      <c r="I358" s="466">
        <v>3600</v>
      </c>
      <c r="J358" s="466">
        <v>2830</v>
      </c>
      <c r="K358" s="472">
        <f t="shared" si="5"/>
        <v>3100</v>
      </c>
      <c r="L358" s="521">
        <v>666</v>
      </c>
      <c r="M358" s="521">
        <v>666</v>
      </c>
      <c r="N358" s="490">
        <v>0</v>
      </c>
      <c r="O358" s="490">
        <v>0</v>
      </c>
      <c r="P358" s="466">
        <v>25</v>
      </c>
      <c r="Q358" s="468">
        <v>32</v>
      </c>
      <c r="R358" s="466">
        <v>108</v>
      </c>
      <c r="S358" s="468">
        <v>137</v>
      </c>
      <c r="T358" s="466">
        <v>860</v>
      </c>
      <c r="U358" s="468">
        <v>990</v>
      </c>
      <c r="V358" s="468">
        <v>1</v>
      </c>
      <c r="W358" s="466">
        <v>950</v>
      </c>
      <c r="X358" s="468">
        <v>1030</v>
      </c>
      <c r="Y358" s="466">
        <v>140</v>
      </c>
      <c r="Z358" s="468">
        <v>150</v>
      </c>
      <c r="AA358" s="466">
        <v>1.2</v>
      </c>
      <c r="AB358" s="466">
        <v>0.4</v>
      </c>
      <c r="AC358" s="466">
        <v>1.8</v>
      </c>
      <c r="AD358" s="466">
        <v>0.6</v>
      </c>
      <c r="AE358" s="466">
        <v>0.37</v>
      </c>
      <c r="AF358" s="468">
        <v>0.41</v>
      </c>
      <c r="AG358" s="466">
        <v>0.48</v>
      </c>
      <c r="AH358" s="468">
        <v>0.53</v>
      </c>
      <c r="AI358" s="466">
        <v>0.8</v>
      </c>
      <c r="AJ358" s="466">
        <v>-5</v>
      </c>
      <c r="AK358" s="466">
        <v>5</v>
      </c>
      <c r="AL358" s="490">
        <v>20.5</v>
      </c>
      <c r="AM358" s="703">
        <f>'COOLING-TARGET'!E$64</f>
        <v>15.1086005</v>
      </c>
    </row>
    <row r="359" spans="1:39" ht="25" customHeight="1" outlineLevel="1">
      <c r="A359" s="476" t="s">
        <v>165</v>
      </c>
      <c r="B359" s="466">
        <v>90</v>
      </c>
      <c r="C359" s="466">
        <v>-22</v>
      </c>
      <c r="D359" s="466">
        <v>-24</v>
      </c>
      <c r="E359" s="466">
        <v>29</v>
      </c>
      <c r="F359" s="466">
        <v>23</v>
      </c>
      <c r="G359" s="468">
        <v>33</v>
      </c>
      <c r="H359" s="468">
        <v>26</v>
      </c>
      <c r="I359" s="466">
        <v>4140</v>
      </c>
      <c r="J359" s="466">
        <v>3320</v>
      </c>
      <c r="K359" s="472">
        <f t="shared" si="5"/>
        <v>3640</v>
      </c>
      <c r="L359" s="521">
        <v>666</v>
      </c>
      <c r="M359" s="521">
        <v>666</v>
      </c>
      <c r="N359" s="490">
        <v>0</v>
      </c>
      <c r="O359" s="490">
        <v>0</v>
      </c>
      <c r="P359" s="466">
        <v>23</v>
      </c>
      <c r="Q359" s="468">
        <v>29</v>
      </c>
      <c r="R359" s="466">
        <v>92</v>
      </c>
      <c r="S359" s="468">
        <v>118</v>
      </c>
      <c r="T359" s="466">
        <v>770</v>
      </c>
      <c r="U359" s="468">
        <v>880</v>
      </c>
      <c r="V359" s="468">
        <v>0.9</v>
      </c>
      <c r="W359" s="466">
        <v>900</v>
      </c>
      <c r="X359" s="468">
        <v>970</v>
      </c>
      <c r="Y359" s="466">
        <v>160</v>
      </c>
      <c r="Z359" s="468">
        <v>170</v>
      </c>
      <c r="AA359" s="466">
        <v>1.9</v>
      </c>
      <c r="AB359" s="466">
        <v>0.4</v>
      </c>
      <c r="AC359" s="466">
        <v>2.8</v>
      </c>
      <c r="AD359" s="466">
        <v>0.6</v>
      </c>
      <c r="AE359" s="466">
        <v>0.34</v>
      </c>
      <c r="AF359" s="468">
        <v>0.37</v>
      </c>
      <c r="AG359" s="466">
        <v>0.43</v>
      </c>
      <c r="AH359" s="468">
        <v>0.47</v>
      </c>
      <c r="AI359" s="466">
        <v>0.69</v>
      </c>
      <c r="AJ359" s="466">
        <v>-7</v>
      </c>
      <c r="AK359" s="466">
        <v>4</v>
      </c>
      <c r="AL359" s="490">
        <v>20.5</v>
      </c>
      <c r="AM359" s="703">
        <f>'COOLING-TARGET'!E$64</f>
        <v>15.1086005</v>
      </c>
    </row>
    <row r="360" spans="1:39" ht="25" customHeight="1" outlineLevel="1">
      <c r="A360" s="476" t="s">
        <v>167</v>
      </c>
      <c r="B360" s="466">
        <v>115</v>
      </c>
      <c r="C360" s="466">
        <v>-20</v>
      </c>
      <c r="D360" s="466">
        <v>-22</v>
      </c>
      <c r="E360" s="466">
        <v>30</v>
      </c>
      <c r="F360" s="466">
        <v>23</v>
      </c>
      <c r="G360" s="468">
        <v>34</v>
      </c>
      <c r="H360" s="468">
        <v>26</v>
      </c>
      <c r="I360" s="466">
        <v>3990</v>
      </c>
      <c r="J360" s="466">
        <v>3190</v>
      </c>
      <c r="K360" s="472">
        <f t="shared" si="5"/>
        <v>3490</v>
      </c>
      <c r="L360" s="521">
        <v>666</v>
      </c>
      <c r="M360" s="521">
        <v>666</v>
      </c>
      <c r="N360" s="490">
        <v>0</v>
      </c>
      <c r="O360" s="490">
        <v>0</v>
      </c>
      <c r="P360" s="466">
        <v>23</v>
      </c>
      <c r="Q360" s="468">
        <v>30</v>
      </c>
      <c r="R360" s="466">
        <v>86</v>
      </c>
      <c r="S360" s="468">
        <v>111</v>
      </c>
      <c r="T360" s="466">
        <v>760</v>
      </c>
      <c r="U360" s="468">
        <v>880</v>
      </c>
      <c r="V360" s="468">
        <v>0.9</v>
      </c>
      <c r="W360" s="466">
        <v>830</v>
      </c>
      <c r="X360" s="468">
        <v>900</v>
      </c>
      <c r="Y360" s="466">
        <v>160</v>
      </c>
      <c r="Z360" s="468">
        <v>170</v>
      </c>
      <c r="AA360" s="466">
        <v>1.5</v>
      </c>
      <c r="AB360" s="466">
        <v>0.4</v>
      </c>
      <c r="AC360" s="466">
        <v>2.2000000000000002</v>
      </c>
      <c r="AD360" s="466">
        <v>0.6</v>
      </c>
      <c r="AE360" s="466">
        <v>0.37</v>
      </c>
      <c r="AF360" s="468">
        <v>0.41</v>
      </c>
      <c r="AG360" s="466">
        <v>0.48</v>
      </c>
      <c r="AH360" s="468">
        <v>0.53</v>
      </c>
      <c r="AI360" s="466">
        <v>0.8</v>
      </c>
      <c r="AJ360" s="466">
        <v>-6</v>
      </c>
      <c r="AK360" s="466">
        <v>4</v>
      </c>
      <c r="AL360" s="490">
        <v>20.5</v>
      </c>
      <c r="AM360" s="703">
        <f>'COOLING-TARGET'!E$64</f>
        <v>15.1086005</v>
      </c>
    </row>
    <row r="361" spans="1:39" ht="25" customHeight="1" outlineLevel="1">
      <c r="A361" s="476" t="s">
        <v>168</v>
      </c>
      <c r="B361" s="466">
        <v>95</v>
      </c>
      <c r="C361" s="466">
        <v>-20</v>
      </c>
      <c r="D361" s="466">
        <v>-22</v>
      </c>
      <c r="E361" s="466">
        <v>30</v>
      </c>
      <c r="F361" s="466">
        <v>23</v>
      </c>
      <c r="G361" s="468">
        <v>34</v>
      </c>
      <c r="H361" s="468">
        <v>26</v>
      </c>
      <c r="I361" s="466">
        <v>4000</v>
      </c>
      <c r="J361" s="466" t="s">
        <v>1150</v>
      </c>
      <c r="K361" s="472">
        <f t="shared" si="5"/>
        <v>3500</v>
      </c>
      <c r="L361" s="521">
        <v>666</v>
      </c>
      <c r="M361" s="521">
        <v>666</v>
      </c>
      <c r="N361" s="490">
        <v>0</v>
      </c>
      <c r="O361" s="490">
        <v>0</v>
      </c>
      <c r="P361" s="466">
        <v>23</v>
      </c>
      <c r="Q361" s="468">
        <v>30</v>
      </c>
      <c r="R361" s="466">
        <v>86</v>
      </c>
      <c r="S361" s="468">
        <v>110</v>
      </c>
      <c r="T361" s="466">
        <v>760</v>
      </c>
      <c r="U361" s="468">
        <v>880</v>
      </c>
      <c r="V361" s="468">
        <v>0.9</v>
      </c>
      <c r="W361" s="466">
        <v>830</v>
      </c>
      <c r="X361" s="468">
        <v>910</v>
      </c>
      <c r="Y361" s="466">
        <v>160</v>
      </c>
      <c r="Z361" s="468">
        <v>170</v>
      </c>
      <c r="AA361" s="466">
        <v>1.4</v>
      </c>
      <c r="AB361" s="466">
        <v>0.4</v>
      </c>
      <c r="AC361" s="466">
        <v>2</v>
      </c>
      <c r="AD361" s="466">
        <v>0.6</v>
      </c>
      <c r="AE361" s="466">
        <v>0.37</v>
      </c>
      <c r="AF361" s="468">
        <v>0.41</v>
      </c>
      <c r="AG361" s="466">
        <v>0.48</v>
      </c>
      <c r="AH361" s="468">
        <v>0.53</v>
      </c>
      <c r="AI361" s="466">
        <v>0.8</v>
      </c>
      <c r="AJ361" s="466">
        <v>-6</v>
      </c>
      <c r="AK361" s="466">
        <v>4</v>
      </c>
      <c r="AL361" s="490">
        <v>20.5</v>
      </c>
      <c r="AM361" s="703">
        <f>'COOLING-TARGET'!E$64</f>
        <v>15.1086005</v>
      </c>
    </row>
    <row r="362" spans="1:39" ht="25" customHeight="1" outlineLevel="1">
      <c r="A362" s="476" t="s">
        <v>166</v>
      </c>
      <c r="B362" s="466">
        <v>180</v>
      </c>
      <c r="C362" s="466">
        <v>-32</v>
      </c>
      <c r="D362" s="466">
        <v>-35</v>
      </c>
      <c r="E362" s="466">
        <v>30</v>
      </c>
      <c r="F362" s="466">
        <v>22</v>
      </c>
      <c r="G362" s="468">
        <v>34</v>
      </c>
      <c r="H362" s="468">
        <v>25</v>
      </c>
      <c r="I362" s="466">
        <v>5570</v>
      </c>
      <c r="J362" s="466">
        <v>4630</v>
      </c>
      <c r="K362" s="472">
        <f t="shared" si="5"/>
        <v>5070</v>
      </c>
      <c r="L362" s="521">
        <v>666</v>
      </c>
      <c r="M362" s="521">
        <v>666</v>
      </c>
      <c r="N362" s="490">
        <v>0</v>
      </c>
      <c r="O362" s="490">
        <v>0</v>
      </c>
      <c r="P362" s="466">
        <v>23</v>
      </c>
      <c r="Q362" s="468">
        <v>30</v>
      </c>
      <c r="R362" s="466">
        <v>92</v>
      </c>
      <c r="S362" s="468">
        <v>120</v>
      </c>
      <c r="T362" s="466">
        <v>570</v>
      </c>
      <c r="U362" s="468">
        <v>680</v>
      </c>
      <c r="V362" s="468">
        <v>0.8</v>
      </c>
      <c r="W362" s="466">
        <v>810</v>
      </c>
      <c r="X362" s="468">
        <v>900</v>
      </c>
      <c r="Y362" s="466">
        <v>100</v>
      </c>
      <c r="Z362" s="468">
        <v>110</v>
      </c>
      <c r="AA362" s="466">
        <v>2.6</v>
      </c>
      <c r="AB362" s="466">
        <v>0.4</v>
      </c>
      <c r="AC362" s="466">
        <v>3.6</v>
      </c>
      <c r="AD362" s="466">
        <v>0.6</v>
      </c>
      <c r="AE362" s="466">
        <v>0.34</v>
      </c>
      <c r="AF362" s="468">
        <v>0.37</v>
      </c>
      <c r="AG362" s="466">
        <v>0.43</v>
      </c>
      <c r="AH362" s="468">
        <v>0.47</v>
      </c>
      <c r="AI362" s="466">
        <v>0.69</v>
      </c>
      <c r="AJ362" s="466">
        <v>-11</v>
      </c>
      <c r="AK362" s="466">
        <v>4.2</v>
      </c>
      <c r="AL362" s="490">
        <v>20.5</v>
      </c>
      <c r="AM362" s="703">
        <f>'COOLING-TARGET'!E$64</f>
        <v>15.1086005</v>
      </c>
    </row>
    <row r="363" spans="1:39" ht="25" customHeight="1" outlineLevel="1">
      <c r="A363" s="476" t="s">
        <v>169</v>
      </c>
      <c r="B363" s="466">
        <v>185</v>
      </c>
      <c r="C363" s="466">
        <v>-22</v>
      </c>
      <c r="D363" s="466">
        <v>-24</v>
      </c>
      <c r="E363" s="466">
        <v>30</v>
      </c>
      <c r="F363" s="466">
        <v>23</v>
      </c>
      <c r="G363" s="468">
        <v>34</v>
      </c>
      <c r="H363" s="468">
        <v>26</v>
      </c>
      <c r="I363" s="466">
        <v>4260</v>
      </c>
      <c r="J363" s="466">
        <v>3430</v>
      </c>
      <c r="K363" s="472">
        <f t="shared" si="5"/>
        <v>3760</v>
      </c>
      <c r="L363" s="521">
        <v>666</v>
      </c>
      <c r="M363" s="521">
        <v>666</v>
      </c>
      <c r="N363" s="490">
        <v>0</v>
      </c>
      <c r="O363" s="490">
        <v>0</v>
      </c>
      <c r="P363" s="466">
        <v>28</v>
      </c>
      <c r="Q363" s="468">
        <v>36</v>
      </c>
      <c r="R363" s="466">
        <v>108</v>
      </c>
      <c r="S363" s="468">
        <v>139</v>
      </c>
      <c r="T363" s="466">
        <v>700</v>
      </c>
      <c r="U363" s="468">
        <v>810</v>
      </c>
      <c r="V363" s="468">
        <v>0.8</v>
      </c>
      <c r="W363" s="466">
        <v>800</v>
      </c>
      <c r="X363" s="468">
        <v>880</v>
      </c>
      <c r="Y363" s="466">
        <v>140</v>
      </c>
      <c r="Z363" s="468">
        <v>150</v>
      </c>
      <c r="AA363" s="466">
        <v>2</v>
      </c>
      <c r="AB363" s="466">
        <v>0.4</v>
      </c>
      <c r="AC363" s="466">
        <v>2.9</v>
      </c>
      <c r="AD363" s="466">
        <v>0.6</v>
      </c>
      <c r="AE363" s="466">
        <v>0.3</v>
      </c>
      <c r="AF363" s="468">
        <v>0.33</v>
      </c>
      <c r="AG363" s="466">
        <v>0.38</v>
      </c>
      <c r="AH363" s="468">
        <v>0.42</v>
      </c>
      <c r="AI363" s="466">
        <v>0.62</v>
      </c>
      <c r="AJ363" s="466">
        <v>-7</v>
      </c>
      <c r="AK363" s="466">
        <v>3.5</v>
      </c>
      <c r="AL363" s="490">
        <v>20.5</v>
      </c>
      <c r="AM363" s="703">
        <f>'COOLING-TARGET'!E$64</f>
        <v>15.1086005</v>
      </c>
    </row>
    <row r="364" spans="1:39" ht="25" customHeight="1" outlineLevel="1">
      <c r="A364" s="476" t="s">
        <v>170</v>
      </c>
      <c r="B364" s="466">
        <v>210</v>
      </c>
      <c r="C364" s="466">
        <v>-16</v>
      </c>
      <c r="D364" s="466">
        <v>-18</v>
      </c>
      <c r="E364" s="466">
        <v>30</v>
      </c>
      <c r="F364" s="466">
        <v>23</v>
      </c>
      <c r="G364" s="468">
        <v>34</v>
      </c>
      <c r="H364" s="468">
        <v>26</v>
      </c>
      <c r="I364" s="466">
        <v>3600</v>
      </c>
      <c r="J364" s="466">
        <v>2830</v>
      </c>
      <c r="K364" s="472">
        <f t="shared" si="5"/>
        <v>3100</v>
      </c>
      <c r="L364" s="521">
        <v>666</v>
      </c>
      <c r="M364" s="521">
        <v>666</v>
      </c>
      <c r="N364" s="490">
        <v>0</v>
      </c>
      <c r="O364" s="490">
        <v>0</v>
      </c>
      <c r="P364" s="466">
        <v>23</v>
      </c>
      <c r="Q364" s="468">
        <v>29</v>
      </c>
      <c r="R364" s="466">
        <v>96</v>
      </c>
      <c r="S364" s="468">
        <v>122</v>
      </c>
      <c r="T364" s="466">
        <v>810</v>
      </c>
      <c r="U364" s="468">
        <v>940</v>
      </c>
      <c r="V364" s="468">
        <v>0.9</v>
      </c>
      <c r="W364" s="466">
        <v>950</v>
      </c>
      <c r="X364" s="468">
        <v>1040</v>
      </c>
      <c r="Y364" s="466">
        <v>160</v>
      </c>
      <c r="Z364" s="468">
        <v>170</v>
      </c>
      <c r="AA364" s="466">
        <v>1.8</v>
      </c>
      <c r="AB364" s="466">
        <v>0.4</v>
      </c>
      <c r="AC364" s="466">
        <v>2.7</v>
      </c>
      <c r="AD364" s="466">
        <v>0.6</v>
      </c>
      <c r="AE364" s="466">
        <v>0.34</v>
      </c>
      <c r="AF364" s="468">
        <v>0.37</v>
      </c>
      <c r="AG364" s="466">
        <v>0.43</v>
      </c>
      <c r="AH364" s="468">
        <v>0.47</v>
      </c>
      <c r="AI364" s="466">
        <v>0.69</v>
      </c>
      <c r="AJ364" s="466">
        <v>-5</v>
      </c>
      <c r="AK364" s="466">
        <v>4</v>
      </c>
      <c r="AL364" s="490">
        <v>20.5</v>
      </c>
      <c r="AM364" s="703">
        <f>'COOLING-TARGET'!E$64</f>
        <v>15.1086005</v>
      </c>
    </row>
    <row r="365" spans="1:39" ht="25" customHeight="1" outlineLevel="1">
      <c r="A365" s="476" t="s">
        <v>171</v>
      </c>
      <c r="B365" s="466">
        <v>210</v>
      </c>
      <c r="C365" s="466">
        <v>-28</v>
      </c>
      <c r="D365" s="466">
        <v>-30</v>
      </c>
      <c r="E365" s="466">
        <v>28</v>
      </c>
      <c r="F365" s="466">
        <v>22</v>
      </c>
      <c r="G365" s="468">
        <v>32</v>
      </c>
      <c r="H365" s="468">
        <v>25</v>
      </c>
      <c r="I365" s="466">
        <v>5150</v>
      </c>
      <c r="J365" s="466">
        <v>4230</v>
      </c>
      <c r="K365" s="472">
        <f t="shared" si="5"/>
        <v>4650</v>
      </c>
      <c r="L365" s="521">
        <v>666</v>
      </c>
      <c r="M365" s="521">
        <v>666</v>
      </c>
      <c r="N365" s="490">
        <v>0</v>
      </c>
      <c r="O365" s="490">
        <v>0</v>
      </c>
      <c r="P365" s="466">
        <v>25</v>
      </c>
      <c r="Q365" s="468">
        <v>32</v>
      </c>
      <c r="R365" s="466">
        <v>95</v>
      </c>
      <c r="S365" s="468">
        <v>123</v>
      </c>
      <c r="T365" s="466">
        <v>775</v>
      </c>
      <c r="U365" s="468">
        <v>920</v>
      </c>
      <c r="V365" s="468">
        <v>0.9</v>
      </c>
      <c r="W365" s="466">
        <v>975</v>
      </c>
      <c r="X365" s="468">
        <v>1060</v>
      </c>
      <c r="Y365" s="466">
        <v>120</v>
      </c>
      <c r="AA365" s="466">
        <v>2.2000000000000002</v>
      </c>
      <c r="AB365" s="466">
        <v>0.4</v>
      </c>
      <c r="AC365" s="466">
        <v>3</v>
      </c>
      <c r="AD365" s="466">
        <v>0.6</v>
      </c>
      <c r="AE365" s="466">
        <v>0.27</v>
      </c>
      <c r="AF365" s="468">
        <v>0.3</v>
      </c>
      <c r="AG365" s="466">
        <v>0.34</v>
      </c>
      <c r="AH365" s="468">
        <v>0.37</v>
      </c>
      <c r="AI365" s="466">
        <v>0.54</v>
      </c>
      <c r="AJ365" s="466">
        <v>-9</v>
      </c>
      <c r="AK365" s="466">
        <v>4.4000000000000004</v>
      </c>
      <c r="AL365" s="490">
        <v>20.5</v>
      </c>
      <c r="AM365" s="703">
        <f>'COOLING-TARGET'!E$64</f>
        <v>15.1086005</v>
      </c>
    </row>
    <row r="366" spans="1:39" ht="25" customHeight="1" outlineLevel="1">
      <c r="A366" s="476" t="s">
        <v>172</v>
      </c>
      <c r="B366" s="466">
        <v>225</v>
      </c>
      <c r="C366" s="466">
        <v>-24</v>
      </c>
      <c r="D366" s="466">
        <v>-26</v>
      </c>
      <c r="E366" s="466">
        <v>30</v>
      </c>
      <c r="F366" s="466">
        <v>23</v>
      </c>
      <c r="G366" s="468">
        <v>34</v>
      </c>
      <c r="H366" s="468">
        <v>26</v>
      </c>
      <c r="I366" s="466">
        <v>4320</v>
      </c>
      <c r="J366" s="466">
        <v>3490</v>
      </c>
      <c r="K366" s="472">
        <f t="shared" si="5"/>
        <v>3820</v>
      </c>
      <c r="L366" s="521">
        <v>666</v>
      </c>
      <c r="M366" s="521">
        <v>666</v>
      </c>
      <c r="N366" s="490">
        <v>0</v>
      </c>
      <c r="O366" s="490">
        <v>0</v>
      </c>
      <c r="P366" s="466">
        <v>25</v>
      </c>
      <c r="Q366" s="468">
        <v>32</v>
      </c>
      <c r="R366" s="466">
        <v>92</v>
      </c>
      <c r="S366" s="468">
        <v>118</v>
      </c>
      <c r="T366" s="466">
        <v>720</v>
      </c>
      <c r="U366" s="468">
        <v>830</v>
      </c>
      <c r="V366" s="468">
        <v>0.8</v>
      </c>
      <c r="W366" s="466">
        <v>850</v>
      </c>
      <c r="X366" s="468">
        <v>930</v>
      </c>
      <c r="Y366" s="466">
        <v>120</v>
      </c>
      <c r="Z366" s="468">
        <v>130</v>
      </c>
      <c r="AA366" s="466">
        <v>2.1</v>
      </c>
      <c r="AB366" s="466">
        <v>0.4</v>
      </c>
      <c r="AC366" s="466">
        <v>3</v>
      </c>
      <c r="AD366" s="466">
        <v>0.6</v>
      </c>
      <c r="AE366" s="466">
        <v>0.32</v>
      </c>
      <c r="AF366" s="468">
        <v>0.35</v>
      </c>
      <c r="AG366" s="466">
        <v>0.41</v>
      </c>
      <c r="AH366" s="468">
        <v>0.45</v>
      </c>
      <c r="AI366" s="466">
        <v>0.67</v>
      </c>
      <c r="AJ366" s="466">
        <v>-7</v>
      </c>
      <c r="AK366" s="466">
        <v>2</v>
      </c>
      <c r="AL366" s="490">
        <v>20.5</v>
      </c>
      <c r="AM366" s="703">
        <f>'COOLING-TARGET'!E$64</f>
        <v>15.1086005</v>
      </c>
    </row>
    <row r="367" spans="1:39" ht="25" customHeight="1" outlineLevel="1">
      <c r="A367" s="476" t="s">
        <v>173</v>
      </c>
      <c r="B367" s="466">
        <v>90</v>
      </c>
      <c r="C367" s="466">
        <v>-18</v>
      </c>
      <c r="D367" s="466">
        <v>-20</v>
      </c>
      <c r="E367" s="466">
        <v>30</v>
      </c>
      <c r="F367" s="466">
        <v>23</v>
      </c>
      <c r="G367" s="468">
        <v>34</v>
      </c>
      <c r="H367" s="468">
        <v>26</v>
      </c>
      <c r="I367" s="466">
        <v>3760</v>
      </c>
      <c r="J367" s="466">
        <v>2980</v>
      </c>
      <c r="K367" s="472">
        <f t="shared" si="5"/>
        <v>3260</v>
      </c>
      <c r="L367" s="521">
        <v>666</v>
      </c>
      <c r="M367" s="521">
        <v>666</v>
      </c>
      <c r="N367" s="490">
        <v>0</v>
      </c>
      <c r="O367" s="490">
        <v>0</v>
      </c>
      <c r="P367" s="466">
        <v>23</v>
      </c>
      <c r="Q367" s="468">
        <v>29</v>
      </c>
      <c r="R367" s="466">
        <v>97</v>
      </c>
      <c r="S367" s="468">
        <v>124</v>
      </c>
      <c r="T367" s="466">
        <v>750</v>
      </c>
      <c r="U367" s="468">
        <v>870</v>
      </c>
      <c r="V367" s="468">
        <v>0.9</v>
      </c>
      <c r="W367" s="466">
        <v>850</v>
      </c>
      <c r="X367" s="468">
        <v>930</v>
      </c>
      <c r="Y367" s="466">
        <v>160</v>
      </c>
      <c r="Z367" s="468">
        <v>170</v>
      </c>
      <c r="AA367" s="466">
        <v>1.1000000000000001</v>
      </c>
      <c r="AB367" s="466">
        <v>0.4</v>
      </c>
      <c r="AC367" s="466">
        <v>1.6</v>
      </c>
      <c r="AD367" s="466">
        <v>0.6</v>
      </c>
      <c r="AE367" s="466">
        <v>0.37</v>
      </c>
      <c r="AF367" s="468">
        <v>0.41</v>
      </c>
      <c r="AG367" s="466">
        <v>0.47</v>
      </c>
      <c r="AH367" s="468">
        <v>0.52</v>
      </c>
      <c r="AI367" s="466">
        <v>0.76</v>
      </c>
      <c r="AJ367" s="466">
        <v>-5</v>
      </c>
      <c r="AK367" s="466">
        <v>5.2</v>
      </c>
      <c r="AL367" s="490">
        <v>20.5</v>
      </c>
      <c r="AM367" s="703">
        <f>'COOLING-TARGET'!E$64</f>
        <v>15.1086005</v>
      </c>
    </row>
    <row r="368" spans="1:39" ht="25" customHeight="1" outlineLevel="1">
      <c r="A368" s="476" t="s">
        <v>174</v>
      </c>
      <c r="B368" s="466">
        <v>430</v>
      </c>
      <c r="C368" s="466">
        <v>-21</v>
      </c>
      <c r="D368" s="466">
        <v>-23</v>
      </c>
      <c r="E368" s="466">
        <v>29</v>
      </c>
      <c r="F368" s="466">
        <v>23</v>
      </c>
      <c r="G368" s="468">
        <v>33</v>
      </c>
      <c r="H368" s="468">
        <v>26</v>
      </c>
      <c r="I368" s="466">
        <v>4450</v>
      </c>
      <c r="J368" s="466">
        <v>3610</v>
      </c>
      <c r="K368" s="472">
        <f t="shared" si="5"/>
        <v>3950</v>
      </c>
      <c r="L368" s="521">
        <v>666</v>
      </c>
      <c r="M368" s="521">
        <v>666</v>
      </c>
      <c r="N368" s="490">
        <v>0</v>
      </c>
      <c r="O368" s="490">
        <v>0</v>
      </c>
      <c r="P368" s="466">
        <v>28</v>
      </c>
      <c r="Q368" s="468">
        <v>36</v>
      </c>
      <c r="R368" s="466">
        <v>108</v>
      </c>
      <c r="S368" s="468">
        <v>139</v>
      </c>
      <c r="T368" s="466">
        <v>730</v>
      </c>
      <c r="U368" s="468">
        <v>850</v>
      </c>
      <c r="V368" s="468">
        <v>0.8</v>
      </c>
      <c r="W368" s="466">
        <v>875</v>
      </c>
      <c r="X368" s="468">
        <v>960</v>
      </c>
      <c r="Y368" s="466">
        <v>140</v>
      </c>
      <c r="Z368" s="468">
        <v>150</v>
      </c>
      <c r="AA368" s="466">
        <v>2.2999999999999998</v>
      </c>
      <c r="AB368" s="466">
        <v>0.4</v>
      </c>
      <c r="AC368" s="466">
        <v>3.3</v>
      </c>
      <c r="AD368" s="466">
        <v>0.6</v>
      </c>
      <c r="AE368" s="466">
        <v>0.28000000000000003</v>
      </c>
      <c r="AF368" s="468">
        <v>0.31</v>
      </c>
      <c r="AG368" s="466">
        <v>0.36</v>
      </c>
      <c r="AH368" s="468">
        <v>0.4</v>
      </c>
      <c r="AI368" s="466">
        <v>0.59</v>
      </c>
      <c r="AJ368" s="466">
        <v>-7</v>
      </c>
      <c r="AK368" s="466">
        <v>4</v>
      </c>
      <c r="AL368" s="490">
        <v>20.5</v>
      </c>
      <c r="AM368" s="703">
        <f>'COOLING-TARGET'!E$64</f>
        <v>15.1086005</v>
      </c>
    </row>
    <row r="369" spans="1:39" ht="25" customHeight="1" outlineLevel="1">
      <c r="A369" s="476" t="s">
        <v>175</v>
      </c>
      <c r="B369" s="466">
        <v>230</v>
      </c>
      <c r="C369" s="466">
        <v>-25</v>
      </c>
      <c r="D369" s="466">
        <v>-27</v>
      </c>
      <c r="E369" s="466">
        <v>29</v>
      </c>
      <c r="F369" s="466">
        <v>23</v>
      </c>
      <c r="G369" s="468">
        <v>33</v>
      </c>
      <c r="H369" s="468">
        <v>26</v>
      </c>
      <c r="I369" s="466">
        <v>4260</v>
      </c>
      <c r="J369" s="466">
        <v>3430</v>
      </c>
      <c r="K369" s="472">
        <f t="shared" si="5"/>
        <v>3760</v>
      </c>
      <c r="L369" s="521">
        <v>666</v>
      </c>
      <c r="M369" s="521">
        <v>666</v>
      </c>
      <c r="N369" s="490">
        <v>0</v>
      </c>
      <c r="O369" s="490">
        <v>0</v>
      </c>
      <c r="P369" s="466">
        <v>25</v>
      </c>
      <c r="Q369" s="468">
        <v>32</v>
      </c>
      <c r="R369" s="466">
        <v>103</v>
      </c>
      <c r="S369" s="468">
        <v>132</v>
      </c>
      <c r="T369" s="466">
        <v>740</v>
      </c>
      <c r="U369" s="468">
        <v>860</v>
      </c>
      <c r="V369" s="468">
        <v>0.9</v>
      </c>
      <c r="W369" s="466">
        <v>1000</v>
      </c>
      <c r="X369" s="468">
        <v>1080</v>
      </c>
      <c r="Y369" s="466">
        <v>120</v>
      </c>
      <c r="Z369" s="468">
        <v>130</v>
      </c>
      <c r="AA369" s="466">
        <v>2.4</v>
      </c>
      <c r="AB369" s="466">
        <v>0.4</v>
      </c>
      <c r="AC369" s="466">
        <v>3.4</v>
      </c>
      <c r="AD369" s="466">
        <v>0.6</v>
      </c>
      <c r="AE369" s="466">
        <v>0.28000000000000003</v>
      </c>
      <c r="AF369" s="468">
        <v>0.31</v>
      </c>
      <c r="AG369" s="466">
        <v>0.36</v>
      </c>
      <c r="AH369" s="468">
        <v>0.4</v>
      </c>
      <c r="AI369" s="466">
        <v>0.59</v>
      </c>
      <c r="AJ369" s="466">
        <v>-7</v>
      </c>
      <c r="AK369" s="466">
        <v>3.5</v>
      </c>
      <c r="AL369" s="490">
        <v>20.5</v>
      </c>
      <c r="AM369" s="703">
        <f>'COOLING-TARGET'!E$64</f>
        <v>15.1086005</v>
      </c>
    </row>
    <row r="370" spans="1:39" ht="25" customHeight="1" outlineLevel="1">
      <c r="A370" s="476" t="s">
        <v>176</v>
      </c>
      <c r="B370" s="466">
        <v>110</v>
      </c>
      <c r="C370" s="466">
        <v>-19</v>
      </c>
      <c r="D370" s="466">
        <v>-21</v>
      </c>
      <c r="E370" s="466">
        <v>30</v>
      </c>
      <c r="F370" s="466">
        <v>23</v>
      </c>
      <c r="G370" s="468">
        <v>34</v>
      </c>
      <c r="H370" s="468">
        <v>26</v>
      </c>
      <c r="I370" s="466">
        <v>3860</v>
      </c>
      <c r="J370" s="466">
        <v>3070</v>
      </c>
      <c r="K370" s="472">
        <f t="shared" si="5"/>
        <v>3360</v>
      </c>
      <c r="L370" s="484">
        <v>251</v>
      </c>
      <c r="M370" s="521">
        <v>666</v>
      </c>
      <c r="N370" s="490">
        <v>0</v>
      </c>
      <c r="O370" s="490">
        <v>0</v>
      </c>
      <c r="P370" s="466">
        <v>23</v>
      </c>
      <c r="Q370" s="468">
        <v>30</v>
      </c>
      <c r="R370" s="466">
        <v>86</v>
      </c>
      <c r="S370" s="468">
        <v>110</v>
      </c>
      <c r="T370" s="466">
        <v>760</v>
      </c>
      <c r="U370" s="468">
        <v>880</v>
      </c>
      <c r="V370" s="468">
        <v>0.9</v>
      </c>
      <c r="W370" s="466">
        <v>875</v>
      </c>
      <c r="X370" s="468">
        <v>950</v>
      </c>
      <c r="Y370" s="466">
        <v>160</v>
      </c>
      <c r="Z370" s="468">
        <v>170</v>
      </c>
      <c r="AA370" s="466">
        <v>1.4</v>
      </c>
      <c r="AB370" s="466">
        <v>0.4</v>
      </c>
      <c r="AC370" s="466">
        <v>2</v>
      </c>
      <c r="AD370" s="466">
        <v>0.6</v>
      </c>
      <c r="AE370" s="466">
        <v>0.37</v>
      </c>
      <c r="AF370" s="468">
        <v>0.41</v>
      </c>
      <c r="AG370" s="466">
        <v>0.48</v>
      </c>
      <c r="AH370" s="468">
        <v>0.53</v>
      </c>
      <c r="AI370" s="466">
        <v>0.8</v>
      </c>
      <c r="AJ370" s="466">
        <v>-6</v>
      </c>
      <c r="AK370" s="466">
        <v>4</v>
      </c>
      <c r="AL370" s="490">
        <v>20.5</v>
      </c>
      <c r="AM370" s="703">
        <f>'COOLING-TARGET'!E$64</f>
        <v>15.1086005</v>
      </c>
    </row>
    <row r="371" spans="1:39" ht="25" customHeight="1" outlineLevel="1">
      <c r="A371" s="476" t="s">
        <v>177</v>
      </c>
      <c r="B371" s="466">
        <v>98</v>
      </c>
      <c r="C371" s="466">
        <v>-25</v>
      </c>
      <c r="D371" s="466">
        <v>-27</v>
      </c>
      <c r="E371" s="466">
        <v>30</v>
      </c>
      <c r="F371" s="466">
        <v>23</v>
      </c>
      <c r="G371" s="468">
        <v>34</v>
      </c>
      <c r="H371" s="468">
        <v>26</v>
      </c>
      <c r="I371" s="466">
        <v>4500</v>
      </c>
      <c r="J371" s="466">
        <v>3600</v>
      </c>
      <c r="K371" s="472">
        <f t="shared" si="5"/>
        <v>4000</v>
      </c>
      <c r="L371" s="484">
        <v>276</v>
      </c>
      <c r="M371" s="484">
        <v>389.3</v>
      </c>
      <c r="N371" s="490">
        <v>0</v>
      </c>
      <c r="O371" s="490">
        <v>0</v>
      </c>
      <c r="P371" s="466">
        <v>25</v>
      </c>
      <c r="Q371" s="468">
        <v>32</v>
      </c>
      <c r="R371" s="466">
        <v>92</v>
      </c>
      <c r="S371" s="468">
        <v>119</v>
      </c>
      <c r="T371" s="466">
        <v>750</v>
      </c>
      <c r="U371" s="468">
        <v>890</v>
      </c>
      <c r="V371" s="468">
        <v>0.9</v>
      </c>
      <c r="W371" s="466">
        <v>900</v>
      </c>
      <c r="X371" s="468">
        <v>1000</v>
      </c>
      <c r="Y371" s="466">
        <v>160</v>
      </c>
      <c r="AA371" s="466">
        <v>2.4</v>
      </c>
      <c r="AB371" s="466">
        <v>0.4</v>
      </c>
      <c r="AC371" s="466">
        <v>3.5</v>
      </c>
      <c r="AD371" s="466">
        <v>0.6</v>
      </c>
      <c r="AE371" s="466">
        <v>0.32</v>
      </c>
      <c r="AF371" s="468">
        <v>0.35</v>
      </c>
      <c r="AG371" s="466">
        <v>0.41</v>
      </c>
      <c r="AH371" s="468">
        <v>0.45</v>
      </c>
      <c r="AI371" s="466">
        <v>0.67</v>
      </c>
      <c r="AJ371" s="466">
        <v>-8</v>
      </c>
      <c r="AK371" s="466">
        <v>4.4000000000000004</v>
      </c>
      <c r="AL371" s="490">
        <v>20.5</v>
      </c>
      <c r="AM371" s="703">
        <f>'COOLING-TARGET'!E$64</f>
        <v>15.1086005</v>
      </c>
    </row>
    <row r="372" spans="1:39" ht="25" customHeight="1" outlineLevel="1">
      <c r="A372" s="476" t="s">
        <v>178</v>
      </c>
      <c r="B372" s="466">
        <v>70</v>
      </c>
      <c r="C372" s="466">
        <v>-25</v>
      </c>
      <c r="D372" s="466">
        <v>-27</v>
      </c>
      <c r="E372" s="466">
        <v>30</v>
      </c>
      <c r="F372" s="466">
        <v>23</v>
      </c>
      <c r="G372" s="468">
        <v>34</v>
      </c>
      <c r="H372" s="468">
        <v>26</v>
      </c>
      <c r="I372" s="466">
        <v>4440</v>
      </c>
      <c r="J372" s="466">
        <v>3650</v>
      </c>
      <c r="K372" s="472">
        <f t="shared" si="5"/>
        <v>3940</v>
      </c>
      <c r="L372" s="484">
        <v>276</v>
      </c>
      <c r="M372" s="484">
        <v>389.3</v>
      </c>
      <c r="N372" s="490">
        <v>0</v>
      </c>
      <c r="O372" s="490">
        <v>0</v>
      </c>
      <c r="P372" s="466">
        <v>23</v>
      </c>
      <c r="Q372" s="468">
        <v>30</v>
      </c>
      <c r="R372" s="466">
        <v>86</v>
      </c>
      <c r="S372" s="468">
        <v>111</v>
      </c>
      <c r="T372" s="466">
        <v>750</v>
      </c>
      <c r="U372" s="468">
        <v>890</v>
      </c>
      <c r="V372" s="468">
        <v>0.9</v>
      </c>
      <c r="W372" s="466">
        <v>900</v>
      </c>
      <c r="X372" s="468">
        <v>1000</v>
      </c>
      <c r="Y372" s="466">
        <v>160</v>
      </c>
      <c r="AA372" s="466">
        <v>2.4</v>
      </c>
      <c r="AB372" s="466">
        <v>0.4</v>
      </c>
      <c r="AC372" s="466">
        <v>3.4</v>
      </c>
      <c r="AD372" s="466">
        <v>0.6</v>
      </c>
      <c r="AE372" s="466">
        <v>0.32</v>
      </c>
      <c r="AF372" s="468">
        <v>0.35</v>
      </c>
      <c r="AG372" s="466">
        <v>0.41</v>
      </c>
      <c r="AH372" s="468">
        <v>0.45</v>
      </c>
      <c r="AI372" s="466">
        <v>0.67</v>
      </c>
      <c r="AJ372" s="466">
        <v>-8</v>
      </c>
      <c r="AK372" s="466">
        <v>3.5</v>
      </c>
      <c r="AL372" s="490">
        <v>20.5</v>
      </c>
      <c r="AM372" s="703">
        <f>'COOLING-TARGET'!E$64</f>
        <v>15.1086005</v>
      </c>
    </row>
    <row r="373" spans="1:39" ht="25" customHeight="1" outlineLevel="1">
      <c r="A373" s="476" t="s">
        <v>179</v>
      </c>
      <c r="B373" s="466">
        <v>98</v>
      </c>
      <c r="C373" s="466">
        <v>-25</v>
      </c>
      <c r="D373" s="466">
        <v>-27</v>
      </c>
      <c r="E373" s="466">
        <v>30</v>
      </c>
      <c r="F373" s="466">
        <v>23</v>
      </c>
      <c r="G373" s="468">
        <v>34</v>
      </c>
      <c r="H373" s="468">
        <v>26</v>
      </c>
      <c r="I373" s="466">
        <v>4520</v>
      </c>
      <c r="J373" s="466">
        <v>3670</v>
      </c>
      <c r="K373" s="472">
        <f t="shared" si="5"/>
        <v>4020</v>
      </c>
      <c r="L373" s="484">
        <v>276</v>
      </c>
      <c r="M373" s="484">
        <v>389.3</v>
      </c>
      <c r="N373" s="490">
        <v>0</v>
      </c>
      <c r="O373" s="490">
        <v>0</v>
      </c>
      <c r="P373" s="466">
        <v>25</v>
      </c>
      <c r="Q373" s="468">
        <v>32</v>
      </c>
      <c r="R373" s="466">
        <v>92</v>
      </c>
      <c r="S373" s="468">
        <v>118</v>
      </c>
      <c r="T373" s="466">
        <v>730</v>
      </c>
      <c r="U373" s="468">
        <v>870</v>
      </c>
      <c r="V373" s="468">
        <v>0.9</v>
      </c>
      <c r="W373" s="466">
        <v>900</v>
      </c>
      <c r="X373" s="468">
        <v>1000</v>
      </c>
      <c r="Y373" s="466">
        <v>160</v>
      </c>
      <c r="AA373" s="466">
        <v>2.5</v>
      </c>
      <c r="AB373" s="466">
        <v>0.4</v>
      </c>
      <c r="AC373" s="466">
        <v>3.6</v>
      </c>
      <c r="AD373" s="466">
        <v>0.6</v>
      </c>
      <c r="AE373" s="466">
        <v>0.32</v>
      </c>
      <c r="AF373" s="468">
        <v>0.35</v>
      </c>
      <c r="AG373" s="466">
        <v>0.41</v>
      </c>
      <c r="AH373" s="468">
        <v>0.45</v>
      </c>
      <c r="AI373" s="466">
        <v>0.67</v>
      </c>
      <c r="AJ373" s="466">
        <v>-8</v>
      </c>
      <c r="AK373" s="466">
        <v>4.4000000000000004</v>
      </c>
      <c r="AL373" s="490">
        <v>20.5</v>
      </c>
      <c r="AM373" s="703">
        <f>'COOLING-TARGET'!E$64</f>
        <v>15.1086005</v>
      </c>
    </row>
    <row r="374" spans="1:39" ht="25" customHeight="1" outlineLevel="1">
      <c r="A374" s="476" t="s">
        <v>1152</v>
      </c>
      <c r="B374" s="466">
        <v>125</v>
      </c>
      <c r="C374" s="466">
        <v>-25</v>
      </c>
      <c r="D374" s="466">
        <v>-27</v>
      </c>
      <c r="E374" s="466">
        <v>30</v>
      </c>
      <c r="F374" s="466">
        <v>23</v>
      </c>
      <c r="G374" s="468">
        <v>34</v>
      </c>
      <c r="H374" s="468">
        <v>26</v>
      </c>
      <c r="I374" s="466">
        <v>4500</v>
      </c>
      <c r="J374" s="466">
        <v>3650</v>
      </c>
      <c r="K374" s="472">
        <f t="shared" si="5"/>
        <v>4000</v>
      </c>
      <c r="L374" s="484">
        <v>276</v>
      </c>
      <c r="M374" s="484">
        <v>389.3</v>
      </c>
      <c r="N374" s="490">
        <v>0</v>
      </c>
      <c r="O374" s="490">
        <v>0</v>
      </c>
      <c r="P374" s="466">
        <v>24</v>
      </c>
      <c r="Q374" s="468">
        <v>31</v>
      </c>
      <c r="R374" s="466">
        <v>89</v>
      </c>
      <c r="S374" s="468">
        <v>115</v>
      </c>
      <c r="T374" s="466">
        <v>750</v>
      </c>
      <c r="U374" s="468">
        <v>890</v>
      </c>
      <c r="V374" s="468">
        <v>0.9</v>
      </c>
      <c r="W374" s="466">
        <v>900</v>
      </c>
      <c r="X374" s="468">
        <v>1000</v>
      </c>
      <c r="Y374" s="466">
        <v>160</v>
      </c>
      <c r="AA374" s="466">
        <v>2.4</v>
      </c>
      <c r="AB374" s="466">
        <v>0.4</v>
      </c>
      <c r="AC374" s="466">
        <v>3.5</v>
      </c>
      <c r="AD374" s="466">
        <v>0.6</v>
      </c>
      <c r="AE374" s="466">
        <v>0.32</v>
      </c>
      <c r="AF374" s="468">
        <v>0.35</v>
      </c>
      <c r="AG374" s="466">
        <v>0.41</v>
      </c>
      <c r="AH374" s="468">
        <v>0.45</v>
      </c>
      <c r="AI374" s="466">
        <v>0.67</v>
      </c>
      <c r="AJ374" s="466">
        <v>-8</v>
      </c>
      <c r="AK374" s="466">
        <v>4.4000000000000004</v>
      </c>
      <c r="AL374" s="490">
        <v>20.5</v>
      </c>
      <c r="AM374" s="703">
        <f>'COOLING-TARGET'!E$64</f>
        <v>15.1086005</v>
      </c>
    </row>
    <row r="375" spans="1:39" ht="25" customHeight="1" outlineLevel="1">
      <c r="A375" s="476" t="s">
        <v>1153</v>
      </c>
      <c r="B375" s="466">
        <v>70</v>
      </c>
      <c r="C375" s="466">
        <v>-26</v>
      </c>
      <c r="D375" s="466">
        <v>-28</v>
      </c>
      <c r="E375" s="466">
        <v>30</v>
      </c>
      <c r="F375" s="466">
        <v>23</v>
      </c>
      <c r="G375" s="468">
        <v>33</v>
      </c>
      <c r="H375" s="468">
        <v>26</v>
      </c>
      <c r="I375" s="466">
        <v>4500</v>
      </c>
      <c r="J375" s="466">
        <v>3650</v>
      </c>
      <c r="K375" s="472">
        <f t="shared" si="5"/>
        <v>4000</v>
      </c>
      <c r="L375" s="484">
        <v>276</v>
      </c>
      <c r="M375" s="484">
        <v>389.3</v>
      </c>
      <c r="N375" s="490">
        <v>0</v>
      </c>
      <c r="O375" s="490">
        <v>0</v>
      </c>
      <c r="P375" s="466">
        <v>23</v>
      </c>
      <c r="Q375" s="468">
        <v>30</v>
      </c>
      <c r="R375" s="466">
        <v>91</v>
      </c>
      <c r="S375" s="468">
        <v>118</v>
      </c>
      <c r="T375" s="466">
        <v>750</v>
      </c>
      <c r="U375" s="468">
        <v>890</v>
      </c>
      <c r="V375" s="468">
        <v>0.9</v>
      </c>
      <c r="W375" s="466">
        <v>900</v>
      </c>
      <c r="X375" s="468">
        <v>1000</v>
      </c>
      <c r="Y375" s="466">
        <v>160</v>
      </c>
      <c r="AA375" s="466">
        <v>2.4</v>
      </c>
      <c r="AB375" s="466">
        <v>0.4</v>
      </c>
      <c r="AC375" s="466">
        <v>3.4</v>
      </c>
      <c r="AD375" s="466">
        <v>0.6</v>
      </c>
      <c r="AE375" s="466">
        <v>0.32</v>
      </c>
      <c r="AF375" s="468">
        <v>0.35</v>
      </c>
      <c r="AG375" s="466">
        <v>0.41</v>
      </c>
      <c r="AH375" s="468">
        <v>0.45</v>
      </c>
      <c r="AI375" s="466">
        <v>0.67</v>
      </c>
      <c r="AJ375" s="466">
        <v>-8</v>
      </c>
      <c r="AK375" s="466">
        <v>3.5</v>
      </c>
      <c r="AL375" s="490">
        <v>20.5</v>
      </c>
      <c r="AM375" s="703">
        <f>'COOLING-TARGET'!E$64</f>
        <v>15.1086005</v>
      </c>
    </row>
    <row r="376" spans="1:39" ht="25" customHeight="1" outlineLevel="1">
      <c r="A376" s="476" t="s">
        <v>180</v>
      </c>
      <c r="B376" s="466">
        <v>215</v>
      </c>
      <c r="C376" s="466">
        <v>-19</v>
      </c>
      <c r="D376" s="466">
        <v>-21</v>
      </c>
      <c r="E376" s="466">
        <v>29</v>
      </c>
      <c r="F376" s="466">
        <v>22</v>
      </c>
      <c r="G376" s="468">
        <v>33</v>
      </c>
      <c r="H376" s="468">
        <v>25</v>
      </c>
      <c r="I376" s="466">
        <v>4030</v>
      </c>
      <c r="J376" s="466">
        <v>3220</v>
      </c>
      <c r="K376" s="472">
        <f t="shared" si="5"/>
        <v>3530</v>
      </c>
      <c r="L376" s="521">
        <v>666</v>
      </c>
      <c r="M376" s="521">
        <v>666</v>
      </c>
      <c r="N376" s="490">
        <v>0</v>
      </c>
      <c r="O376" s="490">
        <v>0</v>
      </c>
      <c r="P376" s="466">
        <v>28</v>
      </c>
      <c r="Q376" s="468">
        <v>36</v>
      </c>
      <c r="R376" s="466">
        <v>113</v>
      </c>
      <c r="S376" s="468">
        <v>145</v>
      </c>
      <c r="T376" s="466">
        <v>760</v>
      </c>
      <c r="U376" s="468">
        <v>890</v>
      </c>
      <c r="V376" s="468">
        <v>0.9</v>
      </c>
      <c r="W376" s="466">
        <v>1075</v>
      </c>
      <c r="X376" s="468">
        <v>1150</v>
      </c>
      <c r="Y376" s="466">
        <v>160</v>
      </c>
      <c r="Z376" s="468">
        <v>170</v>
      </c>
      <c r="AA376" s="466">
        <v>2.8</v>
      </c>
      <c r="AB376" s="466">
        <v>0.4</v>
      </c>
      <c r="AC376" s="466">
        <v>4</v>
      </c>
      <c r="AD376" s="466">
        <v>0.6</v>
      </c>
      <c r="AE376" s="466">
        <v>0.34</v>
      </c>
      <c r="AF376" s="468">
        <v>0.37</v>
      </c>
      <c r="AG376" s="466">
        <v>0.44</v>
      </c>
      <c r="AH376" s="468">
        <v>0.48</v>
      </c>
      <c r="AI376" s="466">
        <v>0.73</v>
      </c>
      <c r="AJ376" s="466">
        <v>-6</v>
      </c>
      <c r="AK376" s="466">
        <v>4</v>
      </c>
      <c r="AL376" s="490">
        <v>20.5</v>
      </c>
      <c r="AM376" s="703">
        <f>'COOLING-TARGET'!E$64</f>
        <v>15.1086005</v>
      </c>
    </row>
    <row r="377" spans="1:39" ht="25" customHeight="1" outlineLevel="1">
      <c r="A377" s="476" t="s">
        <v>181</v>
      </c>
      <c r="B377" s="466">
        <v>185</v>
      </c>
      <c r="C377" s="466">
        <v>-35</v>
      </c>
      <c r="D377" s="466">
        <v>-37</v>
      </c>
      <c r="E377" s="466">
        <v>28</v>
      </c>
      <c r="F377" s="466">
        <v>21</v>
      </c>
      <c r="G377" s="468">
        <v>32</v>
      </c>
      <c r="H377" s="468">
        <v>24</v>
      </c>
      <c r="I377" s="466">
        <v>6500</v>
      </c>
      <c r="J377" s="466">
        <v>5530</v>
      </c>
      <c r="K377" s="472">
        <f t="shared" si="5"/>
        <v>6000</v>
      </c>
      <c r="L377" s="521">
        <v>666</v>
      </c>
      <c r="M377" s="521">
        <v>666</v>
      </c>
      <c r="N377" s="490">
        <v>0</v>
      </c>
      <c r="O377" s="490">
        <v>0</v>
      </c>
      <c r="P377" s="466">
        <v>20</v>
      </c>
      <c r="Q377" s="468">
        <v>26</v>
      </c>
      <c r="R377" s="466">
        <v>86</v>
      </c>
      <c r="S377" s="468">
        <v>113</v>
      </c>
      <c r="T377" s="466">
        <v>540</v>
      </c>
      <c r="U377" s="468">
        <v>660</v>
      </c>
      <c r="V377" s="468">
        <v>0.8</v>
      </c>
      <c r="W377" s="466">
        <v>825</v>
      </c>
      <c r="X377" s="468">
        <v>930</v>
      </c>
      <c r="Y377" s="466">
        <v>80</v>
      </c>
      <c r="AA377" s="466">
        <v>2.7</v>
      </c>
      <c r="AB377" s="466">
        <v>0.4</v>
      </c>
      <c r="AC377" s="466">
        <v>3.6</v>
      </c>
      <c r="AD377" s="466">
        <v>0.5</v>
      </c>
      <c r="AE377" s="466">
        <v>0.22</v>
      </c>
      <c r="AF377" s="468">
        <v>0.24</v>
      </c>
      <c r="AG377" s="466">
        <v>0.3</v>
      </c>
      <c r="AH377" s="468">
        <v>0.33</v>
      </c>
      <c r="AI377" s="466">
        <v>0.52</v>
      </c>
      <c r="AJ377" s="466">
        <v>-12</v>
      </c>
      <c r="AK377" s="466">
        <v>2.7</v>
      </c>
      <c r="AL377" s="490">
        <v>20.5</v>
      </c>
      <c r="AM377" s="703">
        <f>'COOLING-TARGET'!E$64</f>
        <v>15.1086005</v>
      </c>
    </row>
    <row r="378" spans="1:39" ht="25" customHeight="1" outlineLevel="1">
      <c r="A378" s="476" t="s">
        <v>182</v>
      </c>
      <c r="B378" s="466">
        <v>245</v>
      </c>
      <c r="C378" s="466">
        <v>-18</v>
      </c>
      <c r="D378" s="466">
        <v>-20</v>
      </c>
      <c r="E378" s="466">
        <v>30</v>
      </c>
      <c r="F378" s="466">
        <v>23</v>
      </c>
      <c r="G378" s="468">
        <v>34</v>
      </c>
      <c r="H378" s="468">
        <v>26</v>
      </c>
      <c r="I378" s="466">
        <v>4000</v>
      </c>
      <c r="J378" s="466">
        <v>3200</v>
      </c>
      <c r="K378" s="472">
        <f t="shared" si="5"/>
        <v>3500</v>
      </c>
      <c r="L378" s="521">
        <v>666</v>
      </c>
      <c r="M378" s="521">
        <v>666</v>
      </c>
      <c r="N378" s="490">
        <v>0</v>
      </c>
      <c r="O378" s="490">
        <v>0</v>
      </c>
      <c r="P378" s="466">
        <v>23</v>
      </c>
      <c r="Q378" s="468">
        <v>29</v>
      </c>
      <c r="R378" s="466">
        <v>96</v>
      </c>
      <c r="S378" s="468">
        <v>122</v>
      </c>
      <c r="T378" s="466">
        <v>790</v>
      </c>
      <c r="U378" s="468">
        <v>910</v>
      </c>
      <c r="V378" s="468">
        <v>0.9</v>
      </c>
      <c r="W378" s="466">
        <v>925</v>
      </c>
      <c r="X378" s="468">
        <v>1010</v>
      </c>
      <c r="Y378" s="466">
        <v>160</v>
      </c>
      <c r="Z378" s="468">
        <v>170</v>
      </c>
      <c r="AA378" s="466">
        <v>1.4</v>
      </c>
      <c r="AB378" s="466">
        <v>0.4</v>
      </c>
      <c r="AC378" s="466">
        <v>2</v>
      </c>
      <c r="AD378" s="466">
        <v>0.6</v>
      </c>
      <c r="AE378" s="466">
        <v>0.33</v>
      </c>
      <c r="AF378" s="468">
        <v>0.36</v>
      </c>
      <c r="AG378" s="466">
        <v>0.42</v>
      </c>
      <c r="AH378" s="468">
        <v>0.46</v>
      </c>
      <c r="AI378" s="466">
        <v>0.68</v>
      </c>
      <c r="AJ378" s="466">
        <v>-6</v>
      </c>
      <c r="AK378" s="466">
        <v>4.2</v>
      </c>
      <c r="AL378" s="490">
        <v>20.5</v>
      </c>
      <c r="AM378" s="703">
        <f>'COOLING-TARGET'!E$64</f>
        <v>15.1086005</v>
      </c>
    </row>
    <row r="379" spans="1:39" ht="25" customHeight="1" outlineLevel="1">
      <c r="A379" s="476" t="s">
        <v>183</v>
      </c>
      <c r="B379" s="466">
        <v>205</v>
      </c>
      <c r="C379" s="466">
        <v>-16</v>
      </c>
      <c r="D379" s="466">
        <v>-18</v>
      </c>
      <c r="E379" s="466">
        <v>31</v>
      </c>
      <c r="F379" s="466">
        <v>23</v>
      </c>
      <c r="G379" s="468">
        <v>35</v>
      </c>
      <c r="H379" s="468">
        <v>26</v>
      </c>
      <c r="I379" s="466">
        <v>3800</v>
      </c>
      <c r="J379" s="466">
        <v>3010</v>
      </c>
      <c r="K379" s="472">
        <f t="shared" si="5"/>
        <v>3300</v>
      </c>
      <c r="L379" s="521">
        <v>666</v>
      </c>
      <c r="M379" s="521">
        <v>666</v>
      </c>
      <c r="N379" s="490">
        <v>0</v>
      </c>
      <c r="O379" s="490">
        <v>0</v>
      </c>
      <c r="P379" s="466">
        <v>25</v>
      </c>
      <c r="Q379" s="468">
        <v>32</v>
      </c>
      <c r="R379" s="466">
        <v>103</v>
      </c>
      <c r="S379" s="468">
        <v>131</v>
      </c>
      <c r="T379" s="466">
        <v>800</v>
      </c>
      <c r="U379" s="468">
        <v>920</v>
      </c>
      <c r="V379" s="468">
        <v>0.9</v>
      </c>
      <c r="W379" s="466">
        <v>925</v>
      </c>
      <c r="X379" s="468">
        <v>1010</v>
      </c>
      <c r="Y379" s="466">
        <v>180</v>
      </c>
      <c r="Z379" s="468">
        <v>200</v>
      </c>
      <c r="AA379" s="466">
        <v>2.1</v>
      </c>
      <c r="AB379" s="466">
        <v>0.4</v>
      </c>
      <c r="AC379" s="466">
        <v>3.1</v>
      </c>
      <c r="AD379" s="466">
        <v>0.6</v>
      </c>
      <c r="AE379" s="466">
        <v>0.37</v>
      </c>
      <c r="AF379" s="468">
        <v>0.41</v>
      </c>
      <c r="AG379" s="466">
        <v>0.48</v>
      </c>
      <c r="AH379" s="468">
        <v>0.53</v>
      </c>
      <c r="AI379" s="466">
        <v>0.8</v>
      </c>
      <c r="AJ379" s="466">
        <v>-6</v>
      </c>
      <c r="AK379" s="466">
        <v>5</v>
      </c>
      <c r="AL379" s="490">
        <v>20.5</v>
      </c>
      <c r="AM379" s="703">
        <f>'COOLING-TARGET'!E$64</f>
        <v>15.1086005</v>
      </c>
    </row>
    <row r="380" spans="1:39" ht="25" customHeight="1" outlineLevel="1">
      <c r="A380" s="476" t="s">
        <v>184</v>
      </c>
      <c r="B380" s="466">
        <v>215</v>
      </c>
      <c r="C380" s="466">
        <v>-24</v>
      </c>
      <c r="D380" s="466">
        <v>-26</v>
      </c>
      <c r="E380" s="466">
        <v>28</v>
      </c>
      <c r="F380" s="466">
        <v>22</v>
      </c>
      <c r="G380" s="468">
        <v>32</v>
      </c>
      <c r="H380" s="468">
        <v>25</v>
      </c>
      <c r="I380" s="466">
        <v>4640</v>
      </c>
      <c r="J380" s="466">
        <v>3780</v>
      </c>
      <c r="K380" s="472">
        <f t="shared" si="5"/>
        <v>4140</v>
      </c>
      <c r="L380" s="484">
        <v>274.39999999999998</v>
      </c>
      <c r="M380" s="521">
        <v>666</v>
      </c>
      <c r="N380" s="490">
        <v>0</v>
      </c>
      <c r="O380" s="490">
        <v>0</v>
      </c>
      <c r="P380" s="466">
        <v>23</v>
      </c>
      <c r="Q380" s="468">
        <v>30</v>
      </c>
      <c r="R380" s="466">
        <v>97</v>
      </c>
      <c r="S380" s="468">
        <v>124</v>
      </c>
      <c r="T380" s="466">
        <v>820</v>
      </c>
      <c r="U380" s="468">
        <v>950</v>
      </c>
      <c r="V380" s="468">
        <v>1</v>
      </c>
      <c r="W380" s="466">
        <v>1050</v>
      </c>
      <c r="X380" s="468">
        <v>1110</v>
      </c>
      <c r="Y380" s="466">
        <v>160</v>
      </c>
      <c r="Z380" s="468">
        <v>170</v>
      </c>
      <c r="AA380" s="466">
        <v>2.8</v>
      </c>
      <c r="AB380" s="466">
        <v>0.4</v>
      </c>
      <c r="AC380" s="466">
        <v>4</v>
      </c>
      <c r="AD380" s="466">
        <v>0.6</v>
      </c>
      <c r="AE380" s="466">
        <v>0.3</v>
      </c>
      <c r="AF380" s="468">
        <v>0.33</v>
      </c>
      <c r="AG380" s="466">
        <v>0.39</v>
      </c>
      <c r="AH380" s="468">
        <v>0.43</v>
      </c>
      <c r="AI380" s="466">
        <v>0.65</v>
      </c>
      <c r="AJ380" s="466">
        <v>-8</v>
      </c>
      <c r="AK380" s="466">
        <v>3.7</v>
      </c>
      <c r="AL380" s="490">
        <v>20.5</v>
      </c>
      <c r="AM380" s="703">
        <f>'COOLING-TARGET'!E$64</f>
        <v>15.1086005</v>
      </c>
    </row>
    <row r="381" spans="1:39" ht="25" customHeight="1" outlineLevel="1">
      <c r="A381" s="476" t="s">
        <v>185</v>
      </c>
      <c r="B381" s="466">
        <v>230</v>
      </c>
      <c r="C381" s="466">
        <v>-15</v>
      </c>
      <c r="D381" s="466">
        <v>-17</v>
      </c>
      <c r="E381" s="466">
        <v>30</v>
      </c>
      <c r="F381" s="466">
        <v>23</v>
      </c>
      <c r="G381" s="468">
        <v>34</v>
      </c>
      <c r="H381" s="468">
        <v>26</v>
      </c>
      <c r="I381" s="466">
        <v>3690</v>
      </c>
      <c r="J381" s="466">
        <v>2910</v>
      </c>
      <c r="K381" s="472">
        <f t="shared" si="5"/>
        <v>3190</v>
      </c>
      <c r="L381" s="521">
        <v>666</v>
      </c>
      <c r="M381" s="521">
        <v>666</v>
      </c>
      <c r="N381" s="490">
        <v>0</v>
      </c>
      <c r="O381" s="490">
        <v>0</v>
      </c>
      <c r="P381" s="466">
        <v>23</v>
      </c>
      <c r="Q381" s="468">
        <v>29</v>
      </c>
      <c r="R381" s="466">
        <v>96</v>
      </c>
      <c r="S381" s="468">
        <v>122</v>
      </c>
      <c r="T381" s="466">
        <v>820</v>
      </c>
      <c r="U381" s="468">
        <v>950</v>
      </c>
      <c r="V381" s="468">
        <v>0.9</v>
      </c>
      <c r="W381" s="466">
        <v>950</v>
      </c>
      <c r="X381" s="468">
        <v>1040</v>
      </c>
      <c r="Y381" s="466">
        <v>160</v>
      </c>
      <c r="Z381" s="468">
        <v>170</v>
      </c>
      <c r="AA381" s="466">
        <v>2.1</v>
      </c>
      <c r="AB381" s="466">
        <v>0.4</v>
      </c>
      <c r="AC381" s="466">
        <v>3.1</v>
      </c>
      <c r="AD381" s="466">
        <v>0.6</v>
      </c>
      <c r="AE381" s="466">
        <v>0.33</v>
      </c>
      <c r="AF381" s="468">
        <v>0.36</v>
      </c>
      <c r="AG381" s="466">
        <v>0.42</v>
      </c>
      <c r="AH381" s="468">
        <v>0.46</v>
      </c>
      <c r="AI381" s="466">
        <v>0.68</v>
      </c>
      <c r="AJ381" s="466">
        <v>-6</v>
      </c>
      <c r="AK381" s="466">
        <v>4</v>
      </c>
      <c r="AL381" s="490">
        <v>20.5</v>
      </c>
      <c r="AM381" s="703">
        <f>'COOLING-TARGET'!E$64</f>
        <v>15.1086005</v>
      </c>
    </row>
    <row r="382" spans="1:39" ht="25" customHeight="1" outlineLevel="1">
      <c r="A382" s="476" t="s">
        <v>186</v>
      </c>
      <c r="B382" s="466">
        <v>125</v>
      </c>
      <c r="C382" s="466">
        <v>-28</v>
      </c>
      <c r="D382" s="466">
        <v>-31</v>
      </c>
      <c r="E382" s="466">
        <v>30</v>
      </c>
      <c r="F382" s="466">
        <v>23</v>
      </c>
      <c r="G382" s="468">
        <v>34</v>
      </c>
      <c r="H382" s="468">
        <v>26</v>
      </c>
      <c r="I382" s="466">
        <v>4980</v>
      </c>
      <c r="J382" s="466">
        <v>4090</v>
      </c>
      <c r="K382" s="472">
        <f t="shared" si="5"/>
        <v>4480</v>
      </c>
      <c r="L382" s="484">
        <v>319.8</v>
      </c>
      <c r="M382" s="521">
        <v>666</v>
      </c>
      <c r="N382" s="490">
        <v>0</v>
      </c>
      <c r="O382" s="490">
        <v>0</v>
      </c>
      <c r="P382" s="466">
        <v>23</v>
      </c>
      <c r="Q382" s="468">
        <v>30</v>
      </c>
      <c r="R382" s="466">
        <v>105</v>
      </c>
      <c r="S382" s="468">
        <v>135</v>
      </c>
      <c r="T382" s="466">
        <v>640</v>
      </c>
      <c r="U382" s="468">
        <v>770</v>
      </c>
      <c r="V382" s="468">
        <v>0.8</v>
      </c>
      <c r="W382" s="466">
        <v>825</v>
      </c>
      <c r="X382" s="468">
        <v>930</v>
      </c>
      <c r="Y382" s="466">
        <v>100</v>
      </c>
      <c r="AA382" s="466">
        <v>2.5</v>
      </c>
      <c r="AB382" s="466">
        <v>0.4</v>
      </c>
      <c r="AC382" s="466">
        <v>3.5</v>
      </c>
      <c r="AD382" s="466">
        <v>0.6</v>
      </c>
      <c r="AE382" s="466">
        <v>0.27</v>
      </c>
      <c r="AF382" s="468">
        <v>0.3</v>
      </c>
      <c r="AG382" s="466">
        <v>0.35</v>
      </c>
      <c r="AH382" s="468">
        <v>0.39</v>
      </c>
      <c r="AI382" s="466">
        <v>0.57999999999999996</v>
      </c>
      <c r="AJ382" s="466">
        <v>-9</v>
      </c>
      <c r="AK382" s="466">
        <v>2.7</v>
      </c>
      <c r="AL382" s="490">
        <v>20.5</v>
      </c>
      <c r="AM382" s="703">
        <f>'COOLING-TARGET'!E$64</f>
        <v>15.1086005</v>
      </c>
    </row>
    <row r="383" spans="1:39" ht="25" customHeight="1" outlineLevel="1">
      <c r="A383" s="476" t="s">
        <v>187</v>
      </c>
      <c r="B383" s="466">
        <v>220</v>
      </c>
      <c r="C383" s="466">
        <v>-24</v>
      </c>
      <c r="D383" s="466">
        <v>-26</v>
      </c>
      <c r="E383" s="466">
        <v>29</v>
      </c>
      <c r="F383" s="466">
        <v>23</v>
      </c>
      <c r="G383" s="468">
        <v>33</v>
      </c>
      <c r="H383" s="468">
        <v>26</v>
      </c>
      <c r="I383" s="466">
        <v>4200</v>
      </c>
      <c r="J383" s="466">
        <v>3380</v>
      </c>
      <c r="K383" s="472">
        <f t="shared" si="5"/>
        <v>3700</v>
      </c>
      <c r="L383" s="521">
        <v>666</v>
      </c>
      <c r="M383" s="521">
        <v>666</v>
      </c>
      <c r="N383" s="490">
        <v>0</v>
      </c>
      <c r="O383" s="490">
        <v>0</v>
      </c>
      <c r="P383" s="466">
        <v>25</v>
      </c>
      <c r="Q383" s="468">
        <v>32</v>
      </c>
      <c r="R383" s="466">
        <v>97</v>
      </c>
      <c r="S383" s="468">
        <v>124</v>
      </c>
      <c r="T383" s="466">
        <v>720</v>
      </c>
      <c r="U383" s="468">
        <v>830</v>
      </c>
      <c r="V383" s="468">
        <v>0.9</v>
      </c>
      <c r="W383" s="466">
        <v>1050</v>
      </c>
      <c r="X383" s="468">
        <v>1120</v>
      </c>
      <c r="Y383" s="466">
        <v>160</v>
      </c>
      <c r="Z383" s="468">
        <v>170</v>
      </c>
      <c r="AA383" s="466">
        <v>2.8</v>
      </c>
      <c r="AB383" s="466">
        <v>0.4</v>
      </c>
      <c r="AC383" s="466">
        <v>4</v>
      </c>
      <c r="AD383" s="466">
        <v>0.6</v>
      </c>
      <c r="AE383" s="466">
        <v>0.3</v>
      </c>
      <c r="AF383" s="468">
        <v>0.33</v>
      </c>
      <c r="AG383" s="466">
        <v>0.39</v>
      </c>
      <c r="AH383" s="468">
        <v>0.43</v>
      </c>
      <c r="AI383" s="466">
        <v>0.65</v>
      </c>
      <c r="AJ383" s="466">
        <v>-7</v>
      </c>
      <c r="AK383" s="466">
        <v>3.7</v>
      </c>
      <c r="AL383" s="490">
        <v>20.5</v>
      </c>
      <c r="AM383" s="703">
        <f>'COOLING-TARGET'!E$64</f>
        <v>15.1086005</v>
      </c>
    </row>
    <row r="384" spans="1:39" ht="25" customHeight="1" outlineLevel="1">
      <c r="A384" s="476" t="s">
        <v>188</v>
      </c>
      <c r="B384" s="466">
        <v>130</v>
      </c>
      <c r="C384" s="466">
        <v>-25</v>
      </c>
      <c r="D384" s="466">
        <v>-27</v>
      </c>
      <c r="E384" s="466">
        <v>30</v>
      </c>
      <c r="F384" s="466">
        <v>23</v>
      </c>
      <c r="G384" s="468">
        <v>34</v>
      </c>
      <c r="H384" s="468">
        <v>26</v>
      </c>
      <c r="I384" s="466">
        <v>4540</v>
      </c>
      <c r="J384" s="466">
        <v>3690</v>
      </c>
      <c r="K384" s="472">
        <f t="shared" si="5"/>
        <v>4040</v>
      </c>
      <c r="L384" s="521">
        <v>666</v>
      </c>
      <c r="M384" s="521">
        <v>666</v>
      </c>
      <c r="N384" s="490">
        <v>0</v>
      </c>
      <c r="O384" s="490">
        <v>0</v>
      </c>
      <c r="P384" s="466">
        <v>25</v>
      </c>
      <c r="Q384" s="468">
        <v>32</v>
      </c>
      <c r="R384" s="466">
        <v>92</v>
      </c>
      <c r="S384" s="468">
        <v>118</v>
      </c>
      <c r="T384" s="466">
        <v>730</v>
      </c>
      <c r="U384" s="468">
        <v>860</v>
      </c>
      <c r="V384" s="468">
        <v>0.8</v>
      </c>
      <c r="W384" s="466">
        <v>900</v>
      </c>
      <c r="X384" s="468">
        <v>1000</v>
      </c>
      <c r="Y384" s="466">
        <v>140</v>
      </c>
      <c r="AA384" s="466">
        <v>2.2999999999999998</v>
      </c>
      <c r="AB384" s="466">
        <v>0.4</v>
      </c>
      <c r="AC384" s="466">
        <v>3.3</v>
      </c>
      <c r="AD384" s="466">
        <v>0.6</v>
      </c>
      <c r="AE384" s="466">
        <v>0.32</v>
      </c>
      <c r="AF384" s="468">
        <v>0.35</v>
      </c>
      <c r="AG384" s="466">
        <v>0.41</v>
      </c>
      <c r="AH384" s="468">
        <v>0.45</v>
      </c>
      <c r="AI384" s="466">
        <v>0.67</v>
      </c>
      <c r="AJ384" s="466">
        <v>-8</v>
      </c>
      <c r="AK384" s="466">
        <v>2.2999999999999998</v>
      </c>
      <c r="AL384" s="490">
        <v>20.5</v>
      </c>
      <c r="AM384" s="703">
        <f>'COOLING-TARGET'!E$64</f>
        <v>15.1086005</v>
      </c>
    </row>
    <row r="385" spans="1:39" ht="25" customHeight="1" outlineLevel="1">
      <c r="A385" s="476" t="s">
        <v>189</v>
      </c>
      <c r="B385" s="466">
        <v>135</v>
      </c>
      <c r="C385" s="466">
        <v>-29</v>
      </c>
      <c r="D385" s="466">
        <v>-31</v>
      </c>
      <c r="E385" s="466">
        <v>30</v>
      </c>
      <c r="F385" s="466">
        <v>23</v>
      </c>
      <c r="G385" s="468">
        <v>34</v>
      </c>
      <c r="H385" s="468">
        <v>26</v>
      </c>
      <c r="I385" s="466">
        <v>4980</v>
      </c>
      <c r="J385" s="466">
        <v>4090</v>
      </c>
      <c r="K385" s="472">
        <f t="shared" si="5"/>
        <v>4480</v>
      </c>
      <c r="L385" s="484">
        <v>298.3</v>
      </c>
      <c r="M385" s="521">
        <v>666</v>
      </c>
      <c r="N385" s="490">
        <v>0</v>
      </c>
      <c r="O385" s="490">
        <v>0</v>
      </c>
      <c r="P385" s="466">
        <v>23</v>
      </c>
      <c r="Q385" s="468">
        <v>30</v>
      </c>
      <c r="R385" s="466">
        <v>92</v>
      </c>
      <c r="S385" s="468">
        <v>118</v>
      </c>
      <c r="T385" s="466">
        <v>640</v>
      </c>
      <c r="U385" s="468">
        <v>770</v>
      </c>
      <c r="V385" s="468">
        <v>0.8</v>
      </c>
      <c r="W385" s="466">
        <v>825</v>
      </c>
      <c r="X385" s="468">
        <v>920</v>
      </c>
      <c r="Y385" s="466">
        <v>100</v>
      </c>
      <c r="AA385" s="466">
        <v>2.6</v>
      </c>
      <c r="AB385" s="466">
        <v>0.4</v>
      </c>
      <c r="AC385" s="466">
        <v>3.6</v>
      </c>
      <c r="AD385" s="466">
        <v>0.6</v>
      </c>
      <c r="AE385" s="466">
        <v>0.27</v>
      </c>
      <c r="AF385" s="468">
        <v>0.3</v>
      </c>
      <c r="AG385" s="466">
        <v>0.35</v>
      </c>
      <c r="AH385" s="468">
        <v>0.39</v>
      </c>
      <c r="AI385" s="466">
        <v>0.57999999999999996</v>
      </c>
      <c r="AJ385" s="466">
        <v>-9</v>
      </c>
      <c r="AK385" s="466">
        <v>2.7</v>
      </c>
      <c r="AL385" s="490">
        <v>20.5</v>
      </c>
      <c r="AM385" s="703">
        <f>'COOLING-TARGET'!E$64</f>
        <v>15.1086005</v>
      </c>
    </row>
    <row r="386" spans="1:39" ht="25" customHeight="1" outlineLevel="1">
      <c r="A386" s="476" t="s">
        <v>190</v>
      </c>
      <c r="B386" s="466">
        <v>200</v>
      </c>
      <c r="C386" s="466">
        <v>-23</v>
      </c>
      <c r="D386" s="466">
        <v>-25</v>
      </c>
      <c r="E386" s="466">
        <v>30</v>
      </c>
      <c r="F386" s="466">
        <v>23</v>
      </c>
      <c r="G386" s="468">
        <v>34</v>
      </c>
      <c r="H386" s="468">
        <v>26</v>
      </c>
      <c r="I386" s="466">
        <v>4400</v>
      </c>
      <c r="J386" s="466">
        <v>3560</v>
      </c>
      <c r="K386" s="472">
        <f t="shared" si="5"/>
        <v>3900</v>
      </c>
      <c r="L386" s="484">
        <v>330.2</v>
      </c>
      <c r="M386" s="521">
        <v>666</v>
      </c>
      <c r="N386" s="490">
        <v>0</v>
      </c>
      <c r="O386" s="490">
        <v>0</v>
      </c>
      <c r="P386" s="466">
        <v>25</v>
      </c>
      <c r="Q386" s="468">
        <v>32</v>
      </c>
      <c r="R386" s="466">
        <v>92</v>
      </c>
      <c r="S386" s="468">
        <v>118</v>
      </c>
      <c r="T386" s="466">
        <v>710</v>
      </c>
      <c r="U386" s="468">
        <v>820</v>
      </c>
      <c r="V386" s="468">
        <v>0.8</v>
      </c>
      <c r="W386" s="466">
        <v>840</v>
      </c>
      <c r="X386" s="468">
        <v>910</v>
      </c>
      <c r="Y386" s="466">
        <v>140</v>
      </c>
      <c r="Z386" s="468">
        <v>150</v>
      </c>
      <c r="AA386" s="466">
        <v>2</v>
      </c>
      <c r="AB386" s="466">
        <v>0.4</v>
      </c>
      <c r="AC386" s="466">
        <v>2.9</v>
      </c>
      <c r="AD386" s="466">
        <v>0.6</v>
      </c>
      <c r="AE386" s="466">
        <v>0.32</v>
      </c>
      <c r="AF386" s="468">
        <v>0.35</v>
      </c>
      <c r="AG386" s="466">
        <v>0.41</v>
      </c>
      <c r="AH386" s="468">
        <v>0.45</v>
      </c>
      <c r="AI386" s="466">
        <v>0.67</v>
      </c>
      <c r="AJ386" s="466">
        <v>-7</v>
      </c>
      <c r="AK386" s="466">
        <v>2.8</v>
      </c>
      <c r="AL386" s="490">
        <v>20.5</v>
      </c>
      <c r="AM386" s="703">
        <f>'COOLING-TARGET'!E$64</f>
        <v>15.1086005</v>
      </c>
    </row>
    <row r="387" spans="1:39" ht="25" customHeight="1" outlineLevel="1">
      <c r="A387" s="476" t="s">
        <v>191</v>
      </c>
      <c r="B387" s="466">
        <v>195</v>
      </c>
      <c r="C387" s="466">
        <v>-16</v>
      </c>
      <c r="D387" s="466">
        <v>-18</v>
      </c>
      <c r="E387" s="466">
        <v>31</v>
      </c>
      <c r="F387" s="466">
        <v>24</v>
      </c>
      <c r="G387" s="468">
        <v>34</v>
      </c>
      <c r="H387" s="468">
        <v>27</v>
      </c>
      <c r="I387" s="466">
        <v>3640</v>
      </c>
      <c r="J387" s="466">
        <v>2870</v>
      </c>
      <c r="K387" s="472">
        <f t="shared" si="5"/>
        <v>3140</v>
      </c>
      <c r="L387" s="521">
        <v>666</v>
      </c>
      <c r="M387" s="521">
        <v>666</v>
      </c>
      <c r="N387" s="490">
        <v>0</v>
      </c>
      <c r="O387" s="490">
        <v>0</v>
      </c>
      <c r="P387" s="466">
        <v>25</v>
      </c>
      <c r="Q387" s="468">
        <v>32</v>
      </c>
      <c r="R387" s="466">
        <v>108</v>
      </c>
      <c r="S387" s="468">
        <v>137</v>
      </c>
      <c r="T387" s="466">
        <v>810</v>
      </c>
      <c r="U387" s="468">
        <v>930</v>
      </c>
      <c r="V387" s="468">
        <v>0.9</v>
      </c>
      <c r="W387" s="466">
        <v>920</v>
      </c>
      <c r="X387" s="468">
        <v>1010</v>
      </c>
      <c r="Y387" s="466">
        <v>180</v>
      </c>
      <c r="Z387" s="468">
        <v>200</v>
      </c>
      <c r="AA387" s="466">
        <v>1.3</v>
      </c>
      <c r="AB387" s="466">
        <v>0.4</v>
      </c>
      <c r="AC387" s="466">
        <v>1.9</v>
      </c>
      <c r="AD387" s="466">
        <v>0.6</v>
      </c>
      <c r="AE387" s="466">
        <v>0.37</v>
      </c>
      <c r="AF387" s="468">
        <v>0.41</v>
      </c>
      <c r="AG387" s="466">
        <v>0.47</v>
      </c>
      <c r="AH387" s="468">
        <v>0.52</v>
      </c>
      <c r="AI387" s="466">
        <v>0.76</v>
      </c>
      <c r="AJ387" s="466">
        <v>-6</v>
      </c>
      <c r="AK387" s="466">
        <v>4.2</v>
      </c>
      <c r="AL387" s="490">
        <v>20.5</v>
      </c>
      <c r="AM387" s="703">
        <f>'COOLING-TARGET'!E$64</f>
        <v>15.1086005</v>
      </c>
    </row>
    <row r="388" spans="1:39" ht="25" customHeight="1" outlineLevel="1">
      <c r="A388" s="476" t="s">
        <v>1154</v>
      </c>
      <c r="B388" s="466">
        <v>85</v>
      </c>
      <c r="C388" s="466">
        <v>-19</v>
      </c>
      <c r="D388" s="466">
        <v>-21</v>
      </c>
      <c r="E388" s="466">
        <v>30</v>
      </c>
      <c r="F388" s="466">
        <v>23</v>
      </c>
      <c r="G388" s="468">
        <v>34</v>
      </c>
      <c r="H388" s="468">
        <v>26</v>
      </c>
      <c r="I388" s="466">
        <v>3800</v>
      </c>
      <c r="J388" s="466">
        <v>3010</v>
      </c>
      <c r="K388" s="472">
        <f t="shared" si="5"/>
        <v>3300</v>
      </c>
      <c r="L388" s="521">
        <v>666</v>
      </c>
      <c r="M388" s="521">
        <v>666</v>
      </c>
      <c r="N388" s="490">
        <v>0</v>
      </c>
      <c r="O388" s="490">
        <v>0</v>
      </c>
      <c r="P388" s="466">
        <v>23</v>
      </c>
      <c r="Q388" s="468">
        <v>29</v>
      </c>
      <c r="R388" s="466">
        <v>92</v>
      </c>
      <c r="S388" s="468">
        <v>118</v>
      </c>
      <c r="T388" s="466">
        <v>730</v>
      </c>
      <c r="U388" s="468">
        <v>840</v>
      </c>
      <c r="V388" s="468">
        <v>0.9</v>
      </c>
      <c r="W388" s="466">
        <v>825</v>
      </c>
      <c r="X388" s="468">
        <v>900</v>
      </c>
      <c r="Y388" s="466">
        <v>140</v>
      </c>
      <c r="Z388" s="468">
        <v>150</v>
      </c>
      <c r="AA388" s="466">
        <v>1</v>
      </c>
      <c r="AB388" s="466">
        <v>0.4</v>
      </c>
      <c r="AC388" s="466">
        <v>1.5</v>
      </c>
      <c r="AD388" s="466">
        <v>0.6</v>
      </c>
      <c r="AE388" s="466">
        <v>0.37</v>
      </c>
      <c r="AF388" s="468">
        <v>0.41</v>
      </c>
      <c r="AG388" s="466">
        <v>0.48</v>
      </c>
      <c r="AH388" s="468">
        <v>0.53</v>
      </c>
      <c r="AI388" s="466">
        <v>0.8</v>
      </c>
      <c r="AJ388" s="466">
        <v>-6</v>
      </c>
      <c r="AK388" s="466">
        <v>4</v>
      </c>
      <c r="AL388" s="490">
        <v>20.5</v>
      </c>
      <c r="AM388" s="703">
        <f>'COOLING-TARGET'!E$64</f>
        <v>15.1086005</v>
      </c>
    </row>
    <row r="389" spans="1:39" ht="25" customHeight="1" outlineLevel="1">
      <c r="A389" s="476" t="s">
        <v>192</v>
      </c>
      <c r="B389" s="466">
        <v>95</v>
      </c>
      <c r="C389" s="466">
        <v>-21</v>
      </c>
      <c r="D389" s="466">
        <v>-23</v>
      </c>
      <c r="E389" s="466">
        <v>29</v>
      </c>
      <c r="F389" s="466">
        <v>23</v>
      </c>
      <c r="G389" s="468">
        <v>33</v>
      </c>
      <c r="H389" s="468">
        <v>26</v>
      </c>
      <c r="I389" s="466">
        <v>3980</v>
      </c>
      <c r="J389" s="466">
        <v>3180</v>
      </c>
      <c r="K389" s="472">
        <f t="shared" ref="K389:K451" si="6">I389-500</f>
        <v>3480</v>
      </c>
      <c r="L389" s="521">
        <v>666</v>
      </c>
      <c r="M389" s="521">
        <v>666</v>
      </c>
      <c r="N389" s="490">
        <v>0</v>
      </c>
      <c r="O389" s="490">
        <v>0</v>
      </c>
      <c r="P389" s="466">
        <v>23</v>
      </c>
      <c r="Q389" s="468">
        <v>29</v>
      </c>
      <c r="R389" s="466">
        <v>92</v>
      </c>
      <c r="S389" s="468">
        <v>117</v>
      </c>
      <c r="T389" s="466">
        <v>770</v>
      </c>
      <c r="U389" s="468">
        <v>890</v>
      </c>
      <c r="V389" s="468">
        <v>0.9</v>
      </c>
      <c r="W389" s="466">
        <v>940</v>
      </c>
      <c r="X389" s="468">
        <v>1020</v>
      </c>
      <c r="Y389" s="466">
        <v>160</v>
      </c>
      <c r="Z389" s="468">
        <v>170</v>
      </c>
      <c r="AA389" s="466">
        <v>2</v>
      </c>
      <c r="AB389" s="466">
        <v>0.4</v>
      </c>
      <c r="AC389" s="466">
        <v>2.9</v>
      </c>
      <c r="AD389" s="466">
        <v>0.6</v>
      </c>
      <c r="AE389" s="466">
        <v>0.38</v>
      </c>
      <c r="AF389" s="468">
        <v>0.42</v>
      </c>
      <c r="AG389" s="466">
        <v>0.49</v>
      </c>
      <c r="AH389" s="468">
        <v>0.54</v>
      </c>
      <c r="AI389" s="466">
        <v>0.81</v>
      </c>
      <c r="AJ389" s="466">
        <v>-6</v>
      </c>
      <c r="AK389" s="466">
        <v>4.5</v>
      </c>
      <c r="AL389" s="490">
        <v>20.5</v>
      </c>
      <c r="AM389" s="703">
        <f>'COOLING-TARGET'!E$64</f>
        <v>15.1086005</v>
      </c>
    </row>
    <row r="390" spans="1:39" ht="25" customHeight="1" outlineLevel="1">
      <c r="A390" s="476" t="s">
        <v>193</v>
      </c>
      <c r="B390" s="466">
        <v>300</v>
      </c>
      <c r="C390" s="466">
        <v>-19</v>
      </c>
      <c r="D390" s="466">
        <v>-21</v>
      </c>
      <c r="E390" s="466">
        <v>29</v>
      </c>
      <c r="F390" s="466">
        <v>23</v>
      </c>
      <c r="G390" s="468">
        <v>33</v>
      </c>
      <c r="H390" s="468">
        <v>26</v>
      </c>
      <c r="I390" s="466">
        <v>4150</v>
      </c>
      <c r="J390" s="466">
        <v>3330</v>
      </c>
      <c r="K390" s="472">
        <f t="shared" si="6"/>
        <v>3650</v>
      </c>
      <c r="L390" s="521">
        <v>666</v>
      </c>
      <c r="M390" s="521">
        <v>666</v>
      </c>
      <c r="N390" s="490">
        <v>0</v>
      </c>
      <c r="O390" s="490">
        <v>0</v>
      </c>
      <c r="P390" s="466">
        <v>28</v>
      </c>
      <c r="Q390" s="468">
        <v>36</v>
      </c>
      <c r="R390" s="466">
        <v>103</v>
      </c>
      <c r="S390" s="468">
        <v>132</v>
      </c>
      <c r="T390" s="466">
        <v>820</v>
      </c>
      <c r="U390" s="468">
        <v>940</v>
      </c>
      <c r="V390" s="468">
        <v>0.9</v>
      </c>
      <c r="W390" s="466">
        <v>950</v>
      </c>
      <c r="X390" s="468">
        <v>1030</v>
      </c>
      <c r="Y390" s="466">
        <v>140</v>
      </c>
      <c r="Z390" s="468">
        <v>150</v>
      </c>
      <c r="AA390" s="466">
        <v>1.9</v>
      </c>
      <c r="AB390" s="466">
        <v>0.4</v>
      </c>
      <c r="AC390" s="466">
        <v>2.8</v>
      </c>
      <c r="AD390" s="466">
        <v>0.6</v>
      </c>
      <c r="AE390" s="466">
        <v>0.33</v>
      </c>
      <c r="AF390" s="468">
        <v>0.36</v>
      </c>
      <c r="AG390" s="466">
        <v>0.42</v>
      </c>
      <c r="AH390" s="468">
        <v>0.46</v>
      </c>
      <c r="AI390" s="466">
        <v>0.68</v>
      </c>
      <c r="AJ390" s="466">
        <v>-6</v>
      </c>
      <c r="AK390" s="466">
        <v>4.2</v>
      </c>
      <c r="AL390" s="490">
        <v>20.5</v>
      </c>
      <c r="AM390" s="703">
        <f>'COOLING-TARGET'!E$64</f>
        <v>15.1086005</v>
      </c>
    </row>
    <row r="391" spans="1:39" ht="25" customHeight="1" outlineLevel="1">
      <c r="A391" s="476" t="s">
        <v>194</v>
      </c>
      <c r="B391" s="466">
        <v>150</v>
      </c>
      <c r="C391" s="466">
        <v>-29</v>
      </c>
      <c r="D391" s="466">
        <v>-32</v>
      </c>
      <c r="E391" s="466">
        <v>30</v>
      </c>
      <c r="F391" s="466">
        <v>22</v>
      </c>
      <c r="G391" s="468">
        <v>34</v>
      </c>
      <c r="H391" s="468">
        <v>25</v>
      </c>
      <c r="I391" s="466">
        <v>4960</v>
      </c>
      <c r="J391" s="466">
        <v>4040</v>
      </c>
      <c r="K391" s="472">
        <f t="shared" si="6"/>
        <v>4460</v>
      </c>
      <c r="L391" s="521">
        <v>666</v>
      </c>
      <c r="M391" s="521">
        <v>666</v>
      </c>
      <c r="N391" s="490">
        <v>0</v>
      </c>
      <c r="O391" s="490">
        <v>0</v>
      </c>
      <c r="P391" s="466">
        <v>23</v>
      </c>
      <c r="Q391" s="468">
        <v>30</v>
      </c>
      <c r="R391" s="466">
        <v>92</v>
      </c>
      <c r="S391" s="468">
        <v>118</v>
      </c>
      <c r="T391" s="466">
        <v>650</v>
      </c>
      <c r="U391" s="468">
        <v>780</v>
      </c>
      <c r="V391" s="468">
        <v>0.8</v>
      </c>
      <c r="W391" s="466">
        <v>850</v>
      </c>
      <c r="X391" s="468">
        <v>950</v>
      </c>
      <c r="Y391" s="466">
        <v>100</v>
      </c>
      <c r="Z391" s="468">
        <v>110</v>
      </c>
      <c r="AA391" s="466">
        <v>2.5</v>
      </c>
      <c r="AB391" s="466">
        <v>0.4</v>
      </c>
      <c r="AC391" s="466">
        <v>3.5</v>
      </c>
      <c r="AD391" s="466">
        <v>0.6</v>
      </c>
      <c r="AE391" s="466">
        <v>0.27</v>
      </c>
      <c r="AF391" s="468">
        <v>0.3</v>
      </c>
      <c r="AG391" s="466">
        <v>0.35</v>
      </c>
      <c r="AH391" s="468">
        <v>0.39</v>
      </c>
      <c r="AI391" s="466">
        <v>0.57999999999999996</v>
      </c>
      <c r="AJ391" s="466">
        <v>-9</v>
      </c>
      <c r="AK391" s="466">
        <v>3.2</v>
      </c>
      <c r="AL391" s="490">
        <v>20.5</v>
      </c>
      <c r="AM391" s="703">
        <f>'COOLING-TARGET'!E$64</f>
        <v>15.1086005</v>
      </c>
    </row>
    <row r="392" spans="1:39" ht="25" customHeight="1" outlineLevel="1">
      <c r="A392" s="476" t="s">
        <v>195</v>
      </c>
      <c r="B392" s="466">
        <v>195</v>
      </c>
      <c r="C392" s="466">
        <v>-15</v>
      </c>
      <c r="D392" s="466">
        <v>-17</v>
      </c>
      <c r="E392" s="466">
        <v>30</v>
      </c>
      <c r="F392" s="466">
        <v>24</v>
      </c>
      <c r="G392" s="468">
        <v>34</v>
      </c>
      <c r="H392" s="468">
        <v>27</v>
      </c>
      <c r="I392" s="466">
        <v>3800</v>
      </c>
      <c r="J392" s="466">
        <v>3010</v>
      </c>
      <c r="K392" s="472">
        <f t="shared" si="6"/>
        <v>3300</v>
      </c>
      <c r="L392" s="521">
        <v>666</v>
      </c>
      <c r="M392" s="521">
        <v>666</v>
      </c>
      <c r="N392" s="490">
        <v>0</v>
      </c>
      <c r="O392" s="490">
        <v>0</v>
      </c>
      <c r="P392" s="466">
        <v>25</v>
      </c>
      <c r="Q392" s="468">
        <v>32</v>
      </c>
      <c r="R392" s="466">
        <v>92</v>
      </c>
      <c r="S392" s="468">
        <v>117</v>
      </c>
      <c r="T392" s="466">
        <v>930</v>
      </c>
      <c r="U392" s="468">
        <v>1060</v>
      </c>
      <c r="V392" s="468">
        <v>1.1000000000000001</v>
      </c>
      <c r="W392" s="466">
        <v>1000</v>
      </c>
      <c r="X392" s="468">
        <v>1090</v>
      </c>
      <c r="Y392" s="466">
        <v>180</v>
      </c>
      <c r="Z392" s="468">
        <v>190</v>
      </c>
      <c r="AA392" s="466">
        <v>1.2</v>
      </c>
      <c r="AB392" s="466">
        <v>0.4</v>
      </c>
      <c r="AC392" s="466">
        <v>1.7</v>
      </c>
      <c r="AD392" s="466">
        <v>0.6</v>
      </c>
      <c r="AE392" s="466">
        <v>0.37</v>
      </c>
      <c r="AF392" s="468">
        <v>0.41</v>
      </c>
      <c r="AG392" s="466">
        <v>0.47</v>
      </c>
      <c r="AH392" s="468">
        <v>0.52</v>
      </c>
      <c r="AI392" s="466">
        <v>0.76</v>
      </c>
      <c r="AJ392" s="466">
        <v>-5</v>
      </c>
      <c r="AK392" s="466">
        <v>5</v>
      </c>
      <c r="AL392" s="490">
        <v>20.5</v>
      </c>
      <c r="AM392" s="703">
        <f>'COOLING-TARGET'!E$64</f>
        <v>15.1086005</v>
      </c>
    </row>
    <row r="393" spans="1:39" ht="25" customHeight="1" outlineLevel="1">
      <c r="A393" s="476" t="s">
        <v>196</v>
      </c>
      <c r="B393" s="466">
        <v>180</v>
      </c>
      <c r="C393" s="466">
        <v>-15</v>
      </c>
      <c r="D393" s="466">
        <v>-17</v>
      </c>
      <c r="E393" s="466">
        <v>30</v>
      </c>
      <c r="F393" s="466">
        <v>24</v>
      </c>
      <c r="G393" s="468">
        <v>34</v>
      </c>
      <c r="H393" s="468">
        <v>27</v>
      </c>
      <c r="I393" s="466">
        <v>3600</v>
      </c>
      <c r="J393" s="466">
        <v>2830</v>
      </c>
      <c r="K393" s="472">
        <f t="shared" si="6"/>
        <v>3100</v>
      </c>
      <c r="L393" s="521">
        <v>666</v>
      </c>
      <c r="M393" s="521">
        <v>666</v>
      </c>
      <c r="N393" s="490">
        <v>0</v>
      </c>
      <c r="O393" s="490">
        <v>0</v>
      </c>
      <c r="P393" s="466">
        <v>23</v>
      </c>
      <c r="Q393" s="468">
        <v>29</v>
      </c>
      <c r="R393" s="466">
        <v>108</v>
      </c>
      <c r="S393" s="468">
        <v>137</v>
      </c>
      <c r="T393" s="466">
        <v>850</v>
      </c>
      <c r="U393" s="468">
        <v>990</v>
      </c>
      <c r="V393" s="468">
        <v>1</v>
      </c>
      <c r="W393" s="466">
        <v>1000</v>
      </c>
      <c r="X393" s="468">
        <v>1100</v>
      </c>
      <c r="Y393" s="466">
        <v>160</v>
      </c>
      <c r="Z393" s="468">
        <v>170</v>
      </c>
      <c r="AA393" s="466">
        <v>2.1</v>
      </c>
      <c r="AB393" s="466">
        <v>0.4</v>
      </c>
      <c r="AC393" s="466">
        <v>3.1</v>
      </c>
      <c r="AD393" s="466">
        <v>0.6</v>
      </c>
      <c r="AE393" s="466">
        <v>0.36</v>
      </c>
      <c r="AF393" s="468">
        <v>0.4</v>
      </c>
      <c r="AG393" s="466">
        <v>0.46</v>
      </c>
      <c r="AH393" s="468">
        <v>0.51</v>
      </c>
      <c r="AI393" s="466">
        <v>0.75</v>
      </c>
      <c r="AJ393" s="466">
        <v>-5</v>
      </c>
      <c r="AK393" s="466">
        <v>5</v>
      </c>
      <c r="AL393" s="490">
        <v>20.5</v>
      </c>
      <c r="AM393" s="703">
        <f>'COOLING-TARGET'!E$64</f>
        <v>15.1086005</v>
      </c>
    </row>
    <row r="394" spans="1:39" ht="25" customHeight="1" outlineLevel="1">
      <c r="A394" s="476" t="s">
        <v>197</v>
      </c>
      <c r="B394" s="466">
        <v>205</v>
      </c>
      <c r="C394" s="466">
        <v>-17</v>
      </c>
      <c r="D394" s="466">
        <v>-19</v>
      </c>
      <c r="E394" s="466">
        <v>28</v>
      </c>
      <c r="F394" s="466">
        <v>22</v>
      </c>
      <c r="G394" s="468">
        <v>32</v>
      </c>
      <c r="H394" s="468">
        <v>25</v>
      </c>
      <c r="I394" s="466">
        <v>4100</v>
      </c>
      <c r="J394" s="466">
        <v>3290</v>
      </c>
      <c r="K394" s="472">
        <f t="shared" si="6"/>
        <v>3600</v>
      </c>
      <c r="L394" s="521">
        <v>666</v>
      </c>
      <c r="M394" s="521">
        <v>666</v>
      </c>
      <c r="N394" s="490">
        <v>0</v>
      </c>
      <c r="O394" s="490">
        <v>0</v>
      </c>
      <c r="P394" s="466">
        <v>25</v>
      </c>
      <c r="Q394" s="468">
        <v>32</v>
      </c>
      <c r="R394" s="466">
        <v>92</v>
      </c>
      <c r="S394" s="468">
        <v>118</v>
      </c>
      <c r="T394" s="466">
        <v>790</v>
      </c>
      <c r="U394" s="468">
        <v>920</v>
      </c>
      <c r="V394" s="468">
        <v>0.9</v>
      </c>
      <c r="W394" s="466">
        <v>850</v>
      </c>
      <c r="X394" s="468">
        <v>920</v>
      </c>
      <c r="Y394" s="466">
        <v>180</v>
      </c>
      <c r="Z394" s="468">
        <v>190</v>
      </c>
      <c r="AA394" s="466">
        <v>2.8</v>
      </c>
      <c r="AB394" s="466">
        <v>0.4</v>
      </c>
      <c r="AC394" s="466">
        <v>4</v>
      </c>
      <c r="AD394" s="466">
        <v>0.6</v>
      </c>
      <c r="AE394" s="466">
        <v>0.37</v>
      </c>
      <c r="AF394" s="468">
        <v>0.41</v>
      </c>
      <c r="AG394" s="466">
        <v>0.48</v>
      </c>
      <c r="AH394" s="468">
        <v>0.53</v>
      </c>
      <c r="AI394" s="466">
        <v>0.8</v>
      </c>
      <c r="AJ394" s="466">
        <v>-6</v>
      </c>
      <c r="AK394" s="466">
        <v>5.3</v>
      </c>
      <c r="AL394" s="490">
        <v>20.5</v>
      </c>
      <c r="AM394" s="703">
        <f>'COOLING-TARGET'!E$64</f>
        <v>15.1086005</v>
      </c>
    </row>
    <row r="395" spans="1:39" ht="25" customHeight="1" outlineLevel="1">
      <c r="A395" s="476" t="s">
        <v>198</v>
      </c>
      <c r="B395" s="466">
        <v>100</v>
      </c>
      <c r="C395" s="466">
        <v>-21</v>
      </c>
      <c r="D395" s="466">
        <v>-23</v>
      </c>
      <c r="E395" s="466">
        <v>29</v>
      </c>
      <c r="F395" s="466">
        <v>23</v>
      </c>
      <c r="G395" s="468">
        <v>33</v>
      </c>
      <c r="H395" s="468">
        <v>26</v>
      </c>
      <c r="I395" s="466">
        <v>3970</v>
      </c>
      <c r="J395" s="466">
        <v>3170</v>
      </c>
      <c r="K395" s="472">
        <f t="shared" si="6"/>
        <v>3470</v>
      </c>
      <c r="L395" s="521">
        <v>666</v>
      </c>
      <c r="M395" s="521">
        <v>666</v>
      </c>
      <c r="N395" s="490">
        <v>0</v>
      </c>
      <c r="O395" s="490">
        <v>0</v>
      </c>
      <c r="P395" s="466">
        <v>23</v>
      </c>
      <c r="Q395" s="468">
        <v>30</v>
      </c>
      <c r="R395" s="466">
        <v>94</v>
      </c>
      <c r="S395" s="468">
        <v>121</v>
      </c>
      <c r="T395" s="466">
        <v>760</v>
      </c>
      <c r="U395" s="468">
        <v>880</v>
      </c>
      <c r="V395" s="468">
        <v>0.9</v>
      </c>
      <c r="W395" s="466">
        <v>825</v>
      </c>
      <c r="X395" s="468">
        <v>900</v>
      </c>
      <c r="Y395" s="466">
        <v>180</v>
      </c>
      <c r="Z395" s="468">
        <v>190</v>
      </c>
      <c r="AA395" s="466">
        <v>1.2</v>
      </c>
      <c r="AB395" s="466">
        <v>0.4</v>
      </c>
      <c r="AC395" s="466">
        <v>1.7</v>
      </c>
      <c r="AD395" s="466">
        <v>0.6</v>
      </c>
      <c r="AE395" s="466">
        <v>0.37</v>
      </c>
      <c r="AF395" s="468">
        <v>0.41</v>
      </c>
      <c r="AG395" s="466">
        <v>0.48</v>
      </c>
      <c r="AH395" s="468">
        <v>0.53</v>
      </c>
      <c r="AI395" s="466">
        <v>0.8</v>
      </c>
      <c r="AJ395" s="466">
        <v>-6</v>
      </c>
      <c r="AK395" s="466">
        <v>4</v>
      </c>
      <c r="AL395" s="490">
        <v>20.5</v>
      </c>
      <c r="AM395" s="703">
        <f>'COOLING-TARGET'!E$64</f>
        <v>15.1086005</v>
      </c>
    </row>
    <row r="396" spans="1:39" ht="25" customHeight="1" outlineLevel="1">
      <c r="A396" s="476" t="s">
        <v>199</v>
      </c>
      <c r="B396" s="466">
        <v>270</v>
      </c>
      <c r="C396" s="466">
        <v>-22</v>
      </c>
      <c r="D396" s="466">
        <v>-24</v>
      </c>
      <c r="E396" s="466">
        <v>30</v>
      </c>
      <c r="F396" s="466">
        <v>23</v>
      </c>
      <c r="G396" s="468">
        <v>34</v>
      </c>
      <c r="H396" s="468">
        <v>26</v>
      </c>
      <c r="I396" s="466">
        <v>4260</v>
      </c>
      <c r="J396" s="466">
        <v>3430</v>
      </c>
      <c r="K396" s="472">
        <f t="shared" si="6"/>
        <v>3760</v>
      </c>
      <c r="L396" s="521">
        <v>666</v>
      </c>
      <c r="M396" s="521">
        <v>666</v>
      </c>
      <c r="N396" s="490">
        <v>0</v>
      </c>
      <c r="O396" s="490">
        <v>0</v>
      </c>
      <c r="P396" s="466">
        <v>25</v>
      </c>
      <c r="Q396" s="468">
        <v>32</v>
      </c>
      <c r="R396" s="466">
        <v>97</v>
      </c>
      <c r="S396" s="468">
        <v>125</v>
      </c>
      <c r="T396" s="466">
        <v>720</v>
      </c>
      <c r="U396" s="468">
        <v>830</v>
      </c>
      <c r="V396" s="468">
        <v>0.8</v>
      </c>
      <c r="W396" s="466">
        <v>850</v>
      </c>
      <c r="X396" s="468">
        <v>930</v>
      </c>
      <c r="Y396" s="466">
        <v>140</v>
      </c>
      <c r="Z396" s="468">
        <v>150</v>
      </c>
      <c r="AA396" s="466">
        <v>2.4</v>
      </c>
      <c r="AB396" s="466">
        <v>0.4</v>
      </c>
      <c r="AC396" s="466">
        <v>3.5</v>
      </c>
      <c r="AD396" s="466">
        <v>0.6</v>
      </c>
      <c r="AE396" s="466">
        <v>0.34</v>
      </c>
      <c r="AF396" s="468">
        <v>0.37</v>
      </c>
      <c r="AG396" s="466">
        <v>0.44</v>
      </c>
      <c r="AH396" s="468">
        <v>0.48</v>
      </c>
      <c r="AI396" s="466">
        <v>0.73</v>
      </c>
      <c r="AJ396" s="466">
        <v>-7</v>
      </c>
      <c r="AK396" s="466">
        <v>3.4</v>
      </c>
      <c r="AL396" s="490">
        <v>20.5</v>
      </c>
      <c r="AM396" s="703">
        <f>'COOLING-TARGET'!E$64</f>
        <v>15.1086005</v>
      </c>
    </row>
    <row r="397" spans="1:39" ht="25" customHeight="1" outlineLevel="1">
      <c r="A397" s="476" t="s">
        <v>200</v>
      </c>
      <c r="B397" s="466">
        <v>180</v>
      </c>
      <c r="C397" s="466">
        <v>-15</v>
      </c>
      <c r="D397" s="466">
        <v>-17</v>
      </c>
      <c r="E397" s="466">
        <v>31</v>
      </c>
      <c r="F397" s="466">
        <v>24</v>
      </c>
      <c r="G397" s="468">
        <v>35</v>
      </c>
      <c r="H397" s="468">
        <v>27</v>
      </c>
      <c r="I397" s="466">
        <v>3850</v>
      </c>
      <c r="J397" s="466">
        <v>3060</v>
      </c>
      <c r="K397" s="472">
        <f t="shared" si="6"/>
        <v>3350</v>
      </c>
      <c r="L397" s="521">
        <v>666</v>
      </c>
      <c r="M397" s="521">
        <v>666</v>
      </c>
      <c r="N397" s="490">
        <v>0</v>
      </c>
      <c r="O397" s="490">
        <v>0</v>
      </c>
      <c r="P397" s="466">
        <v>25</v>
      </c>
      <c r="Q397" s="468">
        <v>32</v>
      </c>
      <c r="R397" s="466">
        <v>92</v>
      </c>
      <c r="S397" s="468">
        <v>117</v>
      </c>
      <c r="T397" s="466">
        <v>940</v>
      </c>
      <c r="U397" s="468">
        <v>1070</v>
      </c>
      <c r="V397" s="468">
        <v>1.1000000000000001</v>
      </c>
      <c r="W397" s="466">
        <v>975</v>
      </c>
      <c r="X397" s="468">
        <v>1060</v>
      </c>
      <c r="Y397" s="466">
        <v>180</v>
      </c>
      <c r="Z397" s="468">
        <v>190</v>
      </c>
      <c r="AA397" s="466">
        <v>1.2</v>
      </c>
      <c r="AB397" s="466">
        <v>0.4</v>
      </c>
      <c r="AC397" s="466">
        <v>1.7</v>
      </c>
      <c r="AD397" s="466">
        <v>0.6</v>
      </c>
      <c r="AE397" s="466">
        <v>0.37</v>
      </c>
      <c r="AF397" s="468">
        <v>0.41</v>
      </c>
      <c r="AG397" s="466">
        <v>0.47</v>
      </c>
      <c r="AH397" s="468">
        <v>0.52</v>
      </c>
      <c r="AI397" s="466">
        <v>0.76</v>
      </c>
      <c r="AJ397" s="466">
        <v>-5</v>
      </c>
      <c r="AK397" s="466">
        <v>5</v>
      </c>
      <c r="AL397" s="490">
        <v>20.5</v>
      </c>
      <c r="AM397" s="703">
        <f>'COOLING-TARGET'!E$64</f>
        <v>15.1086005</v>
      </c>
    </row>
    <row r="398" spans="1:39" ht="25" customHeight="1" outlineLevel="1">
      <c r="A398" s="476" t="s">
        <v>201</v>
      </c>
      <c r="B398" s="466">
        <v>90</v>
      </c>
      <c r="C398" s="466">
        <v>-23</v>
      </c>
      <c r="D398" s="466">
        <v>-25</v>
      </c>
      <c r="E398" s="466">
        <v>29</v>
      </c>
      <c r="F398" s="466">
        <v>23</v>
      </c>
      <c r="G398" s="468">
        <v>33</v>
      </c>
      <c r="H398" s="468">
        <v>26</v>
      </c>
      <c r="I398" s="466">
        <v>4120</v>
      </c>
      <c r="J398" s="466">
        <v>3310</v>
      </c>
      <c r="K398" s="472">
        <f t="shared" si="6"/>
        <v>3620</v>
      </c>
      <c r="L398" s="521">
        <v>666</v>
      </c>
      <c r="M398" s="521">
        <v>666</v>
      </c>
      <c r="N398" s="490">
        <v>0</v>
      </c>
      <c r="O398" s="490">
        <v>0</v>
      </c>
      <c r="P398" s="466">
        <v>25</v>
      </c>
      <c r="Q398" s="468">
        <v>32</v>
      </c>
      <c r="R398" s="466">
        <v>103</v>
      </c>
      <c r="S398" s="468">
        <v>132</v>
      </c>
      <c r="T398" s="466">
        <v>770</v>
      </c>
      <c r="U398" s="468">
        <v>900</v>
      </c>
      <c r="V398" s="468">
        <v>1</v>
      </c>
      <c r="W398" s="466">
        <v>975</v>
      </c>
      <c r="X398" s="468">
        <v>1080</v>
      </c>
      <c r="Y398" s="466">
        <v>180</v>
      </c>
      <c r="AA398" s="466">
        <v>2.2000000000000002</v>
      </c>
      <c r="AB398" s="466">
        <v>0.4</v>
      </c>
      <c r="AC398" s="466">
        <v>3.1</v>
      </c>
      <c r="AD398" s="466">
        <v>0.6</v>
      </c>
      <c r="AE398" s="466">
        <v>0.34</v>
      </c>
      <c r="AF398" s="468">
        <v>0.37</v>
      </c>
      <c r="AG398" s="466">
        <v>0.44</v>
      </c>
      <c r="AH398" s="468">
        <v>0.48</v>
      </c>
      <c r="AI398" s="466">
        <v>0.73</v>
      </c>
      <c r="AJ398" s="466">
        <v>-8</v>
      </c>
      <c r="AK398" s="466">
        <v>3.2</v>
      </c>
      <c r="AL398" s="490">
        <v>20.5</v>
      </c>
      <c r="AM398" s="703">
        <f>'COOLING-TARGET'!E$64</f>
        <v>15.1086005</v>
      </c>
    </row>
    <row r="399" spans="1:39" ht="25" customHeight="1" outlineLevel="1">
      <c r="A399" s="476" t="s">
        <v>202</v>
      </c>
      <c r="B399" s="466">
        <v>280</v>
      </c>
      <c r="C399" s="466">
        <v>-18</v>
      </c>
      <c r="D399" s="466">
        <v>-20</v>
      </c>
      <c r="E399" s="466">
        <v>30</v>
      </c>
      <c r="F399" s="466">
        <v>23</v>
      </c>
      <c r="G399" s="468">
        <v>34</v>
      </c>
      <c r="H399" s="468">
        <v>26</v>
      </c>
      <c r="I399" s="466">
        <v>4000</v>
      </c>
      <c r="J399" s="466">
        <v>3200</v>
      </c>
      <c r="K399" s="472">
        <f t="shared" si="6"/>
        <v>3500</v>
      </c>
      <c r="L399" s="521">
        <v>666</v>
      </c>
      <c r="M399" s="521">
        <v>666</v>
      </c>
      <c r="N399" s="490">
        <v>0</v>
      </c>
      <c r="O399" s="490">
        <v>0</v>
      </c>
      <c r="P399" s="466">
        <v>25</v>
      </c>
      <c r="Q399" s="468">
        <v>32</v>
      </c>
      <c r="R399" s="466">
        <v>97</v>
      </c>
      <c r="S399" s="468">
        <v>124</v>
      </c>
      <c r="T399" s="466">
        <v>810</v>
      </c>
      <c r="U399" s="468">
        <v>930</v>
      </c>
      <c r="V399" s="468">
        <v>0.9</v>
      </c>
      <c r="W399" s="466">
        <v>925</v>
      </c>
      <c r="X399" s="468">
        <v>1010</v>
      </c>
      <c r="Y399" s="466">
        <v>160</v>
      </c>
      <c r="Z399" s="468">
        <v>170</v>
      </c>
      <c r="AA399" s="466">
        <v>1.5</v>
      </c>
      <c r="AB399" s="466">
        <v>0.4</v>
      </c>
      <c r="AC399" s="466">
        <v>2.2000000000000002</v>
      </c>
      <c r="AD399" s="466">
        <v>0.6</v>
      </c>
      <c r="AE399" s="466">
        <v>0.33</v>
      </c>
      <c r="AF399" s="468">
        <v>0.36</v>
      </c>
      <c r="AG399" s="466">
        <v>0.42</v>
      </c>
      <c r="AH399" s="468">
        <v>0.46</v>
      </c>
      <c r="AI399" s="466">
        <v>0.68</v>
      </c>
      <c r="AJ399" s="466">
        <v>-6</v>
      </c>
      <c r="AK399" s="466">
        <v>4.2</v>
      </c>
      <c r="AL399" s="490">
        <v>20.5</v>
      </c>
      <c r="AM399" s="703">
        <f>'COOLING-TARGET'!E$64</f>
        <v>15.1086005</v>
      </c>
    </row>
    <row r="400" spans="1:39" ht="25" customHeight="1" outlineLevel="1">
      <c r="A400" s="476" t="s">
        <v>203</v>
      </c>
      <c r="B400" s="466">
        <v>475</v>
      </c>
      <c r="C400" s="466">
        <v>-34</v>
      </c>
      <c r="D400" s="466">
        <v>-37</v>
      </c>
      <c r="E400" s="466">
        <v>28</v>
      </c>
      <c r="F400" s="466">
        <v>22</v>
      </c>
      <c r="G400" s="468">
        <v>32</v>
      </c>
      <c r="H400" s="468">
        <v>25</v>
      </c>
      <c r="I400" s="466">
        <v>5900</v>
      </c>
      <c r="J400" s="466">
        <v>4950</v>
      </c>
      <c r="K400" s="472">
        <f t="shared" si="6"/>
        <v>5400</v>
      </c>
      <c r="L400" s="521">
        <v>666</v>
      </c>
      <c r="M400" s="521">
        <v>666</v>
      </c>
      <c r="N400" s="490">
        <v>0</v>
      </c>
      <c r="O400" s="490">
        <v>0</v>
      </c>
      <c r="P400" s="466">
        <v>23</v>
      </c>
      <c r="Q400" s="468">
        <v>30</v>
      </c>
      <c r="R400" s="466">
        <v>97</v>
      </c>
      <c r="S400" s="468">
        <v>125</v>
      </c>
      <c r="T400" s="466">
        <v>570</v>
      </c>
      <c r="U400" s="468">
        <v>690</v>
      </c>
      <c r="V400" s="468">
        <v>0.8</v>
      </c>
      <c r="W400" s="466">
        <v>750</v>
      </c>
      <c r="X400" s="468">
        <v>840</v>
      </c>
      <c r="Y400" s="466">
        <v>120</v>
      </c>
      <c r="Z400" s="468">
        <v>130</v>
      </c>
      <c r="AA400" s="466">
        <v>2.7</v>
      </c>
      <c r="AB400" s="466">
        <v>0.4</v>
      </c>
      <c r="AC400" s="466">
        <v>3.8</v>
      </c>
      <c r="AD400" s="466">
        <v>0.6</v>
      </c>
      <c r="AE400" s="466">
        <v>0.22</v>
      </c>
      <c r="AF400" s="468">
        <v>0.24</v>
      </c>
      <c r="AG400" s="466">
        <v>0.3</v>
      </c>
      <c r="AH400" s="468">
        <v>0.33</v>
      </c>
      <c r="AI400" s="466">
        <v>0.52</v>
      </c>
      <c r="AJ400" s="466">
        <v>-11</v>
      </c>
      <c r="AK400" s="466">
        <v>2.2999999999999998</v>
      </c>
      <c r="AL400" s="490">
        <v>20.5</v>
      </c>
      <c r="AM400" s="703">
        <f>'COOLING-TARGET'!E$64</f>
        <v>15.1086005</v>
      </c>
    </row>
    <row r="401" spans="1:40" ht="25" customHeight="1" outlineLevel="1">
      <c r="A401" s="476" t="s">
        <v>204</v>
      </c>
      <c r="B401" s="466">
        <v>270</v>
      </c>
      <c r="C401" s="466">
        <v>-28</v>
      </c>
      <c r="D401" s="466">
        <v>-30</v>
      </c>
      <c r="E401" s="466">
        <v>29</v>
      </c>
      <c r="F401" s="466">
        <v>21</v>
      </c>
      <c r="G401" s="468">
        <v>33</v>
      </c>
      <c r="H401" s="468">
        <v>24</v>
      </c>
      <c r="I401" s="466">
        <v>5200</v>
      </c>
      <c r="J401" s="466">
        <v>4280</v>
      </c>
      <c r="K401" s="472">
        <f t="shared" si="6"/>
        <v>4700</v>
      </c>
      <c r="L401" s="521">
        <v>666</v>
      </c>
      <c r="M401" s="521">
        <v>666</v>
      </c>
      <c r="N401" s="490">
        <v>0</v>
      </c>
      <c r="O401" s="490">
        <v>0</v>
      </c>
      <c r="P401" s="466">
        <v>25</v>
      </c>
      <c r="Q401" s="468">
        <v>32</v>
      </c>
      <c r="R401" s="466">
        <v>92</v>
      </c>
      <c r="S401" s="468">
        <v>119</v>
      </c>
      <c r="T401" s="466">
        <v>650</v>
      </c>
      <c r="U401" s="468">
        <v>770</v>
      </c>
      <c r="V401" s="468">
        <v>0.8</v>
      </c>
      <c r="W401" s="466">
        <v>850</v>
      </c>
      <c r="X401" s="468">
        <v>930</v>
      </c>
      <c r="Y401" s="466">
        <v>180</v>
      </c>
      <c r="Z401" s="468">
        <v>190</v>
      </c>
      <c r="AA401" s="466">
        <v>2.5</v>
      </c>
      <c r="AB401" s="466">
        <v>0.4</v>
      </c>
      <c r="AC401" s="466">
        <v>3.5</v>
      </c>
      <c r="AD401" s="466">
        <v>0.6</v>
      </c>
      <c r="AE401" s="466">
        <v>0.35</v>
      </c>
      <c r="AF401" s="468">
        <v>0.39</v>
      </c>
      <c r="AG401" s="466">
        <v>0.45</v>
      </c>
      <c r="AH401" s="468">
        <v>0.5</v>
      </c>
      <c r="AI401" s="466">
        <v>0.74</v>
      </c>
      <c r="AJ401" s="466">
        <v>-9</v>
      </c>
      <c r="AK401" s="466">
        <v>3.8</v>
      </c>
      <c r="AL401" s="490">
        <v>20.5</v>
      </c>
      <c r="AM401" s="703">
        <f>'COOLING-TARGET'!E$64</f>
        <v>15.1086005</v>
      </c>
    </row>
    <row r="402" spans="1:40" ht="25" customHeight="1" outlineLevel="1">
      <c r="A402" s="476" t="s">
        <v>205</v>
      </c>
      <c r="B402" s="466">
        <v>360</v>
      </c>
      <c r="C402" s="466">
        <v>-35</v>
      </c>
      <c r="D402" s="466">
        <v>-37</v>
      </c>
      <c r="E402" s="466">
        <v>28</v>
      </c>
      <c r="F402" s="466">
        <v>21</v>
      </c>
      <c r="G402" s="468">
        <v>32</v>
      </c>
      <c r="H402" s="468">
        <v>26</v>
      </c>
      <c r="I402" s="466">
        <v>6220</v>
      </c>
      <c r="J402" s="466">
        <v>5290</v>
      </c>
      <c r="K402" s="472">
        <f t="shared" si="6"/>
        <v>5720</v>
      </c>
      <c r="L402" s="521">
        <v>666</v>
      </c>
      <c r="M402" s="521">
        <v>666</v>
      </c>
      <c r="N402" s="490">
        <v>0</v>
      </c>
      <c r="O402" s="490">
        <v>0</v>
      </c>
      <c r="P402" s="466">
        <v>20</v>
      </c>
      <c r="Q402" s="468">
        <v>26</v>
      </c>
      <c r="R402" s="466">
        <v>92</v>
      </c>
      <c r="S402" s="468">
        <v>120</v>
      </c>
      <c r="T402" s="466">
        <v>470</v>
      </c>
      <c r="U402" s="468">
        <v>560</v>
      </c>
      <c r="V402" s="468">
        <v>0.7</v>
      </c>
      <c r="W402" s="466">
        <v>630</v>
      </c>
      <c r="X402" s="468">
        <v>700</v>
      </c>
      <c r="Y402" s="466">
        <v>120</v>
      </c>
      <c r="Z402" s="468">
        <v>130</v>
      </c>
      <c r="AA402" s="466">
        <v>2.6</v>
      </c>
      <c r="AB402" s="466">
        <v>0.3</v>
      </c>
      <c r="AC402" s="466">
        <v>3.7</v>
      </c>
      <c r="AD402" s="466">
        <v>0.4</v>
      </c>
      <c r="AE402" s="466">
        <v>0.22</v>
      </c>
      <c r="AF402" s="468">
        <v>0.24</v>
      </c>
      <c r="AG402" s="466">
        <v>0.3</v>
      </c>
      <c r="AH402" s="468">
        <v>0.33</v>
      </c>
      <c r="AI402" s="466">
        <v>0.52</v>
      </c>
      <c r="AJ402" s="466">
        <v>-11</v>
      </c>
      <c r="AK402" s="466">
        <v>3.5</v>
      </c>
      <c r="AL402" s="490">
        <v>20.5</v>
      </c>
      <c r="AM402" s="703">
        <f>'COOLING-TARGET'!E$64</f>
        <v>15.1086005</v>
      </c>
    </row>
    <row r="403" spans="1:40" ht="25" customHeight="1" outlineLevel="1">
      <c r="A403" s="476" t="s">
        <v>206</v>
      </c>
      <c r="B403" s="466">
        <v>115</v>
      </c>
      <c r="C403" s="466">
        <v>-27</v>
      </c>
      <c r="D403" s="466">
        <v>-30</v>
      </c>
      <c r="E403" s="466">
        <v>30</v>
      </c>
      <c r="F403" s="466">
        <v>23</v>
      </c>
      <c r="G403" s="468">
        <v>34</v>
      </c>
      <c r="H403" s="468">
        <v>26</v>
      </c>
      <c r="I403" s="466">
        <v>4900</v>
      </c>
      <c r="J403" s="466">
        <v>4020</v>
      </c>
      <c r="K403" s="472">
        <f t="shared" si="6"/>
        <v>4400</v>
      </c>
      <c r="L403" s="521">
        <v>666</v>
      </c>
      <c r="M403" s="521">
        <v>666</v>
      </c>
      <c r="N403" s="490">
        <v>0</v>
      </c>
      <c r="O403" s="490">
        <v>0</v>
      </c>
      <c r="P403" s="466">
        <v>23</v>
      </c>
      <c r="Q403" s="468">
        <v>30</v>
      </c>
      <c r="R403" s="466">
        <v>97</v>
      </c>
      <c r="S403" s="468">
        <v>125</v>
      </c>
      <c r="T403" s="466">
        <v>620</v>
      </c>
      <c r="U403" s="468">
        <v>740</v>
      </c>
      <c r="V403" s="468">
        <v>0.9</v>
      </c>
      <c r="W403" s="466">
        <v>810</v>
      </c>
      <c r="X403" s="468">
        <v>910</v>
      </c>
      <c r="Y403" s="466">
        <v>140</v>
      </c>
      <c r="AA403" s="466">
        <v>2.5</v>
      </c>
      <c r="AB403" s="466">
        <v>0.4</v>
      </c>
      <c r="AC403" s="466">
        <v>3.5</v>
      </c>
      <c r="AD403" s="466">
        <v>0.6</v>
      </c>
      <c r="AE403" s="466">
        <v>0.27</v>
      </c>
      <c r="AF403" s="468">
        <v>0.3</v>
      </c>
      <c r="AG403" s="466">
        <v>0.35</v>
      </c>
      <c r="AH403" s="468">
        <v>0.39</v>
      </c>
      <c r="AI403" s="466">
        <v>0.57999999999999996</v>
      </c>
      <c r="AJ403" s="466">
        <v>-9</v>
      </c>
      <c r="AK403" s="466">
        <v>3.5</v>
      </c>
      <c r="AL403" s="490">
        <v>20.5</v>
      </c>
      <c r="AM403" s="703">
        <f>'COOLING-TARGET'!E$64</f>
        <v>15.1086005</v>
      </c>
    </row>
    <row r="404" spans="1:40" ht="25" customHeight="1" outlineLevel="1">
      <c r="A404" s="476" t="s">
        <v>207</v>
      </c>
      <c r="B404" s="466">
        <v>230</v>
      </c>
      <c r="C404" s="466">
        <v>-21</v>
      </c>
      <c r="D404" s="466">
        <v>-23</v>
      </c>
      <c r="E404" s="466">
        <v>31</v>
      </c>
      <c r="F404" s="466">
        <v>24</v>
      </c>
      <c r="G404" s="468">
        <v>35</v>
      </c>
      <c r="H404" s="468">
        <v>27</v>
      </c>
      <c r="I404" s="466">
        <v>4000</v>
      </c>
      <c r="J404" s="466">
        <v>3200</v>
      </c>
      <c r="K404" s="472">
        <f t="shared" si="6"/>
        <v>3500</v>
      </c>
      <c r="L404" s="521">
        <v>666</v>
      </c>
      <c r="M404" s="521">
        <v>666</v>
      </c>
      <c r="N404" s="490">
        <v>0</v>
      </c>
      <c r="O404" s="490">
        <v>0</v>
      </c>
      <c r="P404" s="466">
        <v>25</v>
      </c>
      <c r="Q404" s="468">
        <v>32</v>
      </c>
      <c r="R404" s="466">
        <v>97</v>
      </c>
      <c r="S404" s="468">
        <v>125</v>
      </c>
      <c r="T404" s="466">
        <v>740</v>
      </c>
      <c r="U404" s="468">
        <v>860</v>
      </c>
      <c r="V404" s="468">
        <v>0.8</v>
      </c>
      <c r="W404" s="466">
        <v>850</v>
      </c>
      <c r="X404" s="468">
        <v>930</v>
      </c>
      <c r="Y404" s="466">
        <v>140</v>
      </c>
      <c r="Z404" s="468">
        <v>150</v>
      </c>
      <c r="AA404" s="466">
        <v>1.5</v>
      </c>
      <c r="AB404" s="466">
        <v>0.4</v>
      </c>
      <c r="AC404" s="466">
        <v>2.2000000000000002</v>
      </c>
      <c r="AD404" s="466">
        <v>0.6</v>
      </c>
      <c r="AE404" s="466">
        <v>0.34</v>
      </c>
      <c r="AF404" s="468">
        <v>0.37</v>
      </c>
      <c r="AG404" s="466">
        <v>0.44</v>
      </c>
      <c r="AH404" s="468">
        <v>0.48</v>
      </c>
      <c r="AI404" s="466">
        <v>0.73</v>
      </c>
      <c r="AJ404" s="466">
        <v>-6</v>
      </c>
      <c r="AK404" s="466">
        <v>3.5</v>
      </c>
      <c r="AL404" s="490">
        <v>20.5</v>
      </c>
      <c r="AM404" s="703">
        <f>'COOLING-TARGET'!E$64</f>
        <v>15.1086005</v>
      </c>
    </row>
    <row r="405" spans="1:40" ht="25" customHeight="1" outlineLevel="1">
      <c r="A405" s="476" t="s">
        <v>208</v>
      </c>
      <c r="B405" s="466">
        <v>50</v>
      </c>
      <c r="C405" s="466">
        <v>-26</v>
      </c>
      <c r="D405" s="466">
        <v>-28</v>
      </c>
      <c r="E405" s="466">
        <v>30</v>
      </c>
      <c r="F405" s="466">
        <v>23</v>
      </c>
      <c r="G405" s="468">
        <v>34</v>
      </c>
      <c r="H405" s="468">
        <v>26</v>
      </c>
      <c r="I405" s="466">
        <v>4600</v>
      </c>
      <c r="J405" s="466">
        <v>3740</v>
      </c>
      <c r="K405" s="472">
        <f t="shared" si="6"/>
        <v>4100</v>
      </c>
      <c r="L405" s="521">
        <v>666</v>
      </c>
      <c r="M405" s="521">
        <v>666</v>
      </c>
      <c r="N405" s="490">
        <v>0</v>
      </c>
      <c r="O405" s="490">
        <v>0</v>
      </c>
      <c r="P405" s="466">
        <v>23</v>
      </c>
      <c r="Q405" s="468">
        <v>30</v>
      </c>
      <c r="R405" s="466">
        <v>92</v>
      </c>
      <c r="S405" s="468">
        <v>119</v>
      </c>
      <c r="T405" s="466">
        <v>780</v>
      </c>
      <c r="U405" s="468">
        <v>920</v>
      </c>
      <c r="V405" s="468">
        <v>1</v>
      </c>
      <c r="W405" s="466">
        <v>950</v>
      </c>
      <c r="X405" s="468">
        <v>1050</v>
      </c>
      <c r="Y405" s="466">
        <v>160</v>
      </c>
      <c r="AA405" s="466">
        <v>2.4</v>
      </c>
      <c r="AB405" s="466">
        <v>0.4</v>
      </c>
      <c r="AC405" s="466">
        <v>3.3</v>
      </c>
      <c r="AD405" s="466">
        <v>0.6</v>
      </c>
      <c r="AE405" s="466">
        <v>0.31</v>
      </c>
      <c r="AF405" s="468">
        <v>0.34</v>
      </c>
      <c r="AG405" s="466">
        <v>0.4</v>
      </c>
      <c r="AH405" s="468">
        <v>0.44</v>
      </c>
      <c r="AI405" s="466">
        <v>0.67</v>
      </c>
      <c r="AJ405" s="466">
        <v>-8</v>
      </c>
      <c r="AK405" s="466">
        <v>3.5</v>
      </c>
      <c r="AL405" s="490">
        <v>20.5</v>
      </c>
      <c r="AM405" s="703">
        <f>'COOLING-TARGET'!E$64</f>
        <v>15.1086005</v>
      </c>
    </row>
    <row r="406" spans="1:40" ht="25" customHeight="1" outlineLevel="1">
      <c r="A406" s="476" t="s">
        <v>209</v>
      </c>
      <c r="B406" s="466">
        <v>190</v>
      </c>
      <c r="C406" s="466">
        <v>-16</v>
      </c>
      <c r="D406" s="466">
        <v>-18</v>
      </c>
      <c r="E406" s="466">
        <v>31</v>
      </c>
      <c r="F406" s="466">
        <v>24</v>
      </c>
      <c r="G406" s="468">
        <v>34</v>
      </c>
      <c r="H406" s="468">
        <v>27</v>
      </c>
      <c r="I406" s="466">
        <v>3750</v>
      </c>
      <c r="J406" s="466">
        <v>2970</v>
      </c>
      <c r="K406" s="472">
        <f t="shared" si="6"/>
        <v>3250</v>
      </c>
      <c r="L406" s="521">
        <v>666</v>
      </c>
      <c r="M406" s="521">
        <v>666</v>
      </c>
      <c r="N406" s="490">
        <v>0</v>
      </c>
      <c r="O406" s="490">
        <v>0</v>
      </c>
      <c r="P406" s="466">
        <v>25</v>
      </c>
      <c r="Q406" s="468">
        <v>32</v>
      </c>
      <c r="R406" s="466">
        <v>100</v>
      </c>
      <c r="S406" s="468">
        <v>126</v>
      </c>
      <c r="T406" s="466">
        <v>750</v>
      </c>
      <c r="U406" s="468">
        <v>860</v>
      </c>
      <c r="V406" s="468">
        <v>0.9</v>
      </c>
      <c r="W406" s="466">
        <v>825</v>
      </c>
      <c r="X406" s="468">
        <v>910</v>
      </c>
      <c r="Y406" s="466">
        <v>180</v>
      </c>
      <c r="Z406" s="468">
        <v>190</v>
      </c>
      <c r="AA406" s="466">
        <v>1.1000000000000001</v>
      </c>
      <c r="AB406" s="466">
        <v>0.4</v>
      </c>
      <c r="AC406" s="466">
        <v>1.6</v>
      </c>
      <c r="AD406" s="466">
        <v>0.6</v>
      </c>
      <c r="AE406" s="466">
        <v>0.37</v>
      </c>
      <c r="AF406" s="468">
        <v>0.41</v>
      </c>
      <c r="AG406" s="466">
        <v>0.47</v>
      </c>
      <c r="AH406" s="468">
        <v>0.52</v>
      </c>
      <c r="AI406" s="466">
        <v>0.76</v>
      </c>
      <c r="AJ406" s="466">
        <v>-6</v>
      </c>
      <c r="AK406" s="466">
        <v>4.7</v>
      </c>
      <c r="AL406" s="490">
        <v>20.5</v>
      </c>
      <c r="AM406" s="703">
        <f>'COOLING-TARGET'!E$64</f>
        <v>15.1086005</v>
      </c>
    </row>
    <row r="407" spans="1:40" ht="25" customHeight="1" outlineLevel="1">
      <c r="A407" s="476" t="s">
        <v>210</v>
      </c>
      <c r="B407" s="466">
        <v>190</v>
      </c>
      <c r="C407" s="466">
        <v>-25</v>
      </c>
      <c r="D407" s="466">
        <v>-28</v>
      </c>
      <c r="E407" s="466">
        <v>29</v>
      </c>
      <c r="F407" s="466">
        <v>22</v>
      </c>
      <c r="G407" s="468">
        <v>33</v>
      </c>
      <c r="H407" s="468">
        <v>25</v>
      </c>
      <c r="I407" s="466">
        <v>4960</v>
      </c>
      <c r="J407" s="466">
        <v>4040</v>
      </c>
      <c r="K407" s="472">
        <f t="shared" si="6"/>
        <v>4460</v>
      </c>
      <c r="L407" s="484">
        <v>116</v>
      </c>
      <c r="M407" s="521">
        <v>666</v>
      </c>
      <c r="N407" s="490">
        <v>0</v>
      </c>
      <c r="O407" s="490">
        <v>0</v>
      </c>
      <c r="P407" s="466">
        <v>23</v>
      </c>
      <c r="Q407" s="468">
        <v>30</v>
      </c>
      <c r="R407" s="466">
        <v>97</v>
      </c>
      <c r="S407" s="468">
        <v>125</v>
      </c>
      <c r="T407" s="466">
        <v>660</v>
      </c>
      <c r="U407" s="468">
        <v>780</v>
      </c>
      <c r="V407" s="468">
        <v>1</v>
      </c>
      <c r="W407" s="466">
        <v>950</v>
      </c>
      <c r="X407" s="468">
        <v>1030</v>
      </c>
      <c r="Y407" s="466">
        <v>200</v>
      </c>
      <c r="Z407" s="468">
        <v>210</v>
      </c>
      <c r="AA407" s="466">
        <v>3.1</v>
      </c>
      <c r="AB407" s="466">
        <v>0.4</v>
      </c>
      <c r="AC407" s="466">
        <v>4.5</v>
      </c>
      <c r="AD407" s="466">
        <v>0.6</v>
      </c>
      <c r="AE407" s="466">
        <v>0.33</v>
      </c>
      <c r="AF407" s="468">
        <v>0.36</v>
      </c>
      <c r="AG407" s="466">
        <v>0.44</v>
      </c>
      <c r="AH407" s="468">
        <v>0.48</v>
      </c>
      <c r="AI407" s="466">
        <v>0.75</v>
      </c>
      <c r="AJ407" s="466">
        <v>-8</v>
      </c>
      <c r="AK407" s="466">
        <v>4.0999999999999996</v>
      </c>
      <c r="AL407" s="490">
        <v>20.5</v>
      </c>
      <c r="AM407" s="703">
        <f>'COOLING-TARGET'!E$64</f>
        <v>15.1086005</v>
      </c>
    </row>
    <row r="408" spans="1:40" ht="25" customHeight="1" outlineLevel="1">
      <c r="A408" s="476" t="s">
        <v>211</v>
      </c>
      <c r="B408" s="466">
        <v>310</v>
      </c>
      <c r="C408" s="466">
        <v>-34</v>
      </c>
      <c r="D408" s="466">
        <v>-36</v>
      </c>
      <c r="E408" s="466">
        <v>27</v>
      </c>
      <c r="F408" s="466">
        <v>21</v>
      </c>
      <c r="G408" s="468">
        <v>31</v>
      </c>
      <c r="H408" s="468">
        <v>24</v>
      </c>
      <c r="I408" s="466">
        <v>5960</v>
      </c>
      <c r="J408" s="466">
        <v>5010</v>
      </c>
      <c r="K408" s="472">
        <f t="shared" si="6"/>
        <v>5460</v>
      </c>
      <c r="L408" s="521">
        <v>666</v>
      </c>
      <c r="M408" s="521">
        <v>666</v>
      </c>
      <c r="N408" s="490">
        <v>0</v>
      </c>
      <c r="O408" s="490">
        <v>0</v>
      </c>
      <c r="P408" s="466">
        <v>20</v>
      </c>
      <c r="Q408" s="468">
        <v>26</v>
      </c>
      <c r="R408" s="466">
        <v>103</v>
      </c>
      <c r="S408" s="468">
        <v>134</v>
      </c>
      <c r="T408" s="466">
        <v>600</v>
      </c>
      <c r="U408" s="468">
        <v>730</v>
      </c>
      <c r="V408" s="468">
        <v>0.8</v>
      </c>
      <c r="W408" s="466">
        <v>850</v>
      </c>
      <c r="X408" s="468">
        <v>940</v>
      </c>
      <c r="Y408" s="466">
        <v>160</v>
      </c>
      <c r="Z408" s="468">
        <v>170</v>
      </c>
      <c r="AA408" s="466">
        <v>3.3</v>
      </c>
      <c r="AB408" s="466">
        <v>0.4</v>
      </c>
      <c r="AC408" s="466">
        <v>4.7</v>
      </c>
      <c r="AD408" s="466">
        <v>0.6</v>
      </c>
      <c r="AE408" s="466">
        <v>0.28999999999999998</v>
      </c>
      <c r="AF408" s="468">
        <v>0.32</v>
      </c>
      <c r="AG408" s="466">
        <v>0.39</v>
      </c>
      <c r="AH408" s="468">
        <v>0.43</v>
      </c>
      <c r="AI408" s="466">
        <v>0.67</v>
      </c>
      <c r="AJ408" s="466">
        <v>-10</v>
      </c>
      <c r="AK408" s="466">
        <v>3</v>
      </c>
      <c r="AL408" s="490">
        <v>20.5</v>
      </c>
      <c r="AM408" s="703">
        <f>'COOLING-TARGET'!E$64</f>
        <v>15.1086005</v>
      </c>
    </row>
    <row r="409" spans="1:40" ht="25" customHeight="1" outlineLevel="1">
      <c r="A409" s="476" t="s">
        <v>212</v>
      </c>
      <c r="B409" s="466">
        <v>310</v>
      </c>
      <c r="C409" s="466">
        <v>-17</v>
      </c>
      <c r="D409" s="466">
        <v>-19</v>
      </c>
      <c r="E409" s="466">
        <v>30</v>
      </c>
      <c r="F409" s="466">
        <v>23</v>
      </c>
      <c r="G409" s="468">
        <v>34</v>
      </c>
      <c r="H409" s="468">
        <v>26</v>
      </c>
      <c r="I409" s="466">
        <v>4100</v>
      </c>
      <c r="J409" s="466">
        <v>3290</v>
      </c>
      <c r="K409" s="472">
        <f t="shared" si="6"/>
        <v>3600</v>
      </c>
      <c r="L409" s="521">
        <v>666</v>
      </c>
      <c r="M409" s="521">
        <v>666</v>
      </c>
      <c r="N409" s="490">
        <v>0</v>
      </c>
      <c r="O409" s="490">
        <v>0</v>
      </c>
      <c r="P409" s="466">
        <v>25</v>
      </c>
      <c r="Q409" s="468">
        <v>32</v>
      </c>
      <c r="R409" s="466">
        <v>108</v>
      </c>
      <c r="S409" s="468">
        <v>138</v>
      </c>
      <c r="T409" s="466">
        <v>810</v>
      </c>
      <c r="U409" s="468">
        <v>930</v>
      </c>
      <c r="V409" s="468">
        <v>0.9</v>
      </c>
      <c r="W409" s="466">
        <v>1025</v>
      </c>
      <c r="X409" s="468">
        <v>1110</v>
      </c>
      <c r="Y409" s="466">
        <v>160</v>
      </c>
      <c r="Z409" s="468">
        <v>170</v>
      </c>
      <c r="AA409" s="466">
        <v>2.5</v>
      </c>
      <c r="AB409" s="466">
        <v>0.4</v>
      </c>
      <c r="AC409" s="466">
        <v>3.6</v>
      </c>
      <c r="AD409" s="466">
        <v>0.6</v>
      </c>
      <c r="AE409" s="466">
        <v>0.35</v>
      </c>
      <c r="AF409" s="468">
        <v>0.39</v>
      </c>
      <c r="AG409" s="466">
        <v>0.45</v>
      </c>
      <c r="AH409" s="468">
        <v>0.5</v>
      </c>
      <c r="AI409" s="466">
        <v>0.74</v>
      </c>
      <c r="AJ409" s="466">
        <v>-6</v>
      </c>
      <c r="AK409" s="466">
        <v>5</v>
      </c>
      <c r="AL409" s="490">
        <v>20.5</v>
      </c>
      <c r="AM409" s="703">
        <f>'COOLING-TARGET'!E$64</f>
        <v>15.1086005</v>
      </c>
    </row>
    <row r="410" spans="1:40" ht="25" customHeight="1" outlineLevel="1">
      <c r="A410" s="476" t="s">
        <v>213</v>
      </c>
      <c r="B410" s="466">
        <v>495</v>
      </c>
      <c r="C410" s="466">
        <v>-22</v>
      </c>
      <c r="D410" s="466">
        <v>-24</v>
      </c>
      <c r="E410" s="466">
        <v>29</v>
      </c>
      <c r="F410" s="466">
        <v>23</v>
      </c>
      <c r="G410" s="468">
        <v>33</v>
      </c>
      <c r="H410" s="468">
        <v>26</v>
      </c>
      <c r="I410" s="466">
        <v>4700</v>
      </c>
      <c r="J410" s="466">
        <v>3830</v>
      </c>
      <c r="K410" s="472">
        <f t="shared" si="6"/>
        <v>4200</v>
      </c>
      <c r="L410" s="521">
        <v>666</v>
      </c>
      <c r="M410" s="521">
        <v>666</v>
      </c>
      <c r="N410" s="490">
        <v>0</v>
      </c>
      <c r="O410" s="490">
        <v>0</v>
      </c>
      <c r="P410" s="466">
        <v>28</v>
      </c>
      <c r="Q410" s="468">
        <v>36</v>
      </c>
      <c r="R410" s="466">
        <v>108</v>
      </c>
      <c r="S410" s="468">
        <v>139</v>
      </c>
      <c r="T410" s="466">
        <v>740</v>
      </c>
      <c r="U410" s="468">
        <v>860</v>
      </c>
      <c r="V410" s="468">
        <v>0.9</v>
      </c>
      <c r="W410" s="466">
        <v>900</v>
      </c>
      <c r="X410" s="468">
        <v>980</v>
      </c>
      <c r="Y410" s="466">
        <v>150</v>
      </c>
      <c r="Z410" s="468">
        <v>160</v>
      </c>
      <c r="AA410" s="466">
        <v>3.1</v>
      </c>
      <c r="AB410" s="466">
        <v>0.4</v>
      </c>
      <c r="AC410" s="466">
        <v>4.4000000000000004</v>
      </c>
      <c r="AD410" s="466">
        <v>0.6</v>
      </c>
      <c r="AE410" s="466">
        <v>0.31</v>
      </c>
      <c r="AF410" s="468">
        <v>0.34</v>
      </c>
      <c r="AG410" s="466">
        <v>0.4</v>
      </c>
      <c r="AH410" s="468">
        <v>0.44</v>
      </c>
      <c r="AI410" s="466">
        <v>0.67</v>
      </c>
      <c r="AJ410" s="466">
        <v>-7</v>
      </c>
      <c r="AK410" s="466">
        <v>3.5</v>
      </c>
      <c r="AL410" s="490">
        <v>20.5</v>
      </c>
      <c r="AM410" s="703">
        <f>'COOLING-TARGET'!E$64</f>
        <v>15.1086005</v>
      </c>
    </row>
    <row r="411" spans="1:40" ht="25" customHeight="1" outlineLevel="1">
      <c r="A411" s="476" t="s">
        <v>214</v>
      </c>
      <c r="B411" s="466">
        <v>210</v>
      </c>
      <c r="C411" s="466">
        <v>-17</v>
      </c>
      <c r="D411" s="466">
        <v>-19</v>
      </c>
      <c r="E411" s="466">
        <v>30</v>
      </c>
      <c r="F411" s="466">
        <v>24</v>
      </c>
      <c r="G411" s="468">
        <v>34</v>
      </c>
      <c r="H411" s="468">
        <v>27</v>
      </c>
      <c r="I411" s="466">
        <v>3700</v>
      </c>
      <c r="J411" s="466">
        <v>2920</v>
      </c>
      <c r="K411" s="472">
        <f t="shared" si="6"/>
        <v>3200</v>
      </c>
      <c r="L411" s="484">
        <v>292</v>
      </c>
      <c r="M411" s="521">
        <v>666</v>
      </c>
      <c r="N411" s="490">
        <v>0</v>
      </c>
      <c r="O411" s="490">
        <v>0</v>
      </c>
      <c r="P411" s="466">
        <v>28</v>
      </c>
      <c r="Q411" s="468">
        <v>36</v>
      </c>
      <c r="R411" s="466">
        <v>113</v>
      </c>
      <c r="S411" s="468">
        <v>144</v>
      </c>
      <c r="T411" s="466">
        <v>860</v>
      </c>
      <c r="U411" s="468">
        <v>990</v>
      </c>
      <c r="V411" s="468">
        <v>1</v>
      </c>
      <c r="W411" s="466">
        <v>950</v>
      </c>
      <c r="X411" s="468">
        <v>1030</v>
      </c>
      <c r="Y411" s="466">
        <v>160</v>
      </c>
      <c r="Z411" s="468">
        <v>170</v>
      </c>
      <c r="AA411" s="466">
        <v>1.3</v>
      </c>
      <c r="AB411" s="466">
        <v>0.4</v>
      </c>
      <c r="AC411" s="466">
        <v>1.9</v>
      </c>
      <c r="AD411" s="466">
        <v>0.6</v>
      </c>
      <c r="AE411" s="466">
        <v>0.35</v>
      </c>
      <c r="AF411" s="468">
        <v>0.39</v>
      </c>
      <c r="AG411" s="466">
        <v>0.45</v>
      </c>
      <c r="AH411" s="468">
        <v>0.5</v>
      </c>
      <c r="AI411" s="466">
        <v>0.74</v>
      </c>
      <c r="AJ411" s="466">
        <v>-6</v>
      </c>
      <c r="AK411" s="466">
        <v>4</v>
      </c>
      <c r="AL411" s="715">
        <v>19.175000000000001</v>
      </c>
      <c r="AM411" s="716">
        <v>13.76</v>
      </c>
      <c r="AN411" s="716">
        <v>56</v>
      </c>
    </row>
    <row r="412" spans="1:40" ht="25" customHeight="1" outlineLevel="1">
      <c r="A412" s="476" t="s">
        <v>215</v>
      </c>
      <c r="B412" s="466">
        <v>375</v>
      </c>
      <c r="C412" s="466">
        <v>-34</v>
      </c>
      <c r="D412" s="466">
        <v>-36</v>
      </c>
      <c r="E412" s="466">
        <v>28</v>
      </c>
      <c r="F412" s="466">
        <v>22</v>
      </c>
      <c r="G412" s="468">
        <v>32</v>
      </c>
      <c r="H412" s="468">
        <v>25</v>
      </c>
      <c r="I412" s="466">
        <v>5950</v>
      </c>
      <c r="J412" s="466">
        <v>5030</v>
      </c>
      <c r="K412" s="472">
        <f t="shared" si="6"/>
        <v>5450</v>
      </c>
      <c r="L412" s="521">
        <v>666</v>
      </c>
      <c r="M412" s="521">
        <v>666</v>
      </c>
      <c r="N412" s="490">
        <v>0</v>
      </c>
      <c r="O412" s="490">
        <v>0</v>
      </c>
      <c r="P412" s="466">
        <v>25</v>
      </c>
      <c r="Q412" s="468">
        <v>32</v>
      </c>
      <c r="R412" s="466">
        <v>97</v>
      </c>
      <c r="S412" s="468">
        <v>126</v>
      </c>
      <c r="T412" s="466">
        <v>520</v>
      </c>
      <c r="U412" s="468">
        <v>620</v>
      </c>
      <c r="V412" s="468">
        <v>0.7</v>
      </c>
      <c r="W412" s="466">
        <v>710</v>
      </c>
      <c r="X412" s="468">
        <v>790</v>
      </c>
      <c r="Y412" s="466">
        <v>100</v>
      </c>
      <c r="Z412" s="468">
        <v>110</v>
      </c>
      <c r="AA412" s="466">
        <v>2.6</v>
      </c>
      <c r="AB412" s="466">
        <v>0.3</v>
      </c>
      <c r="AC412" s="466">
        <v>3.7</v>
      </c>
      <c r="AD412" s="466">
        <v>0.4</v>
      </c>
      <c r="AE412" s="466">
        <v>0.22</v>
      </c>
      <c r="AF412" s="468">
        <v>0.24</v>
      </c>
      <c r="AG412" s="466">
        <v>0.3</v>
      </c>
      <c r="AH412" s="468">
        <v>0.33</v>
      </c>
      <c r="AI412" s="466">
        <v>0.52</v>
      </c>
      <c r="AJ412" s="466">
        <v>-12</v>
      </c>
      <c r="AK412" s="466">
        <v>3</v>
      </c>
      <c r="AL412" s="490">
        <v>20.5</v>
      </c>
      <c r="AM412" s="703">
        <f>'COOLING-TARGET'!E$64</f>
        <v>15.1086005</v>
      </c>
    </row>
    <row r="413" spans="1:40" ht="25" customHeight="1" outlineLevel="1">
      <c r="A413" s="476" t="s">
        <v>1155</v>
      </c>
      <c r="B413" s="466">
        <v>130</v>
      </c>
      <c r="C413" s="466">
        <v>-25</v>
      </c>
      <c r="D413" s="466">
        <v>-27</v>
      </c>
      <c r="E413" s="466">
        <v>30</v>
      </c>
      <c r="F413" s="466">
        <v>23</v>
      </c>
      <c r="G413" s="468">
        <v>34</v>
      </c>
      <c r="H413" s="468">
        <v>26</v>
      </c>
      <c r="I413" s="466">
        <v>4540</v>
      </c>
      <c r="J413" s="466">
        <v>3690</v>
      </c>
      <c r="K413" s="472">
        <f t="shared" si="6"/>
        <v>4040</v>
      </c>
      <c r="L413" s="521">
        <v>666</v>
      </c>
      <c r="M413" s="521">
        <v>666</v>
      </c>
      <c r="N413" s="490">
        <v>0</v>
      </c>
      <c r="O413" s="490">
        <v>0</v>
      </c>
      <c r="P413" s="466">
        <v>25</v>
      </c>
      <c r="Q413" s="468">
        <v>32</v>
      </c>
      <c r="R413" s="466">
        <v>92</v>
      </c>
      <c r="S413" s="468">
        <v>118</v>
      </c>
      <c r="T413" s="466">
        <v>730</v>
      </c>
      <c r="U413" s="468">
        <v>860</v>
      </c>
      <c r="V413" s="468">
        <v>0.9</v>
      </c>
      <c r="W413" s="466">
        <v>850</v>
      </c>
      <c r="X413" s="468">
        <v>940</v>
      </c>
      <c r="Y413" s="466">
        <v>140</v>
      </c>
      <c r="AA413" s="466">
        <v>2.2999999999999998</v>
      </c>
      <c r="AB413" s="466">
        <v>0.4</v>
      </c>
      <c r="AC413" s="466">
        <v>3.3</v>
      </c>
      <c r="AD413" s="466">
        <v>0.6</v>
      </c>
      <c r="AE413" s="466">
        <v>0.32</v>
      </c>
      <c r="AF413" s="468">
        <v>0.35</v>
      </c>
      <c r="AG413" s="466">
        <v>0.41</v>
      </c>
      <c r="AH413" s="468">
        <v>0.45</v>
      </c>
      <c r="AI413" s="466">
        <v>0.67</v>
      </c>
      <c r="AJ413" s="466">
        <v>-8</v>
      </c>
      <c r="AK413" s="466">
        <v>2.5</v>
      </c>
      <c r="AL413" s="490">
        <v>20.5</v>
      </c>
      <c r="AM413" s="703">
        <f>'COOLING-TARGET'!E$64</f>
        <v>15.1086005</v>
      </c>
    </row>
    <row r="414" spans="1:40" ht="25" customHeight="1" outlineLevel="1">
      <c r="A414" s="476" t="s">
        <v>216</v>
      </c>
      <c r="B414" s="466">
        <v>185</v>
      </c>
      <c r="C414" s="466">
        <v>-16</v>
      </c>
      <c r="D414" s="466">
        <v>-18</v>
      </c>
      <c r="E414" s="466">
        <v>30</v>
      </c>
      <c r="F414" s="466">
        <v>23</v>
      </c>
      <c r="G414" s="468">
        <v>34</v>
      </c>
      <c r="H414" s="468">
        <v>26</v>
      </c>
      <c r="I414" s="466">
        <v>3650</v>
      </c>
      <c r="J414" s="466">
        <v>2880</v>
      </c>
      <c r="K414" s="472">
        <f t="shared" si="6"/>
        <v>3150</v>
      </c>
      <c r="L414" s="521">
        <v>666</v>
      </c>
      <c r="M414" s="521">
        <v>666</v>
      </c>
      <c r="N414" s="490">
        <v>0</v>
      </c>
      <c r="O414" s="490">
        <v>0</v>
      </c>
      <c r="P414" s="466">
        <v>23</v>
      </c>
      <c r="Q414" s="468">
        <v>29</v>
      </c>
      <c r="R414" s="466">
        <v>108</v>
      </c>
      <c r="S414" s="468">
        <v>137</v>
      </c>
      <c r="T414" s="466">
        <v>800</v>
      </c>
      <c r="U414" s="468">
        <v>920</v>
      </c>
      <c r="V414" s="468">
        <v>0.9</v>
      </c>
      <c r="W414" s="466">
        <v>900</v>
      </c>
      <c r="X414" s="468">
        <v>980</v>
      </c>
      <c r="Y414" s="466">
        <v>160</v>
      </c>
      <c r="Z414" s="468">
        <v>170</v>
      </c>
      <c r="AA414" s="466">
        <v>1.5</v>
      </c>
      <c r="AB414" s="466">
        <v>0.4</v>
      </c>
      <c r="AC414" s="466">
        <v>2.2000000000000002</v>
      </c>
      <c r="AD414" s="466">
        <v>0.6</v>
      </c>
      <c r="AE414" s="466">
        <v>0.33</v>
      </c>
      <c r="AF414" s="468">
        <v>0.36</v>
      </c>
      <c r="AG414" s="466">
        <v>0.42</v>
      </c>
      <c r="AH414" s="468">
        <v>0.46</v>
      </c>
      <c r="AI414" s="466">
        <v>0.68</v>
      </c>
      <c r="AJ414" s="466">
        <v>-6</v>
      </c>
      <c r="AK414" s="466">
        <v>4.2</v>
      </c>
      <c r="AL414" s="490">
        <v>20.5</v>
      </c>
      <c r="AM414" s="703">
        <f>'COOLING-TARGET'!E$64</f>
        <v>15.1086005</v>
      </c>
    </row>
    <row r="415" spans="1:40" ht="25" customHeight="1" outlineLevel="1">
      <c r="A415" s="476" t="s">
        <v>217</v>
      </c>
      <c r="B415" s="466">
        <v>235</v>
      </c>
      <c r="C415" s="466">
        <v>-34</v>
      </c>
      <c r="D415" s="466">
        <v>-36</v>
      </c>
      <c r="E415" s="466">
        <v>29</v>
      </c>
      <c r="F415" s="466">
        <v>21</v>
      </c>
      <c r="G415" s="468">
        <v>33</v>
      </c>
      <c r="H415" s="468">
        <v>24</v>
      </c>
      <c r="I415" s="466">
        <v>6250</v>
      </c>
      <c r="J415" s="466">
        <v>5290</v>
      </c>
      <c r="K415" s="472">
        <f t="shared" si="6"/>
        <v>5750</v>
      </c>
      <c r="L415" s="521">
        <v>666</v>
      </c>
      <c r="M415" s="521">
        <v>666</v>
      </c>
      <c r="N415" s="490">
        <v>0</v>
      </c>
      <c r="O415" s="490">
        <v>0</v>
      </c>
      <c r="P415" s="466">
        <v>20</v>
      </c>
      <c r="Q415" s="468">
        <v>26</v>
      </c>
      <c r="R415" s="466">
        <v>92</v>
      </c>
      <c r="S415" s="468">
        <v>121</v>
      </c>
      <c r="T415" s="466">
        <v>560</v>
      </c>
      <c r="U415" s="468">
        <v>680</v>
      </c>
      <c r="V415" s="468">
        <v>0.8</v>
      </c>
      <c r="W415" s="466">
        <v>850</v>
      </c>
      <c r="X415" s="468">
        <v>950</v>
      </c>
      <c r="Y415" s="466">
        <v>80</v>
      </c>
      <c r="AA415" s="466">
        <v>2.7</v>
      </c>
      <c r="AB415" s="466">
        <v>0.3</v>
      </c>
      <c r="AC415" s="466">
        <v>3.8</v>
      </c>
      <c r="AD415" s="466">
        <v>0.4</v>
      </c>
      <c r="AE415" s="466">
        <v>0.25</v>
      </c>
      <c r="AF415" s="468">
        <v>0.28000000000000003</v>
      </c>
      <c r="AG415" s="466">
        <v>0.32</v>
      </c>
      <c r="AH415" s="468">
        <v>0.35</v>
      </c>
      <c r="AI415" s="466">
        <v>0.5</v>
      </c>
      <c r="AJ415" s="466">
        <v>-11</v>
      </c>
      <c r="AK415" s="466">
        <v>3.9</v>
      </c>
      <c r="AL415" s="490">
        <v>20.5</v>
      </c>
      <c r="AM415" s="703">
        <f>'COOLING-TARGET'!E$64</f>
        <v>15.1086005</v>
      </c>
    </row>
    <row r="416" spans="1:40" ht="25" customHeight="1" outlineLevel="1">
      <c r="A416" s="476" t="s">
        <v>219</v>
      </c>
      <c r="B416" s="466">
        <v>180</v>
      </c>
      <c r="C416" s="466">
        <v>-17</v>
      </c>
      <c r="D416" s="466">
        <v>-19</v>
      </c>
      <c r="E416" s="466">
        <v>28</v>
      </c>
      <c r="F416" s="466">
        <v>22</v>
      </c>
      <c r="G416" s="468">
        <v>32</v>
      </c>
      <c r="H416" s="468">
        <v>25</v>
      </c>
      <c r="I416" s="466">
        <v>4100</v>
      </c>
      <c r="J416" s="466">
        <v>3290</v>
      </c>
      <c r="K416" s="472">
        <f t="shared" si="6"/>
        <v>3600</v>
      </c>
      <c r="L416" s="521">
        <v>666</v>
      </c>
      <c r="M416" s="521">
        <v>666</v>
      </c>
      <c r="N416" s="490">
        <v>0</v>
      </c>
      <c r="O416" s="490">
        <v>0</v>
      </c>
      <c r="P416" s="466">
        <v>25</v>
      </c>
      <c r="Q416" s="468">
        <v>32</v>
      </c>
      <c r="R416" s="466">
        <v>92</v>
      </c>
      <c r="S416" s="468">
        <v>118</v>
      </c>
      <c r="T416" s="466">
        <v>800</v>
      </c>
      <c r="U416" s="468">
        <v>930</v>
      </c>
      <c r="V416" s="468">
        <v>1</v>
      </c>
      <c r="W416" s="466">
        <v>830</v>
      </c>
      <c r="X416" s="468">
        <v>900</v>
      </c>
      <c r="Y416" s="466">
        <v>180</v>
      </c>
      <c r="Z416" s="468">
        <v>190</v>
      </c>
      <c r="AA416" s="466">
        <v>2.7</v>
      </c>
      <c r="AB416" s="466">
        <v>0.4</v>
      </c>
      <c r="AC416" s="466">
        <v>3.9</v>
      </c>
      <c r="AD416" s="466">
        <v>0.6</v>
      </c>
      <c r="AE416" s="466">
        <v>0.37</v>
      </c>
      <c r="AF416" s="468">
        <v>0.41</v>
      </c>
      <c r="AG416" s="466">
        <v>0.48</v>
      </c>
      <c r="AH416" s="468">
        <v>0.53</v>
      </c>
      <c r="AI416" s="466">
        <v>0.8</v>
      </c>
      <c r="AJ416" s="466">
        <v>-6</v>
      </c>
      <c r="AK416" s="466">
        <v>5.3</v>
      </c>
      <c r="AL416" s="490">
        <v>20.5</v>
      </c>
      <c r="AM416" s="703">
        <f>'COOLING-TARGET'!E$64</f>
        <v>15.1086005</v>
      </c>
    </row>
    <row r="417" spans="1:39" ht="25" customHeight="1" outlineLevel="1">
      <c r="A417" s="476" t="s">
        <v>218</v>
      </c>
      <c r="B417" s="466">
        <v>355</v>
      </c>
      <c r="C417" s="466">
        <v>-27</v>
      </c>
      <c r="D417" s="466">
        <v>-29</v>
      </c>
      <c r="E417" s="466">
        <v>29</v>
      </c>
      <c r="F417" s="466">
        <v>22</v>
      </c>
      <c r="G417" s="468">
        <v>33</v>
      </c>
      <c r="H417" s="468">
        <v>25</v>
      </c>
      <c r="I417" s="466">
        <v>5090</v>
      </c>
      <c r="J417" s="466">
        <v>4190</v>
      </c>
      <c r="K417" s="472">
        <f t="shared" si="6"/>
        <v>4590</v>
      </c>
      <c r="L417" s="521">
        <v>666</v>
      </c>
      <c r="M417" s="521">
        <v>666</v>
      </c>
      <c r="N417" s="490">
        <v>0</v>
      </c>
      <c r="O417" s="490">
        <v>0</v>
      </c>
      <c r="P417" s="466">
        <v>25</v>
      </c>
      <c r="Q417" s="468">
        <v>32</v>
      </c>
      <c r="R417" s="466">
        <v>103</v>
      </c>
      <c r="S417" s="468">
        <v>132</v>
      </c>
      <c r="T417" s="466">
        <v>830</v>
      </c>
      <c r="U417" s="468">
        <v>980</v>
      </c>
      <c r="V417" s="468">
        <v>1</v>
      </c>
      <c r="W417" s="466">
        <v>975</v>
      </c>
      <c r="X417" s="468">
        <v>1060</v>
      </c>
      <c r="Y417" s="466">
        <v>120</v>
      </c>
      <c r="AA417" s="466">
        <v>2.8</v>
      </c>
      <c r="AB417" s="466">
        <v>0.4</v>
      </c>
      <c r="AC417" s="466">
        <v>3.9</v>
      </c>
      <c r="AD417" s="466">
        <v>0.6</v>
      </c>
      <c r="AE417" s="466">
        <v>0.27</v>
      </c>
      <c r="AF417" s="468">
        <v>0.3</v>
      </c>
      <c r="AG417" s="466">
        <v>0.35</v>
      </c>
      <c r="AH417" s="468">
        <v>0.39</v>
      </c>
      <c r="AI417" s="466">
        <v>0.57999999999999996</v>
      </c>
      <c r="AJ417" s="466">
        <v>-9</v>
      </c>
      <c r="AK417" s="466">
        <v>2.5</v>
      </c>
      <c r="AL417" s="490">
        <v>20.5</v>
      </c>
      <c r="AM417" s="703">
        <f>'COOLING-TARGET'!E$64</f>
        <v>15.1086005</v>
      </c>
    </row>
    <row r="418" spans="1:39" ht="25" customHeight="1" outlineLevel="1">
      <c r="A418" s="476" t="s">
        <v>220</v>
      </c>
      <c r="B418" s="466">
        <v>105</v>
      </c>
      <c r="C418" s="466">
        <v>-16</v>
      </c>
      <c r="D418" s="466">
        <v>-18</v>
      </c>
      <c r="E418" s="466">
        <v>30</v>
      </c>
      <c r="F418" s="466">
        <v>23</v>
      </c>
      <c r="G418" s="468">
        <v>34</v>
      </c>
      <c r="H418" s="468">
        <v>26</v>
      </c>
      <c r="I418" s="466">
        <v>3540</v>
      </c>
      <c r="J418" s="466">
        <v>2780</v>
      </c>
      <c r="K418" s="472">
        <f t="shared" si="6"/>
        <v>3040</v>
      </c>
      <c r="L418" s="484">
        <v>533.5</v>
      </c>
      <c r="M418" s="484">
        <v>596.70000000000005</v>
      </c>
      <c r="N418" s="490">
        <v>0</v>
      </c>
      <c r="O418" s="490">
        <v>0</v>
      </c>
      <c r="P418" s="466">
        <v>23</v>
      </c>
      <c r="Q418" s="468">
        <v>29</v>
      </c>
      <c r="R418" s="466">
        <v>92</v>
      </c>
      <c r="S418" s="468">
        <v>117</v>
      </c>
      <c r="T418" s="466">
        <v>770</v>
      </c>
      <c r="U418" s="468">
        <v>890</v>
      </c>
      <c r="V418" s="468">
        <v>0.9</v>
      </c>
      <c r="W418" s="466">
        <v>850</v>
      </c>
      <c r="X418" s="468">
        <v>930</v>
      </c>
      <c r="Y418" s="466">
        <v>160</v>
      </c>
      <c r="Z418" s="468">
        <v>170</v>
      </c>
      <c r="AA418" s="466">
        <v>1</v>
      </c>
      <c r="AB418" s="466">
        <v>0.4</v>
      </c>
      <c r="AC418" s="466">
        <v>1.5</v>
      </c>
      <c r="AD418" s="466">
        <v>0.6</v>
      </c>
      <c r="AE418" s="466">
        <v>0.36</v>
      </c>
      <c r="AF418" s="468">
        <v>0.4</v>
      </c>
      <c r="AG418" s="466">
        <v>0.46</v>
      </c>
      <c r="AH418" s="468">
        <v>0.51</v>
      </c>
      <c r="AI418" s="466">
        <v>0.75</v>
      </c>
      <c r="AJ418" s="466">
        <v>-5</v>
      </c>
      <c r="AK418" s="466">
        <v>4.5</v>
      </c>
      <c r="AL418" s="490">
        <v>20.5</v>
      </c>
      <c r="AM418" s="703">
        <f>'COOLING-TARGET'!E$64</f>
        <v>15.1086005</v>
      </c>
    </row>
    <row r="419" spans="1:39" ht="25" customHeight="1" outlineLevel="1">
      <c r="A419" s="476" t="s">
        <v>1156</v>
      </c>
      <c r="B419" s="466">
        <v>310</v>
      </c>
      <c r="C419" s="466">
        <v>-18</v>
      </c>
      <c r="D419" s="466">
        <v>-20</v>
      </c>
      <c r="E419" s="466">
        <v>30</v>
      </c>
      <c r="F419" s="466">
        <v>23</v>
      </c>
      <c r="G419" s="468">
        <v>34</v>
      </c>
      <c r="H419" s="468">
        <v>26</v>
      </c>
      <c r="I419" s="466">
        <v>4000</v>
      </c>
      <c r="J419" s="466">
        <v>3200</v>
      </c>
      <c r="K419" s="472">
        <f t="shared" si="6"/>
        <v>3500</v>
      </c>
      <c r="L419" s="521">
        <v>666</v>
      </c>
      <c r="M419" s="521">
        <v>666</v>
      </c>
      <c r="N419" s="490">
        <v>0</v>
      </c>
      <c r="O419" s="490">
        <v>0</v>
      </c>
      <c r="P419" s="466">
        <v>28</v>
      </c>
      <c r="Q419" s="468">
        <v>36</v>
      </c>
      <c r="R419" s="466">
        <v>108</v>
      </c>
      <c r="S419" s="468">
        <v>138</v>
      </c>
      <c r="T419" s="466">
        <v>820</v>
      </c>
      <c r="U419" s="468">
        <v>940</v>
      </c>
      <c r="V419" s="468">
        <v>1</v>
      </c>
      <c r="W419" s="466">
        <v>1025</v>
      </c>
      <c r="X419" s="468">
        <v>1110</v>
      </c>
      <c r="Y419" s="466">
        <v>160</v>
      </c>
      <c r="Z419" s="468">
        <v>180</v>
      </c>
      <c r="AA419" s="466">
        <v>2.2000000000000002</v>
      </c>
      <c r="AB419" s="466">
        <v>0.4</v>
      </c>
      <c r="AC419" s="466">
        <v>3.2</v>
      </c>
      <c r="AD419" s="466">
        <v>0.6</v>
      </c>
      <c r="AE419" s="466">
        <v>0.37</v>
      </c>
      <c r="AF419" s="468">
        <v>0.41</v>
      </c>
      <c r="AG419" s="466">
        <v>0.47</v>
      </c>
      <c r="AH419" s="468">
        <v>0.52</v>
      </c>
      <c r="AI419" s="466">
        <v>0.76</v>
      </c>
      <c r="AJ419" s="466">
        <v>-6</v>
      </c>
      <c r="AK419" s="466">
        <v>4.5</v>
      </c>
      <c r="AL419" s="490">
        <v>20.5</v>
      </c>
      <c r="AM419" s="703">
        <f>'COOLING-TARGET'!E$64</f>
        <v>15.1086005</v>
      </c>
    </row>
    <row r="420" spans="1:39" ht="25" customHeight="1" outlineLevel="1">
      <c r="A420" s="476" t="s">
        <v>221</v>
      </c>
      <c r="B420" s="466">
        <v>225</v>
      </c>
      <c r="C420" s="466">
        <v>-16</v>
      </c>
      <c r="D420" s="466">
        <v>-18</v>
      </c>
      <c r="E420" s="466">
        <v>31</v>
      </c>
      <c r="F420" s="466">
        <v>24</v>
      </c>
      <c r="G420" s="468">
        <v>35</v>
      </c>
      <c r="H420" s="468">
        <v>27</v>
      </c>
      <c r="I420" s="466">
        <v>3780</v>
      </c>
      <c r="J420" s="466">
        <v>3000</v>
      </c>
      <c r="K420" s="472">
        <f t="shared" si="6"/>
        <v>3280</v>
      </c>
      <c r="L420" s="521">
        <v>666</v>
      </c>
      <c r="M420" s="521">
        <v>666</v>
      </c>
      <c r="N420" s="490">
        <v>0</v>
      </c>
      <c r="O420" s="490">
        <v>0</v>
      </c>
      <c r="P420" s="466">
        <v>25</v>
      </c>
      <c r="Q420" s="468">
        <v>32</v>
      </c>
      <c r="R420" s="466">
        <v>103</v>
      </c>
      <c r="S420" s="468">
        <v>131</v>
      </c>
      <c r="T420" s="466">
        <v>900</v>
      </c>
      <c r="U420" s="468">
        <v>1030</v>
      </c>
      <c r="V420" s="468">
        <v>1</v>
      </c>
      <c r="W420" s="466">
        <v>975</v>
      </c>
      <c r="X420" s="468">
        <v>1060</v>
      </c>
      <c r="Y420" s="466">
        <v>180</v>
      </c>
      <c r="Z420" s="468">
        <v>190</v>
      </c>
      <c r="AA420" s="466">
        <v>1.4</v>
      </c>
      <c r="AB420" s="466">
        <v>0.4</v>
      </c>
      <c r="AC420" s="466">
        <v>2</v>
      </c>
      <c r="AD420" s="466">
        <v>0.6</v>
      </c>
      <c r="AE420" s="466">
        <v>0.37</v>
      </c>
      <c r="AF420" s="468">
        <v>0.41</v>
      </c>
      <c r="AG420" s="466">
        <v>0.47</v>
      </c>
      <c r="AH420" s="468">
        <v>0.52</v>
      </c>
      <c r="AI420" s="466">
        <v>0.76</v>
      </c>
      <c r="AJ420" s="466">
        <v>-6</v>
      </c>
      <c r="AK420" s="466">
        <v>4.7</v>
      </c>
      <c r="AL420" s="490">
        <v>20.5</v>
      </c>
      <c r="AM420" s="703">
        <f>'COOLING-TARGET'!E$64</f>
        <v>15.1086005</v>
      </c>
    </row>
    <row r="421" spans="1:39" ht="25" customHeight="1" outlineLevel="1">
      <c r="A421" s="476" t="s">
        <v>222</v>
      </c>
      <c r="B421" s="466">
        <v>120</v>
      </c>
      <c r="C421" s="466">
        <v>-23</v>
      </c>
      <c r="D421" s="466">
        <v>-25</v>
      </c>
      <c r="E421" s="466">
        <v>30</v>
      </c>
      <c r="F421" s="466">
        <v>23</v>
      </c>
      <c r="G421" s="468">
        <v>34</v>
      </c>
      <c r="H421" s="468">
        <v>26</v>
      </c>
      <c r="I421" s="466">
        <v>4220</v>
      </c>
      <c r="J421" s="466">
        <v>3400</v>
      </c>
      <c r="K421" s="472">
        <f t="shared" si="6"/>
        <v>3720</v>
      </c>
      <c r="L421" s="521">
        <v>666</v>
      </c>
      <c r="M421" s="521">
        <v>666</v>
      </c>
      <c r="N421" s="490">
        <v>0</v>
      </c>
      <c r="O421" s="490">
        <v>0</v>
      </c>
      <c r="P421" s="466">
        <v>25</v>
      </c>
      <c r="Q421" s="468">
        <v>32</v>
      </c>
      <c r="R421" s="466">
        <v>97</v>
      </c>
      <c r="S421" s="468">
        <v>124</v>
      </c>
      <c r="T421" s="466">
        <v>740</v>
      </c>
      <c r="U421" s="468">
        <v>850</v>
      </c>
      <c r="V421" s="468">
        <v>0.9</v>
      </c>
      <c r="W421" s="466">
        <v>850</v>
      </c>
      <c r="X421" s="468">
        <v>930</v>
      </c>
      <c r="Y421" s="466">
        <v>120</v>
      </c>
      <c r="Z421" s="468">
        <v>130</v>
      </c>
      <c r="AA421" s="466">
        <v>1.7</v>
      </c>
      <c r="AB421" s="466">
        <v>0.4</v>
      </c>
      <c r="AC421" s="466">
        <v>2.4</v>
      </c>
      <c r="AD421" s="466">
        <v>0.6</v>
      </c>
      <c r="AE421" s="466">
        <v>0.31</v>
      </c>
      <c r="AF421" s="468">
        <v>0.34</v>
      </c>
      <c r="AG421" s="466">
        <v>0.4</v>
      </c>
      <c r="AH421" s="468">
        <v>0.44</v>
      </c>
      <c r="AI421" s="466">
        <v>0.67</v>
      </c>
      <c r="AJ421" s="466">
        <v>-7</v>
      </c>
      <c r="AK421" s="466">
        <v>2.2000000000000002</v>
      </c>
      <c r="AL421" s="490">
        <v>20.5</v>
      </c>
      <c r="AM421" s="703">
        <f>'COOLING-TARGET'!E$64</f>
        <v>15.1086005</v>
      </c>
    </row>
    <row r="422" spans="1:39" ht="25" customHeight="1" outlineLevel="1">
      <c r="A422" s="476" t="s">
        <v>223</v>
      </c>
      <c r="B422" s="466">
        <v>360</v>
      </c>
      <c r="C422" s="466">
        <v>-18</v>
      </c>
      <c r="D422" s="466">
        <v>-20</v>
      </c>
      <c r="E422" s="466">
        <v>29</v>
      </c>
      <c r="F422" s="466">
        <v>23</v>
      </c>
      <c r="G422" s="468">
        <v>33</v>
      </c>
      <c r="H422" s="468">
        <v>26</v>
      </c>
      <c r="I422" s="466">
        <v>4050</v>
      </c>
      <c r="J422" s="466">
        <v>3240</v>
      </c>
      <c r="K422" s="472">
        <f t="shared" si="6"/>
        <v>3550</v>
      </c>
      <c r="L422" s="521">
        <v>666</v>
      </c>
      <c r="M422" s="521">
        <v>666</v>
      </c>
      <c r="N422" s="490">
        <v>0</v>
      </c>
      <c r="O422" s="490">
        <v>0</v>
      </c>
      <c r="P422" s="466">
        <v>28</v>
      </c>
      <c r="Q422" s="468">
        <v>36</v>
      </c>
      <c r="R422" s="466">
        <v>113</v>
      </c>
      <c r="S422" s="468">
        <v>144</v>
      </c>
      <c r="T422" s="466">
        <v>820</v>
      </c>
      <c r="U422" s="468">
        <v>940</v>
      </c>
      <c r="V422" s="468">
        <v>1</v>
      </c>
      <c r="W422" s="466">
        <v>1050</v>
      </c>
      <c r="X422" s="468">
        <v>1140</v>
      </c>
      <c r="Y422" s="466">
        <v>160</v>
      </c>
      <c r="Z422" s="468">
        <v>170</v>
      </c>
      <c r="AA422" s="466">
        <v>2.2999999999999998</v>
      </c>
      <c r="AB422" s="466">
        <v>0.4</v>
      </c>
      <c r="AC422" s="466">
        <v>3.4</v>
      </c>
      <c r="AD422" s="466">
        <v>0.6</v>
      </c>
      <c r="AE422" s="466">
        <v>0.35</v>
      </c>
      <c r="AF422" s="468">
        <v>0.39</v>
      </c>
      <c r="AG422" s="466">
        <v>0.45</v>
      </c>
      <c r="AH422" s="468">
        <v>0.5</v>
      </c>
      <c r="AI422" s="466">
        <v>0.74</v>
      </c>
      <c r="AJ422" s="466">
        <v>-6</v>
      </c>
      <c r="AK422" s="466">
        <v>4.5</v>
      </c>
      <c r="AL422" s="490">
        <v>20.5</v>
      </c>
      <c r="AM422" s="703">
        <f>'COOLING-TARGET'!E$64</f>
        <v>15.1086005</v>
      </c>
    </row>
    <row r="423" spans="1:39" ht="25" customHeight="1" outlineLevel="1">
      <c r="A423" s="476" t="s">
        <v>224</v>
      </c>
      <c r="B423" s="466">
        <v>225</v>
      </c>
      <c r="C423" s="466">
        <v>-17</v>
      </c>
      <c r="D423" s="466">
        <v>-19</v>
      </c>
      <c r="E423" s="466">
        <v>31</v>
      </c>
      <c r="F423" s="466">
        <v>24</v>
      </c>
      <c r="G423" s="468">
        <v>35</v>
      </c>
      <c r="H423" s="468">
        <v>27</v>
      </c>
      <c r="I423" s="466">
        <v>3780</v>
      </c>
      <c r="J423" s="466">
        <v>3000</v>
      </c>
      <c r="K423" s="472">
        <f t="shared" si="6"/>
        <v>3280</v>
      </c>
      <c r="L423" s="521">
        <v>666</v>
      </c>
      <c r="M423" s="521">
        <v>666</v>
      </c>
      <c r="N423" s="490">
        <v>0</v>
      </c>
      <c r="O423" s="490">
        <v>0</v>
      </c>
      <c r="P423" s="466">
        <v>25</v>
      </c>
      <c r="Q423" s="468">
        <v>32</v>
      </c>
      <c r="R423" s="466">
        <v>103</v>
      </c>
      <c r="S423" s="468">
        <v>131</v>
      </c>
      <c r="T423" s="466">
        <v>770</v>
      </c>
      <c r="U423" s="468">
        <v>880</v>
      </c>
      <c r="V423" s="468">
        <v>0.9</v>
      </c>
      <c r="W423" s="466">
        <v>950</v>
      </c>
      <c r="X423" s="468">
        <v>1040</v>
      </c>
      <c r="Y423" s="466">
        <v>180</v>
      </c>
      <c r="Z423" s="468">
        <v>200</v>
      </c>
      <c r="AA423" s="466">
        <v>1.9</v>
      </c>
      <c r="AB423" s="466">
        <v>0.4</v>
      </c>
      <c r="AC423" s="466">
        <v>2.8</v>
      </c>
      <c r="AD423" s="466">
        <v>0.6</v>
      </c>
      <c r="AE423" s="466">
        <v>0.37</v>
      </c>
      <c r="AF423" s="468">
        <v>0.41</v>
      </c>
      <c r="AG423" s="466">
        <v>0.47</v>
      </c>
      <c r="AH423" s="468">
        <v>0.52</v>
      </c>
      <c r="AI423" s="466">
        <v>0.76</v>
      </c>
      <c r="AJ423" s="466">
        <v>-6</v>
      </c>
      <c r="AK423" s="466">
        <v>4.7</v>
      </c>
      <c r="AL423" s="490">
        <v>20.5</v>
      </c>
      <c r="AM423" s="703">
        <f>'COOLING-TARGET'!E$64</f>
        <v>15.1086005</v>
      </c>
    </row>
    <row r="424" spans="1:39" ht="25" customHeight="1" outlineLevel="1">
      <c r="A424" s="476" t="s">
        <v>225</v>
      </c>
      <c r="B424" s="466">
        <v>205</v>
      </c>
      <c r="C424" s="466">
        <v>-28</v>
      </c>
      <c r="D424" s="466">
        <v>-30</v>
      </c>
      <c r="E424" s="466">
        <v>29</v>
      </c>
      <c r="F424" s="466">
        <v>21</v>
      </c>
      <c r="G424" s="468">
        <v>33</v>
      </c>
      <c r="H424" s="468">
        <v>24</v>
      </c>
      <c r="I424" s="466">
        <v>5200</v>
      </c>
      <c r="J424" s="466">
        <v>4280</v>
      </c>
      <c r="K424" s="472">
        <f t="shared" si="6"/>
        <v>4700</v>
      </c>
      <c r="L424" s="521">
        <v>666</v>
      </c>
      <c r="M424" s="521">
        <v>666</v>
      </c>
      <c r="N424" s="490">
        <v>0</v>
      </c>
      <c r="O424" s="490">
        <v>0</v>
      </c>
      <c r="P424" s="466">
        <v>25</v>
      </c>
      <c r="Q424" s="468">
        <v>32</v>
      </c>
      <c r="R424" s="466">
        <v>95</v>
      </c>
      <c r="S424" s="468">
        <v>123</v>
      </c>
      <c r="T424" s="466">
        <v>700</v>
      </c>
      <c r="U424" s="468">
        <v>830</v>
      </c>
      <c r="V424" s="468">
        <v>0.9</v>
      </c>
      <c r="W424" s="466">
        <v>910</v>
      </c>
      <c r="X424" s="468">
        <v>990</v>
      </c>
      <c r="Y424" s="466">
        <v>140</v>
      </c>
      <c r="AA424" s="466">
        <v>2.4</v>
      </c>
      <c r="AB424" s="466">
        <v>0.4</v>
      </c>
      <c r="AC424" s="466">
        <v>3.3</v>
      </c>
      <c r="AD424" s="466">
        <v>0.6</v>
      </c>
      <c r="AE424" s="466">
        <v>0.27</v>
      </c>
      <c r="AF424" s="468">
        <v>0.3</v>
      </c>
      <c r="AG424" s="466">
        <v>0.35</v>
      </c>
      <c r="AH424" s="468">
        <v>0.39</v>
      </c>
      <c r="AI424" s="466">
        <v>0.57999999999999996</v>
      </c>
      <c r="AJ424" s="466">
        <v>-9</v>
      </c>
      <c r="AK424" s="466">
        <v>4.4000000000000004</v>
      </c>
      <c r="AL424" s="490">
        <v>20.5</v>
      </c>
      <c r="AM424" s="703">
        <f>'COOLING-TARGET'!E$64</f>
        <v>15.1086005</v>
      </c>
    </row>
    <row r="425" spans="1:39" ht="25" customHeight="1" outlineLevel="1">
      <c r="A425" s="476" t="s">
        <v>226</v>
      </c>
      <c r="B425" s="466">
        <v>275</v>
      </c>
      <c r="C425" s="466">
        <v>-28</v>
      </c>
      <c r="D425" s="466">
        <v>-30</v>
      </c>
      <c r="E425" s="466">
        <v>29</v>
      </c>
      <c r="F425" s="466">
        <v>21</v>
      </c>
      <c r="G425" s="468">
        <v>33</v>
      </c>
      <c r="H425" s="468">
        <v>24</v>
      </c>
      <c r="I425" s="466">
        <v>5180</v>
      </c>
      <c r="J425" s="466">
        <v>4260</v>
      </c>
      <c r="K425" s="472">
        <f t="shared" si="6"/>
        <v>4680</v>
      </c>
      <c r="L425" s="484">
        <v>145</v>
      </c>
      <c r="M425" s="521">
        <v>666</v>
      </c>
      <c r="N425" s="490">
        <v>0</v>
      </c>
      <c r="O425" s="490">
        <v>0</v>
      </c>
      <c r="P425" s="466">
        <v>25</v>
      </c>
      <c r="Q425" s="468">
        <v>32</v>
      </c>
      <c r="R425" s="466">
        <v>97</v>
      </c>
      <c r="S425" s="468">
        <v>125</v>
      </c>
      <c r="T425" s="466">
        <v>650</v>
      </c>
      <c r="U425" s="468">
        <v>770</v>
      </c>
      <c r="V425" s="468">
        <v>0.8</v>
      </c>
      <c r="W425" s="466">
        <v>875</v>
      </c>
      <c r="X425" s="468">
        <v>950</v>
      </c>
      <c r="Y425" s="466">
        <v>200</v>
      </c>
      <c r="Z425" s="468">
        <v>210</v>
      </c>
      <c r="AA425" s="466">
        <v>2.5</v>
      </c>
      <c r="AB425" s="466">
        <v>0.4</v>
      </c>
      <c r="AC425" s="466">
        <v>3.6</v>
      </c>
      <c r="AD425" s="466">
        <v>0.6</v>
      </c>
      <c r="AE425" s="466">
        <v>0.36</v>
      </c>
      <c r="AF425" s="468">
        <v>0.4</v>
      </c>
      <c r="AG425" s="466">
        <v>0.46</v>
      </c>
      <c r="AH425" s="468">
        <v>0.51</v>
      </c>
      <c r="AI425" s="466">
        <v>0.75</v>
      </c>
      <c r="AJ425" s="466">
        <v>-9</v>
      </c>
      <c r="AK425" s="466">
        <v>4.5</v>
      </c>
      <c r="AL425" s="490">
        <v>20.5</v>
      </c>
      <c r="AM425" s="703">
        <f>'COOLING-TARGET'!E$64</f>
        <v>15.1086005</v>
      </c>
    </row>
    <row r="426" spans="1:39" ht="25" customHeight="1" outlineLevel="1">
      <c r="A426" s="476" t="s">
        <v>227</v>
      </c>
      <c r="B426" s="466">
        <v>340</v>
      </c>
      <c r="C426" s="466">
        <v>-27</v>
      </c>
      <c r="D426" s="466">
        <v>-29</v>
      </c>
      <c r="E426" s="466">
        <v>29</v>
      </c>
      <c r="F426" s="466">
        <v>22</v>
      </c>
      <c r="G426" s="468">
        <v>33</v>
      </c>
      <c r="H426" s="468">
        <v>25</v>
      </c>
      <c r="I426" s="466">
        <v>5080</v>
      </c>
      <c r="J426" s="466">
        <v>4180</v>
      </c>
      <c r="K426" s="472">
        <f t="shared" si="6"/>
        <v>4580</v>
      </c>
      <c r="L426" s="521">
        <v>666</v>
      </c>
      <c r="M426" s="521">
        <v>666</v>
      </c>
      <c r="N426" s="490">
        <v>0</v>
      </c>
      <c r="O426" s="490">
        <v>0</v>
      </c>
      <c r="P426" s="466">
        <v>25</v>
      </c>
      <c r="Q426" s="468">
        <v>32</v>
      </c>
      <c r="R426" s="466">
        <v>97</v>
      </c>
      <c r="S426" s="468">
        <v>125</v>
      </c>
      <c r="T426" s="466">
        <v>840</v>
      </c>
      <c r="U426" s="468">
        <v>990</v>
      </c>
      <c r="V426" s="468">
        <v>1</v>
      </c>
      <c r="W426" s="466">
        <v>975</v>
      </c>
      <c r="X426" s="468">
        <v>1060</v>
      </c>
      <c r="Y426" s="466">
        <v>120</v>
      </c>
      <c r="AA426" s="466">
        <v>2.8</v>
      </c>
      <c r="AB426" s="466">
        <v>0.4</v>
      </c>
      <c r="AC426" s="466">
        <v>3.9</v>
      </c>
      <c r="AD426" s="466">
        <v>0.6</v>
      </c>
      <c r="AE426" s="466">
        <v>0.27</v>
      </c>
      <c r="AF426" s="468">
        <v>0.3</v>
      </c>
      <c r="AG426" s="466">
        <v>0.35</v>
      </c>
      <c r="AH426" s="468">
        <v>0.39</v>
      </c>
      <c r="AI426" s="466">
        <v>0.57999999999999996</v>
      </c>
      <c r="AJ426" s="466">
        <v>-9</v>
      </c>
      <c r="AK426" s="466">
        <v>2.5</v>
      </c>
      <c r="AL426" s="490">
        <v>20.5</v>
      </c>
      <c r="AM426" s="703">
        <f>'COOLING-TARGET'!E$64</f>
        <v>15.1086005</v>
      </c>
    </row>
    <row r="427" spans="1:39" ht="25" customHeight="1" outlineLevel="1">
      <c r="A427" s="476" t="s">
        <v>228</v>
      </c>
      <c r="B427" s="466">
        <v>340</v>
      </c>
      <c r="C427" s="466">
        <v>-19</v>
      </c>
      <c r="D427" s="466">
        <v>-21</v>
      </c>
      <c r="E427" s="466">
        <v>29</v>
      </c>
      <c r="F427" s="466">
        <v>23</v>
      </c>
      <c r="G427" s="468">
        <v>33</v>
      </c>
      <c r="H427" s="468">
        <v>26</v>
      </c>
      <c r="I427" s="466">
        <v>4100</v>
      </c>
      <c r="J427" s="466">
        <v>3290</v>
      </c>
      <c r="K427" s="472">
        <f t="shared" si="6"/>
        <v>3600</v>
      </c>
      <c r="L427" s="521">
        <v>666</v>
      </c>
      <c r="M427" s="521">
        <v>666</v>
      </c>
      <c r="N427" s="490">
        <v>0</v>
      </c>
      <c r="O427" s="490">
        <v>0</v>
      </c>
      <c r="P427" s="466">
        <v>28</v>
      </c>
      <c r="Q427" s="468">
        <v>36</v>
      </c>
      <c r="R427" s="466">
        <v>113</v>
      </c>
      <c r="S427" s="468">
        <v>144</v>
      </c>
      <c r="T427" s="466">
        <v>820</v>
      </c>
      <c r="U427" s="468">
        <v>940</v>
      </c>
      <c r="V427" s="468">
        <v>1</v>
      </c>
      <c r="W427" s="466">
        <v>1010</v>
      </c>
      <c r="X427" s="468">
        <v>1100</v>
      </c>
      <c r="Y427" s="466">
        <v>160</v>
      </c>
      <c r="Z427" s="468">
        <v>170</v>
      </c>
      <c r="AA427" s="466">
        <v>2.1</v>
      </c>
      <c r="AB427" s="466">
        <v>0.4</v>
      </c>
      <c r="AC427" s="466">
        <v>3</v>
      </c>
      <c r="AD427" s="466">
        <v>0.6</v>
      </c>
      <c r="AE427" s="466">
        <v>0.35</v>
      </c>
      <c r="AF427" s="468">
        <v>0.39</v>
      </c>
      <c r="AG427" s="466">
        <v>0.45</v>
      </c>
      <c r="AH427" s="468">
        <v>0.5</v>
      </c>
      <c r="AI427" s="466">
        <v>0.74</v>
      </c>
      <c r="AJ427" s="466">
        <v>-6</v>
      </c>
      <c r="AK427" s="466">
        <v>4.5</v>
      </c>
      <c r="AL427" s="490">
        <v>20.5</v>
      </c>
      <c r="AM427" s="703">
        <f>'COOLING-TARGET'!E$64</f>
        <v>15.1086005</v>
      </c>
    </row>
    <row r="428" spans="1:39" ht="25" customHeight="1" outlineLevel="1">
      <c r="A428" s="476" t="s">
        <v>229</v>
      </c>
      <c r="B428" s="466">
        <v>300</v>
      </c>
      <c r="C428" s="466">
        <v>-30</v>
      </c>
      <c r="D428" s="466">
        <v>-33</v>
      </c>
      <c r="E428" s="466">
        <v>30</v>
      </c>
      <c r="F428" s="466">
        <v>22</v>
      </c>
      <c r="G428" s="468">
        <v>34</v>
      </c>
      <c r="H428" s="468">
        <v>25</v>
      </c>
      <c r="I428" s="466">
        <v>5420</v>
      </c>
      <c r="J428" s="466">
        <v>4490</v>
      </c>
      <c r="K428" s="472">
        <f t="shared" si="6"/>
        <v>4920</v>
      </c>
      <c r="L428" s="521">
        <v>666</v>
      </c>
      <c r="M428" s="521">
        <v>666</v>
      </c>
      <c r="N428" s="490">
        <v>0</v>
      </c>
      <c r="O428" s="490">
        <v>0</v>
      </c>
      <c r="P428" s="466">
        <v>23</v>
      </c>
      <c r="Q428" s="468">
        <v>30</v>
      </c>
      <c r="R428" s="466">
        <v>92</v>
      </c>
      <c r="S428" s="468">
        <v>119</v>
      </c>
      <c r="T428" s="466">
        <v>650</v>
      </c>
      <c r="U428" s="468">
        <v>780</v>
      </c>
      <c r="V428" s="468">
        <v>0.8</v>
      </c>
      <c r="W428" s="466">
        <v>875</v>
      </c>
      <c r="X428" s="468">
        <v>970</v>
      </c>
      <c r="Y428" s="466">
        <v>120</v>
      </c>
      <c r="Z428" s="468">
        <v>130</v>
      </c>
      <c r="AA428" s="466">
        <v>2.6</v>
      </c>
      <c r="AB428" s="466">
        <v>0.4</v>
      </c>
      <c r="AC428" s="466">
        <v>3.6</v>
      </c>
      <c r="AD428" s="466">
        <v>0.6</v>
      </c>
      <c r="AE428" s="466">
        <v>0.28999999999999998</v>
      </c>
      <c r="AF428" s="468">
        <v>0.32</v>
      </c>
      <c r="AG428" s="466">
        <v>0.37</v>
      </c>
      <c r="AH428" s="468">
        <v>0.41</v>
      </c>
      <c r="AI428" s="466">
        <v>0.61</v>
      </c>
      <c r="AJ428" s="466">
        <v>-10</v>
      </c>
      <c r="AK428" s="466">
        <v>3.9</v>
      </c>
      <c r="AL428" s="490">
        <v>20.5</v>
      </c>
      <c r="AM428" s="703">
        <f>'COOLING-TARGET'!E$64</f>
        <v>15.1086005</v>
      </c>
    </row>
    <row r="429" spans="1:39" ht="25" customHeight="1" outlineLevel="1">
      <c r="A429" s="476" t="s">
        <v>230</v>
      </c>
      <c r="B429" s="466">
        <v>280</v>
      </c>
      <c r="C429" s="466">
        <v>-19</v>
      </c>
      <c r="D429" s="466">
        <v>-21</v>
      </c>
      <c r="E429" s="466">
        <v>30</v>
      </c>
      <c r="F429" s="466">
        <v>23</v>
      </c>
      <c r="G429" s="468">
        <v>34</v>
      </c>
      <c r="H429" s="468">
        <v>26</v>
      </c>
      <c r="I429" s="466">
        <v>3950</v>
      </c>
      <c r="J429" s="466">
        <v>3150</v>
      </c>
      <c r="K429" s="472">
        <f t="shared" si="6"/>
        <v>3450</v>
      </c>
      <c r="L429" s="521">
        <v>666</v>
      </c>
      <c r="M429" s="521">
        <v>666</v>
      </c>
      <c r="N429" s="490">
        <v>0</v>
      </c>
      <c r="O429" s="490">
        <v>0</v>
      </c>
      <c r="P429" s="466">
        <v>28</v>
      </c>
      <c r="Q429" s="468">
        <v>36</v>
      </c>
      <c r="R429" s="466">
        <v>108</v>
      </c>
      <c r="S429" s="468">
        <v>138</v>
      </c>
      <c r="T429" s="466">
        <v>820</v>
      </c>
      <c r="U429" s="468">
        <v>940</v>
      </c>
      <c r="V429" s="468">
        <v>0.9</v>
      </c>
      <c r="W429" s="466">
        <v>975</v>
      </c>
      <c r="X429" s="468">
        <v>1050</v>
      </c>
      <c r="Y429" s="466">
        <v>160</v>
      </c>
      <c r="Z429" s="468">
        <v>180</v>
      </c>
      <c r="AA429" s="466">
        <v>1.9</v>
      </c>
      <c r="AB429" s="466">
        <v>0.4</v>
      </c>
      <c r="AC429" s="466">
        <v>2.7</v>
      </c>
      <c r="AD429" s="466">
        <v>0.6</v>
      </c>
      <c r="AE429" s="466">
        <v>0.37</v>
      </c>
      <c r="AF429" s="468">
        <v>0.41</v>
      </c>
      <c r="AG429" s="466">
        <v>0.48</v>
      </c>
      <c r="AH429" s="468">
        <v>0.53</v>
      </c>
      <c r="AI429" s="466">
        <v>0.8</v>
      </c>
      <c r="AJ429" s="466">
        <v>-6</v>
      </c>
      <c r="AK429" s="466">
        <v>4.4000000000000004</v>
      </c>
      <c r="AL429" s="490">
        <v>20.5</v>
      </c>
      <c r="AM429" s="703">
        <f>'COOLING-TARGET'!E$64</f>
        <v>15.1086005</v>
      </c>
    </row>
    <row r="430" spans="1:39" ht="25" customHeight="1" outlineLevel="1">
      <c r="A430" s="476" t="s">
        <v>231</v>
      </c>
      <c r="B430" s="466">
        <v>205</v>
      </c>
      <c r="C430" s="466">
        <v>-16</v>
      </c>
      <c r="D430" s="466">
        <v>-18</v>
      </c>
      <c r="E430" s="466">
        <v>31</v>
      </c>
      <c r="F430" s="466">
        <v>23</v>
      </c>
      <c r="G430" s="468">
        <v>35</v>
      </c>
      <c r="H430" s="468">
        <v>26</v>
      </c>
      <c r="I430" s="466">
        <v>3710</v>
      </c>
      <c r="J430" s="466">
        <v>2930</v>
      </c>
      <c r="K430" s="472">
        <f t="shared" si="6"/>
        <v>3210</v>
      </c>
      <c r="L430" s="521">
        <v>666</v>
      </c>
      <c r="M430" s="521">
        <v>666</v>
      </c>
      <c r="N430" s="490">
        <v>0</v>
      </c>
      <c r="O430" s="490">
        <v>0</v>
      </c>
      <c r="P430" s="466">
        <v>25</v>
      </c>
      <c r="Q430" s="468">
        <v>32</v>
      </c>
      <c r="R430" s="466">
        <v>103</v>
      </c>
      <c r="S430" s="468">
        <v>131</v>
      </c>
      <c r="T430" s="466">
        <v>810</v>
      </c>
      <c r="U430" s="468">
        <v>930</v>
      </c>
      <c r="V430" s="468">
        <v>1.1000000000000001</v>
      </c>
      <c r="W430" s="466">
        <v>900</v>
      </c>
      <c r="X430" s="468">
        <v>980</v>
      </c>
      <c r="Y430" s="466">
        <v>180</v>
      </c>
      <c r="Z430" s="468">
        <v>200</v>
      </c>
      <c r="AA430" s="466">
        <v>2.1</v>
      </c>
      <c r="AB430" s="466">
        <v>0.4</v>
      </c>
      <c r="AC430" s="466">
        <v>3.1</v>
      </c>
      <c r="AD430" s="466">
        <v>0.6</v>
      </c>
      <c r="AE430" s="466">
        <v>0.37</v>
      </c>
      <c r="AF430" s="468">
        <v>0.41</v>
      </c>
      <c r="AG430" s="466">
        <v>0.48</v>
      </c>
      <c r="AH430" s="468">
        <v>0.53</v>
      </c>
      <c r="AI430" s="466">
        <v>0.8</v>
      </c>
      <c r="AJ430" s="466">
        <v>-6</v>
      </c>
      <c r="AK430" s="466">
        <v>5</v>
      </c>
      <c r="AL430" s="490">
        <v>20.5</v>
      </c>
      <c r="AM430" s="703">
        <f>'COOLING-TARGET'!E$64</f>
        <v>15.1086005</v>
      </c>
    </row>
    <row r="431" spans="1:39" ht="25" customHeight="1" outlineLevel="1">
      <c r="A431" s="476" t="s">
        <v>232</v>
      </c>
      <c r="B431" s="466">
        <v>210</v>
      </c>
      <c r="C431" s="466">
        <v>-31</v>
      </c>
      <c r="D431" s="466">
        <v>-33</v>
      </c>
      <c r="E431" s="466">
        <v>29</v>
      </c>
      <c r="F431" s="466">
        <v>21</v>
      </c>
      <c r="G431" s="468">
        <v>33</v>
      </c>
      <c r="H431" s="468">
        <v>24</v>
      </c>
      <c r="I431" s="466">
        <v>5650</v>
      </c>
      <c r="J431" s="466">
        <v>4710</v>
      </c>
      <c r="K431" s="472">
        <f t="shared" si="6"/>
        <v>5150</v>
      </c>
      <c r="L431" s="484">
        <v>100</v>
      </c>
      <c r="M431" s="521">
        <v>666</v>
      </c>
      <c r="N431" s="490">
        <v>0</v>
      </c>
      <c r="O431" s="490">
        <v>0</v>
      </c>
      <c r="P431" s="466">
        <v>23</v>
      </c>
      <c r="Q431" s="468">
        <v>30</v>
      </c>
      <c r="R431" s="466">
        <v>108</v>
      </c>
      <c r="S431" s="468">
        <v>139</v>
      </c>
      <c r="T431" s="466">
        <v>560</v>
      </c>
      <c r="U431" s="468">
        <v>690</v>
      </c>
      <c r="V431" s="468">
        <v>0.8</v>
      </c>
      <c r="W431" s="466">
        <v>710</v>
      </c>
      <c r="X431" s="468">
        <v>790</v>
      </c>
      <c r="Y431" s="466">
        <v>160</v>
      </c>
      <c r="Z431" s="468">
        <v>180</v>
      </c>
      <c r="AA431" s="466">
        <v>2.9</v>
      </c>
      <c r="AB431" s="466">
        <v>0.4</v>
      </c>
      <c r="AC431" s="466">
        <v>4.2</v>
      </c>
      <c r="AD431" s="466">
        <v>0.6</v>
      </c>
      <c r="AE431" s="466">
        <v>0.28999999999999998</v>
      </c>
      <c r="AF431" s="468">
        <v>0.32</v>
      </c>
      <c r="AG431" s="466">
        <v>0.39</v>
      </c>
      <c r="AH431" s="468">
        <v>0.43</v>
      </c>
      <c r="AI431" s="466">
        <v>0.67</v>
      </c>
      <c r="AJ431" s="466">
        <v>-10</v>
      </c>
      <c r="AK431" s="466">
        <v>3.3</v>
      </c>
      <c r="AL431" s="490">
        <v>20.5</v>
      </c>
      <c r="AM431" s="703">
        <f>'COOLING-TARGET'!E$64</f>
        <v>15.1086005</v>
      </c>
    </row>
    <row r="432" spans="1:39" ht="25" customHeight="1" outlineLevel="1">
      <c r="A432" s="476" t="s">
        <v>233</v>
      </c>
      <c r="B432" s="466">
        <v>215</v>
      </c>
      <c r="C432" s="466">
        <v>-17</v>
      </c>
      <c r="D432" s="466">
        <v>-19</v>
      </c>
      <c r="E432" s="466">
        <v>30</v>
      </c>
      <c r="F432" s="466">
        <v>24</v>
      </c>
      <c r="G432" s="468">
        <v>34</v>
      </c>
      <c r="H432" s="468">
        <v>27</v>
      </c>
      <c r="I432" s="466">
        <v>3840</v>
      </c>
      <c r="J432" s="466">
        <v>3050</v>
      </c>
      <c r="K432" s="472">
        <f t="shared" si="6"/>
        <v>3340</v>
      </c>
      <c r="L432" s="521">
        <v>666</v>
      </c>
      <c r="M432" s="521">
        <v>666</v>
      </c>
      <c r="N432" s="490">
        <v>0</v>
      </c>
      <c r="O432" s="490">
        <v>0</v>
      </c>
      <c r="P432" s="466">
        <v>25</v>
      </c>
      <c r="Q432" s="468">
        <v>32</v>
      </c>
      <c r="R432" s="466">
        <v>103</v>
      </c>
      <c r="S432" s="468">
        <v>131</v>
      </c>
      <c r="T432" s="466">
        <v>880</v>
      </c>
      <c r="U432" s="468">
        <v>1000</v>
      </c>
      <c r="V432" s="468">
        <v>1</v>
      </c>
      <c r="W432" s="466">
        <v>980</v>
      </c>
      <c r="X432" s="468">
        <v>1060</v>
      </c>
      <c r="Y432" s="466">
        <v>160</v>
      </c>
      <c r="Z432" s="468">
        <v>170</v>
      </c>
      <c r="AA432" s="466">
        <v>1.3</v>
      </c>
      <c r="AB432" s="466">
        <v>0.4</v>
      </c>
      <c r="AC432" s="466">
        <v>1.9</v>
      </c>
      <c r="AD432" s="466">
        <v>0.6</v>
      </c>
      <c r="AE432" s="466">
        <v>0.34</v>
      </c>
      <c r="AF432" s="468">
        <v>0.37</v>
      </c>
      <c r="AG432" s="466">
        <v>0.44</v>
      </c>
      <c r="AH432" s="468">
        <v>0.48</v>
      </c>
      <c r="AI432" s="466">
        <v>0.73</v>
      </c>
      <c r="AJ432" s="466">
        <v>-6</v>
      </c>
      <c r="AK432" s="466">
        <v>3.5</v>
      </c>
      <c r="AL432" s="490">
        <v>20.5</v>
      </c>
      <c r="AM432" s="703">
        <f>'COOLING-TARGET'!E$64</f>
        <v>15.1086005</v>
      </c>
    </row>
    <row r="433" spans="1:39" ht="25" customHeight="1" outlineLevel="1">
      <c r="A433" s="476" t="s">
        <v>234</v>
      </c>
      <c r="B433" s="466">
        <v>300</v>
      </c>
      <c r="C433" s="466">
        <v>-34</v>
      </c>
      <c r="D433" s="466">
        <v>-36</v>
      </c>
      <c r="E433" s="466">
        <v>29</v>
      </c>
      <c r="F433" s="466">
        <v>21</v>
      </c>
      <c r="G433" s="468">
        <v>33</v>
      </c>
      <c r="H433" s="468">
        <v>24</v>
      </c>
      <c r="I433" s="466">
        <v>5940</v>
      </c>
      <c r="J433" s="466">
        <v>4990</v>
      </c>
      <c r="K433" s="472">
        <f t="shared" si="6"/>
        <v>5440</v>
      </c>
      <c r="L433" s="521">
        <v>666</v>
      </c>
      <c r="M433" s="521">
        <v>666</v>
      </c>
      <c r="N433" s="490">
        <v>0</v>
      </c>
      <c r="O433" s="490">
        <v>0</v>
      </c>
      <c r="P433" s="466">
        <v>20</v>
      </c>
      <c r="Q433" s="468">
        <v>26</v>
      </c>
      <c r="R433" s="466">
        <v>108</v>
      </c>
      <c r="S433" s="468">
        <v>141</v>
      </c>
      <c r="T433" s="466">
        <v>560</v>
      </c>
      <c r="U433" s="468">
        <v>680</v>
      </c>
      <c r="V433" s="468">
        <v>0.8</v>
      </c>
      <c r="W433" s="466">
        <v>875</v>
      </c>
      <c r="X433" s="468">
        <v>980</v>
      </c>
      <c r="Y433" s="466">
        <v>100</v>
      </c>
      <c r="AA433" s="466">
        <v>3.1</v>
      </c>
      <c r="AB433" s="466">
        <v>0.3</v>
      </c>
      <c r="AC433" s="466">
        <v>4.3</v>
      </c>
      <c r="AD433" s="466">
        <v>0.4</v>
      </c>
      <c r="AE433" s="466">
        <v>0.27</v>
      </c>
      <c r="AF433" s="468">
        <v>0.3</v>
      </c>
      <c r="AG433" s="466">
        <v>0.35</v>
      </c>
      <c r="AH433" s="468">
        <v>0.39</v>
      </c>
      <c r="AI433" s="466">
        <v>0.55000000000000004</v>
      </c>
      <c r="AJ433" s="466">
        <v>-11</v>
      </c>
      <c r="AK433" s="466">
        <v>3.5</v>
      </c>
      <c r="AL433" s="490">
        <v>20.5</v>
      </c>
      <c r="AM433" s="703">
        <f>'COOLING-TARGET'!E$64</f>
        <v>15.1086005</v>
      </c>
    </row>
    <row r="434" spans="1:39" ht="25" customHeight="1" outlineLevel="1">
      <c r="A434" s="476" t="s">
        <v>235</v>
      </c>
      <c r="B434" s="466">
        <v>295</v>
      </c>
      <c r="C434" s="466">
        <v>-34</v>
      </c>
      <c r="D434" s="466">
        <v>-36</v>
      </c>
      <c r="E434" s="466">
        <v>29</v>
      </c>
      <c r="F434" s="466">
        <v>21</v>
      </c>
      <c r="G434" s="468">
        <v>33</v>
      </c>
      <c r="H434" s="468">
        <v>24</v>
      </c>
      <c r="I434" s="466">
        <v>6000</v>
      </c>
      <c r="J434" s="466">
        <v>5050</v>
      </c>
      <c r="K434" s="472">
        <f t="shared" si="6"/>
        <v>5500</v>
      </c>
      <c r="L434" s="521">
        <v>666</v>
      </c>
      <c r="M434" s="521">
        <v>666</v>
      </c>
      <c r="N434" s="490">
        <v>0</v>
      </c>
      <c r="O434" s="490">
        <v>0</v>
      </c>
      <c r="P434" s="466">
        <v>20</v>
      </c>
      <c r="Q434" s="468">
        <v>26</v>
      </c>
      <c r="R434" s="466">
        <v>103</v>
      </c>
      <c r="S434" s="468">
        <v>135</v>
      </c>
      <c r="T434" s="466">
        <v>560</v>
      </c>
      <c r="U434" s="468">
        <v>680</v>
      </c>
      <c r="V434" s="468">
        <v>0.8</v>
      </c>
      <c r="W434" s="466">
        <v>875</v>
      </c>
      <c r="X434" s="468">
        <v>980</v>
      </c>
      <c r="Y434" s="466">
        <v>100</v>
      </c>
      <c r="AA434" s="466">
        <v>2.9</v>
      </c>
      <c r="AB434" s="466">
        <v>0.3</v>
      </c>
      <c r="AC434" s="466">
        <v>4</v>
      </c>
      <c r="AD434" s="466">
        <v>0.4</v>
      </c>
      <c r="AE434" s="466">
        <v>0.28999999999999998</v>
      </c>
      <c r="AF434" s="468">
        <v>0.32</v>
      </c>
      <c r="AG434" s="466">
        <v>0.37</v>
      </c>
      <c r="AH434" s="468">
        <v>0.41</v>
      </c>
      <c r="AI434" s="466">
        <v>0.57999999999999996</v>
      </c>
      <c r="AJ434" s="466">
        <v>-11</v>
      </c>
      <c r="AK434" s="466">
        <v>3.5</v>
      </c>
      <c r="AL434" s="490">
        <v>20.5</v>
      </c>
      <c r="AM434" s="703">
        <f>'COOLING-TARGET'!E$64</f>
        <v>15.1086005</v>
      </c>
    </row>
    <row r="435" spans="1:39" ht="25" customHeight="1" outlineLevel="1">
      <c r="A435" s="476" t="s">
        <v>1157</v>
      </c>
      <c r="B435" s="466">
        <v>160</v>
      </c>
      <c r="C435" s="466">
        <v>-20</v>
      </c>
      <c r="D435" s="466">
        <v>-22</v>
      </c>
      <c r="E435" s="466">
        <v>31</v>
      </c>
      <c r="F435" s="466">
        <v>24</v>
      </c>
      <c r="G435" s="468">
        <v>35</v>
      </c>
      <c r="H435" s="468">
        <v>27</v>
      </c>
      <c r="I435" s="466">
        <v>3800</v>
      </c>
      <c r="J435" s="466">
        <v>3010</v>
      </c>
      <c r="K435" s="472">
        <f t="shared" si="6"/>
        <v>3300</v>
      </c>
      <c r="L435" s="484">
        <v>362</v>
      </c>
      <c r="M435" s="484">
        <v>459</v>
      </c>
      <c r="N435" s="490">
        <v>0</v>
      </c>
      <c r="O435" s="490">
        <v>0</v>
      </c>
      <c r="P435" s="466">
        <v>26</v>
      </c>
      <c r="Q435" s="468">
        <v>33</v>
      </c>
      <c r="R435" s="466">
        <v>108</v>
      </c>
      <c r="S435" s="468">
        <v>138</v>
      </c>
      <c r="T435" s="466">
        <v>720</v>
      </c>
      <c r="U435" s="468">
        <v>830</v>
      </c>
      <c r="V435" s="468">
        <v>0.8</v>
      </c>
      <c r="W435" s="466">
        <v>800</v>
      </c>
      <c r="X435" s="468">
        <v>880</v>
      </c>
      <c r="Y435" s="466">
        <v>160</v>
      </c>
      <c r="Z435" s="468">
        <v>170</v>
      </c>
      <c r="AA435" s="466">
        <v>1.1000000000000001</v>
      </c>
      <c r="AB435" s="466">
        <v>0.4</v>
      </c>
      <c r="AC435" s="466">
        <v>1.6</v>
      </c>
      <c r="AD435" s="466">
        <v>0.6</v>
      </c>
      <c r="AE435" s="466">
        <v>0.34</v>
      </c>
      <c r="AF435" s="468">
        <v>0.37</v>
      </c>
      <c r="AG435" s="466">
        <v>0.44</v>
      </c>
      <c r="AH435" s="468">
        <v>0.48</v>
      </c>
      <c r="AI435" s="466">
        <v>0.73</v>
      </c>
      <c r="AJ435" s="466">
        <v>-6</v>
      </c>
      <c r="AK435" s="466">
        <v>4</v>
      </c>
      <c r="AL435" s="490">
        <v>20.5</v>
      </c>
      <c r="AM435" s="703">
        <f>'COOLING-TARGET'!E$64</f>
        <v>15.1086005</v>
      </c>
    </row>
    <row r="436" spans="1:39" ht="25" customHeight="1" outlineLevel="1">
      <c r="A436" s="476" t="s">
        <v>1158</v>
      </c>
      <c r="B436" s="466">
        <v>175</v>
      </c>
      <c r="C436" s="466">
        <v>-20</v>
      </c>
      <c r="D436" s="466">
        <v>-22</v>
      </c>
      <c r="E436" s="466">
        <v>31</v>
      </c>
      <c r="F436" s="466">
        <v>24</v>
      </c>
      <c r="G436" s="468">
        <v>35</v>
      </c>
      <c r="H436" s="468">
        <v>27</v>
      </c>
      <c r="I436" s="466">
        <v>3760</v>
      </c>
      <c r="J436" s="466">
        <v>2980</v>
      </c>
      <c r="K436" s="472">
        <f t="shared" si="6"/>
        <v>3260</v>
      </c>
      <c r="L436" s="484">
        <v>362</v>
      </c>
      <c r="M436" s="484">
        <v>459</v>
      </c>
      <c r="N436" s="490">
        <v>0</v>
      </c>
      <c r="O436" s="490">
        <v>0</v>
      </c>
      <c r="P436" s="466">
        <v>25</v>
      </c>
      <c r="Q436" s="468">
        <v>32</v>
      </c>
      <c r="R436" s="466">
        <v>108</v>
      </c>
      <c r="S436" s="468">
        <v>138</v>
      </c>
      <c r="T436" s="466">
        <v>730</v>
      </c>
      <c r="U436" s="468">
        <v>840</v>
      </c>
      <c r="V436" s="468">
        <v>0.8</v>
      </c>
      <c r="W436" s="466">
        <v>850</v>
      </c>
      <c r="X436" s="468">
        <v>930</v>
      </c>
      <c r="Y436" s="466">
        <v>150</v>
      </c>
      <c r="Z436" s="468">
        <v>160</v>
      </c>
      <c r="AA436" s="466">
        <v>1.2</v>
      </c>
      <c r="AB436" s="466">
        <v>0.4</v>
      </c>
      <c r="AC436" s="466">
        <v>1.7</v>
      </c>
      <c r="AD436" s="466">
        <v>0.6</v>
      </c>
      <c r="AE436" s="466">
        <v>0.34</v>
      </c>
      <c r="AF436" s="468">
        <v>0.37</v>
      </c>
      <c r="AG436" s="466">
        <v>0.44</v>
      </c>
      <c r="AH436" s="468">
        <v>0.48</v>
      </c>
      <c r="AI436" s="466">
        <v>0.73</v>
      </c>
      <c r="AJ436" s="466">
        <v>-6</v>
      </c>
      <c r="AK436" s="466">
        <v>4</v>
      </c>
      <c r="AL436" s="490">
        <v>20.5</v>
      </c>
      <c r="AM436" s="703">
        <f>'COOLING-TARGET'!E$64</f>
        <v>15.1086005</v>
      </c>
    </row>
    <row r="437" spans="1:39" ht="25" customHeight="1" outlineLevel="1">
      <c r="A437" s="476" t="s">
        <v>1159</v>
      </c>
      <c r="B437" s="466">
        <v>180</v>
      </c>
      <c r="C437" s="466">
        <v>-20</v>
      </c>
      <c r="D437" s="466">
        <v>-22</v>
      </c>
      <c r="E437" s="466">
        <v>31</v>
      </c>
      <c r="F437" s="466">
        <v>24</v>
      </c>
      <c r="G437" s="468">
        <v>35</v>
      </c>
      <c r="H437" s="468">
        <v>27</v>
      </c>
      <c r="I437" s="466">
        <v>3800</v>
      </c>
      <c r="J437" s="466">
        <v>3010</v>
      </c>
      <c r="K437" s="472">
        <f t="shared" si="6"/>
        <v>3300</v>
      </c>
      <c r="L437" s="484">
        <v>362</v>
      </c>
      <c r="M437" s="484">
        <v>459</v>
      </c>
      <c r="N437" s="490">
        <v>0</v>
      </c>
      <c r="O437" s="490">
        <v>0</v>
      </c>
      <c r="P437" s="466">
        <v>25</v>
      </c>
      <c r="Q437" s="468">
        <v>32</v>
      </c>
      <c r="R437" s="466">
        <v>92</v>
      </c>
      <c r="S437" s="468">
        <v>118</v>
      </c>
      <c r="T437" s="466">
        <v>730</v>
      </c>
      <c r="U437" s="468">
        <v>840</v>
      </c>
      <c r="V437" s="468">
        <v>0.9</v>
      </c>
      <c r="W437" s="466">
        <v>825</v>
      </c>
      <c r="X437" s="468">
        <v>900</v>
      </c>
      <c r="Y437" s="466">
        <v>160</v>
      </c>
      <c r="Z437" s="468">
        <v>170</v>
      </c>
      <c r="AA437" s="466">
        <v>1.2</v>
      </c>
      <c r="AB437" s="466">
        <v>0.4</v>
      </c>
      <c r="AC437" s="466">
        <v>1.8</v>
      </c>
      <c r="AD437" s="466">
        <v>0.6</v>
      </c>
      <c r="AE437" s="466">
        <v>0.37</v>
      </c>
      <c r="AF437" s="468">
        <v>0.41</v>
      </c>
      <c r="AG437" s="466">
        <v>0.47</v>
      </c>
      <c r="AH437" s="468">
        <v>0.52</v>
      </c>
      <c r="AI437" s="466">
        <v>0.76</v>
      </c>
      <c r="AJ437" s="466">
        <v>-6</v>
      </c>
      <c r="AK437" s="466">
        <v>4</v>
      </c>
      <c r="AL437" s="490">
        <v>20.5</v>
      </c>
      <c r="AM437" s="703">
        <f>'COOLING-TARGET'!E$64</f>
        <v>15.1086005</v>
      </c>
    </row>
    <row r="438" spans="1:39" ht="25" customHeight="1" outlineLevel="1">
      <c r="A438" s="476" t="s">
        <v>236</v>
      </c>
      <c r="B438" s="466">
        <v>90</v>
      </c>
      <c r="C438" s="466">
        <v>-18</v>
      </c>
      <c r="D438" s="466">
        <v>-20</v>
      </c>
      <c r="E438" s="466">
        <v>31</v>
      </c>
      <c r="F438" s="466">
        <v>23</v>
      </c>
      <c r="G438" s="468">
        <v>35</v>
      </c>
      <c r="H438" s="468">
        <v>26</v>
      </c>
      <c r="I438" s="466">
        <v>3520</v>
      </c>
      <c r="J438" s="466">
        <v>2760</v>
      </c>
      <c r="K438" s="472">
        <f t="shared" si="6"/>
        <v>3020</v>
      </c>
      <c r="L438" s="484">
        <v>362</v>
      </c>
      <c r="M438" s="484">
        <v>459</v>
      </c>
      <c r="N438" s="490">
        <v>0</v>
      </c>
      <c r="O438" s="490">
        <v>0</v>
      </c>
      <c r="P438" s="466">
        <v>25</v>
      </c>
      <c r="Q438" s="468">
        <v>32</v>
      </c>
      <c r="R438" s="466">
        <v>97</v>
      </c>
      <c r="S438" s="468">
        <v>124</v>
      </c>
      <c r="T438" s="466">
        <v>720</v>
      </c>
      <c r="U438" s="468">
        <v>830</v>
      </c>
      <c r="V438" s="468">
        <v>0.9</v>
      </c>
      <c r="W438" s="466">
        <v>820</v>
      </c>
      <c r="X438" s="468">
        <v>900</v>
      </c>
      <c r="Y438" s="466">
        <v>160</v>
      </c>
      <c r="Z438" s="468">
        <v>170</v>
      </c>
      <c r="AA438" s="466">
        <v>0.9</v>
      </c>
      <c r="AB438" s="466">
        <v>0.4</v>
      </c>
      <c r="AC438" s="466">
        <v>1.3</v>
      </c>
      <c r="AD438" s="466">
        <v>0.6</v>
      </c>
      <c r="AE438" s="466">
        <v>0.34</v>
      </c>
      <c r="AF438" s="468">
        <v>0.37</v>
      </c>
      <c r="AG438" s="466">
        <v>0.44</v>
      </c>
      <c r="AH438" s="468">
        <v>0.48</v>
      </c>
      <c r="AI438" s="466">
        <v>0.73</v>
      </c>
      <c r="AJ438" s="466">
        <v>-5</v>
      </c>
      <c r="AK438" s="466">
        <v>4</v>
      </c>
      <c r="AL438" s="490">
        <v>20.5</v>
      </c>
      <c r="AM438" s="703">
        <f>'COOLING-TARGET'!E$64</f>
        <v>15.1086005</v>
      </c>
    </row>
    <row r="439" spans="1:39" ht="25" customHeight="1" outlineLevel="1">
      <c r="A439" s="476" t="s">
        <v>237</v>
      </c>
      <c r="B439" s="466">
        <v>80</v>
      </c>
      <c r="C439" s="466">
        <v>-22</v>
      </c>
      <c r="D439" s="466">
        <v>-24</v>
      </c>
      <c r="E439" s="466">
        <v>29</v>
      </c>
      <c r="F439" s="466">
        <v>23</v>
      </c>
      <c r="G439" s="468">
        <v>33</v>
      </c>
      <c r="H439" s="468">
        <v>26</v>
      </c>
      <c r="I439" s="466">
        <v>4110</v>
      </c>
      <c r="J439" s="466">
        <v>3300</v>
      </c>
      <c r="K439" s="472">
        <f t="shared" si="6"/>
        <v>3610</v>
      </c>
      <c r="L439" s="521">
        <v>666</v>
      </c>
      <c r="M439" s="521">
        <v>666</v>
      </c>
      <c r="N439" s="490">
        <v>0</v>
      </c>
      <c r="O439" s="490">
        <v>0</v>
      </c>
      <c r="P439" s="466">
        <v>23</v>
      </c>
      <c r="Q439" s="468">
        <v>29</v>
      </c>
      <c r="R439" s="466">
        <v>97</v>
      </c>
      <c r="S439" s="468">
        <v>124</v>
      </c>
      <c r="T439" s="466">
        <v>760</v>
      </c>
      <c r="U439" s="468">
        <v>870</v>
      </c>
      <c r="V439" s="468">
        <v>0.9</v>
      </c>
      <c r="W439" s="466">
        <v>850</v>
      </c>
      <c r="X439" s="468">
        <v>920</v>
      </c>
      <c r="Y439" s="466">
        <v>160</v>
      </c>
      <c r="Z439" s="468">
        <v>170</v>
      </c>
      <c r="AA439" s="466">
        <v>1.6</v>
      </c>
      <c r="AB439" s="466">
        <v>0.4</v>
      </c>
      <c r="AC439" s="466">
        <v>2.2999999999999998</v>
      </c>
      <c r="AD439" s="466">
        <v>0.6</v>
      </c>
      <c r="AE439" s="466">
        <v>0.37</v>
      </c>
      <c r="AF439" s="468">
        <v>0.41</v>
      </c>
      <c r="AG439" s="466">
        <v>0.47</v>
      </c>
      <c r="AH439" s="468">
        <v>0.52</v>
      </c>
      <c r="AI439" s="466">
        <v>0.76</v>
      </c>
      <c r="AJ439" s="466">
        <v>-6</v>
      </c>
      <c r="AK439" s="466">
        <v>4</v>
      </c>
      <c r="AL439" s="490">
        <v>20.5</v>
      </c>
      <c r="AM439" s="703">
        <f>'COOLING-TARGET'!E$64</f>
        <v>15.1086005</v>
      </c>
    </row>
    <row r="440" spans="1:39" ht="25" customHeight="1" outlineLevel="1">
      <c r="A440" s="476" t="s">
        <v>238</v>
      </c>
      <c r="B440" s="466">
        <v>330</v>
      </c>
      <c r="C440" s="466">
        <v>-27</v>
      </c>
      <c r="D440" s="466">
        <v>-29</v>
      </c>
      <c r="E440" s="466">
        <v>29</v>
      </c>
      <c r="F440" s="466">
        <v>22</v>
      </c>
      <c r="G440" s="468">
        <v>33</v>
      </c>
      <c r="H440" s="468">
        <v>25</v>
      </c>
      <c r="I440" s="466">
        <v>5100</v>
      </c>
      <c r="J440" s="466">
        <v>4200</v>
      </c>
      <c r="K440" s="472">
        <f t="shared" si="6"/>
        <v>4600</v>
      </c>
      <c r="L440" s="521">
        <v>666</v>
      </c>
      <c r="M440" s="521">
        <v>666</v>
      </c>
      <c r="N440" s="490">
        <v>0</v>
      </c>
      <c r="O440" s="490">
        <v>0</v>
      </c>
      <c r="P440" s="466">
        <v>25</v>
      </c>
      <c r="Q440" s="468">
        <v>32</v>
      </c>
      <c r="R440" s="466">
        <v>103</v>
      </c>
      <c r="S440" s="468">
        <v>133</v>
      </c>
      <c r="T440" s="466">
        <v>780</v>
      </c>
      <c r="U440" s="468">
        <v>920</v>
      </c>
      <c r="V440" s="468">
        <v>0.9</v>
      </c>
      <c r="W440" s="466">
        <v>975</v>
      </c>
      <c r="X440" s="468">
        <v>1060</v>
      </c>
      <c r="Y440" s="466">
        <v>120</v>
      </c>
      <c r="AA440" s="466">
        <v>2.7</v>
      </c>
      <c r="AB440" s="466">
        <v>0.4</v>
      </c>
      <c r="AC440" s="466">
        <v>3.7</v>
      </c>
      <c r="AD440" s="466">
        <v>0.6</v>
      </c>
      <c r="AE440" s="466">
        <v>0.27</v>
      </c>
      <c r="AF440" s="468">
        <v>0.3</v>
      </c>
      <c r="AG440" s="466">
        <v>0.35</v>
      </c>
      <c r="AH440" s="468">
        <v>0.39</v>
      </c>
      <c r="AI440" s="466">
        <v>0.57999999999999996</v>
      </c>
      <c r="AJ440" s="466">
        <v>-9</v>
      </c>
      <c r="AK440" s="466">
        <v>2.5</v>
      </c>
      <c r="AL440" s="490">
        <v>20.5</v>
      </c>
      <c r="AM440" s="703">
        <f>'COOLING-TARGET'!E$64</f>
        <v>15.1086005</v>
      </c>
    </row>
    <row r="441" spans="1:39" ht="25" customHeight="1" outlineLevel="1">
      <c r="A441" s="476" t="s">
        <v>239</v>
      </c>
      <c r="B441" s="466">
        <v>275</v>
      </c>
      <c r="C441" s="466">
        <v>-22</v>
      </c>
      <c r="D441" s="466">
        <v>-24</v>
      </c>
      <c r="E441" s="466">
        <v>30</v>
      </c>
      <c r="F441" s="466">
        <v>23</v>
      </c>
      <c r="G441" s="468">
        <v>34</v>
      </c>
      <c r="H441" s="468">
        <v>26</v>
      </c>
      <c r="I441" s="466">
        <v>4240</v>
      </c>
      <c r="J441" s="466">
        <v>3410</v>
      </c>
      <c r="K441" s="472">
        <f t="shared" si="6"/>
        <v>3740</v>
      </c>
      <c r="L441" s="521">
        <v>666</v>
      </c>
      <c r="M441" s="521">
        <v>666</v>
      </c>
      <c r="N441" s="490">
        <v>0</v>
      </c>
      <c r="O441" s="490">
        <v>0</v>
      </c>
      <c r="P441" s="466">
        <v>25</v>
      </c>
      <c r="Q441" s="468">
        <v>32</v>
      </c>
      <c r="R441" s="466">
        <v>103</v>
      </c>
      <c r="S441" s="468">
        <v>133</v>
      </c>
      <c r="T441" s="466">
        <v>700</v>
      </c>
      <c r="U441" s="468">
        <v>810</v>
      </c>
      <c r="V441" s="468">
        <v>0.8</v>
      </c>
      <c r="W441" s="466">
        <v>850</v>
      </c>
      <c r="X441" s="468">
        <v>930</v>
      </c>
      <c r="Y441" s="466">
        <v>140</v>
      </c>
      <c r="Z441" s="468">
        <v>150</v>
      </c>
      <c r="AA441" s="466">
        <v>2.4</v>
      </c>
      <c r="AB441" s="466">
        <v>0.4</v>
      </c>
      <c r="AC441" s="466">
        <v>3.5</v>
      </c>
      <c r="AD441" s="466">
        <v>0.6</v>
      </c>
      <c r="AE441" s="466">
        <v>0.33</v>
      </c>
      <c r="AF441" s="468">
        <v>0.36</v>
      </c>
      <c r="AG441" s="466">
        <v>0.42</v>
      </c>
      <c r="AH441" s="468">
        <v>0.46</v>
      </c>
      <c r="AI441" s="466">
        <v>0.68</v>
      </c>
      <c r="AJ441" s="466">
        <v>-7</v>
      </c>
      <c r="AK441" s="466">
        <v>3.4</v>
      </c>
      <c r="AL441" s="490">
        <v>20.5</v>
      </c>
      <c r="AM441" s="703">
        <f>'COOLING-TARGET'!E$64</f>
        <v>15.1086005</v>
      </c>
    </row>
    <row r="442" spans="1:39" ht="25" customHeight="1" outlineLevel="1">
      <c r="A442" s="476" t="s">
        <v>240</v>
      </c>
      <c r="B442" s="466">
        <v>165</v>
      </c>
      <c r="C442" s="466">
        <v>-20</v>
      </c>
      <c r="D442" s="466">
        <v>-22</v>
      </c>
      <c r="E442" s="466">
        <v>31</v>
      </c>
      <c r="F442" s="466">
        <v>24</v>
      </c>
      <c r="G442" s="468">
        <v>35</v>
      </c>
      <c r="H442" s="468">
        <v>27</v>
      </c>
      <c r="I442" s="466">
        <v>4100</v>
      </c>
      <c r="J442" s="466">
        <v>3290</v>
      </c>
      <c r="K442" s="472">
        <f t="shared" si="6"/>
        <v>3600</v>
      </c>
      <c r="L442" s="521">
        <v>666</v>
      </c>
      <c r="M442" s="521">
        <v>666</v>
      </c>
      <c r="N442" s="490">
        <v>0</v>
      </c>
      <c r="O442" s="490">
        <v>0</v>
      </c>
      <c r="P442" s="466">
        <v>26</v>
      </c>
      <c r="Q442" s="468">
        <v>33</v>
      </c>
      <c r="R442" s="466">
        <v>113</v>
      </c>
      <c r="S442" s="468">
        <v>145</v>
      </c>
      <c r="T442" s="466">
        <v>700</v>
      </c>
      <c r="U442" s="468">
        <v>810</v>
      </c>
      <c r="V442" s="468">
        <v>0.8</v>
      </c>
      <c r="W442" s="466">
        <v>800</v>
      </c>
      <c r="X442" s="468">
        <v>880</v>
      </c>
      <c r="Y442" s="466">
        <v>140</v>
      </c>
      <c r="Z442" s="468">
        <v>150</v>
      </c>
      <c r="AA442" s="466">
        <v>1.1000000000000001</v>
      </c>
      <c r="AB442" s="466">
        <v>0.4</v>
      </c>
      <c r="AC442" s="466">
        <v>1.6</v>
      </c>
      <c r="AD442" s="466">
        <v>0.6</v>
      </c>
      <c r="AE442" s="466">
        <v>0.34</v>
      </c>
      <c r="AF442" s="468">
        <v>0.37</v>
      </c>
      <c r="AG442" s="466">
        <v>0.44</v>
      </c>
      <c r="AH442" s="468">
        <v>0.48</v>
      </c>
      <c r="AI442" s="466">
        <v>0.73</v>
      </c>
      <c r="AJ442" s="466">
        <v>-6</v>
      </c>
      <c r="AK442" s="466">
        <v>4</v>
      </c>
      <c r="AL442" s="490">
        <v>20.5</v>
      </c>
      <c r="AM442" s="703">
        <f>'COOLING-TARGET'!E$64</f>
        <v>15.1086005</v>
      </c>
    </row>
    <row r="443" spans="1:39" ht="25" customHeight="1" outlineLevel="1">
      <c r="A443" s="476" t="s">
        <v>241</v>
      </c>
      <c r="B443" s="466">
        <v>215</v>
      </c>
      <c r="C443" s="466">
        <v>-15</v>
      </c>
      <c r="D443" s="466">
        <v>-17</v>
      </c>
      <c r="E443" s="466">
        <v>30</v>
      </c>
      <c r="F443" s="466">
        <v>24</v>
      </c>
      <c r="G443" s="468">
        <v>34</v>
      </c>
      <c r="H443" s="468">
        <v>27</v>
      </c>
      <c r="I443" s="466">
        <v>3680</v>
      </c>
      <c r="J443" s="466">
        <v>2900</v>
      </c>
      <c r="K443" s="472">
        <f t="shared" si="6"/>
        <v>3180</v>
      </c>
      <c r="L443" s="521">
        <v>666</v>
      </c>
      <c r="M443" s="521">
        <v>666</v>
      </c>
      <c r="N443" s="490">
        <v>0</v>
      </c>
      <c r="O443" s="490">
        <v>0</v>
      </c>
      <c r="P443" s="466">
        <v>25</v>
      </c>
      <c r="Q443" s="468">
        <v>32</v>
      </c>
      <c r="R443" s="466">
        <v>113</v>
      </c>
      <c r="S443" s="468">
        <v>143</v>
      </c>
      <c r="T443" s="466">
        <v>880</v>
      </c>
      <c r="U443" s="468">
        <v>1010</v>
      </c>
      <c r="V443" s="468">
        <v>1</v>
      </c>
      <c r="W443" s="466">
        <v>950</v>
      </c>
      <c r="X443" s="468">
        <v>1030</v>
      </c>
      <c r="Y443" s="466">
        <v>160</v>
      </c>
      <c r="Z443" s="468">
        <v>170</v>
      </c>
      <c r="AA443" s="466">
        <v>1.3</v>
      </c>
      <c r="AB443" s="466">
        <v>0.4</v>
      </c>
      <c r="AC443" s="466">
        <v>1.9</v>
      </c>
      <c r="AD443" s="466">
        <v>0.6</v>
      </c>
      <c r="AE443" s="466">
        <v>0.37</v>
      </c>
      <c r="AF443" s="468">
        <v>0.41</v>
      </c>
      <c r="AG443" s="466">
        <v>0.47</v>
      </c>
      <c r="AH443" s="468">
        <v>0.52</v>
      </c>
      <c r="AI443" s="466">
        <v>0.76</v>
      </c>
      <c r="AJ443" s="466">
        <v>-6</v>
      </c>
      <c r="AK443" s="466">
        <v>4.8</v>
      </c>
      <c r="AL443" s="490">
        <v>20.5</v>
      </c>
      <c r="AM443" s="703">
        <f>'COOLING-TARGET'!E$64</f>
        <v>15.1086005</v>
      </c>
    </row>
    <row r="444" spans="1:39" ht="25" customHeight="1" outlineLevel="1">
      <c r="A444" s="476" t="s">
        <v>242</v>
      </c>
      <c r="B444" s="466">
        <v>275</v>
      </c>
      <c r="C444" s="466">
        <v>-18</v>
      </c>
      <c r="D444" s="466">
        <v>-20</v>
      </c>
      <c r="E444" s="466">
        <v>30</v>
      </c>
      <c r="F444" s="466">
        <v>22</v>
      </c>
      <c r="G444" s="468">
        <v>34</v>
      </c>
      <c r="H444" s="468">
        <v>25</v>
      </c>
      <c r="I444" s="466">
        <v>4300</v>
      </c>
      <c r="J444" s="466">
        <v>3470</v>
      </c>
      <c r="K444" s="472">
        <f t="shared" si="6"/>
        <v>3800</v>
      </c>
      <c r="L444" s="521">
        <v>666</v>
      </c>
      <c r="M444" s="521">
        <v>666</v>
      </c>
      <c r="N444" s="490">
        <v>0</v>
      </c>
      <c r="O444" s="490">
        <v>0</v>
      </c>
      <c r="P444" s="466">
        <v>28</v>
      </c>
      <c r="Q444" s="468">
        <v>36</v>
      </c>
      <c r="R444" s="466">
        <v>103</v>
      </c>
      <c r="S444" s="468">
        <v>132</v>
      </c>
      <c r="T444" s="466">
        <v>790</v>
      </c>
      <c r="U444" s="468">
        <v>920</v>
      </c>
      <c r="V444" s="468">
        <v>0.9</v>
      </c>
      <c r="W444" s="466">
        <v>1025</v>
      </c>
      <c r="X444" s="468">
        <v>1110</v>
      </c>
      <c r="Y444" s="466">
        <v>160</v>
      </c>
      <c r="Z444" s="468">
        <v>170</v>
      </c>
      <c r="AA444" s="466">
        <v>2.7</v>
      </c>
      <c r="AB444" s="466">
        <v>0.4</v>
      </c>
      <c r="AC444" s="466">
        <v>3.9</v>
      </c>
      <c r="AD444" s="466">
        <v>0.6</v>
      </c>
      <c r="AE444" s="466">
        <v>0.36</v>
      </c>
      <c r="AF444" s="468">
        <v>0.4</v>
      </c>
      <c r="AG444" s="466">
        <v>0.46</v>
      </c>
      <c r="AH444" s="468">
        <v>0.51</v>
      </c>
      <c r="AI444" s="466">
        <v>0.75</v>
      </c>
      <c r="AJ444" s="466">
        <v>-7</v>
      </c>
      <c r="AK444" s="466">
        <v>3.8</v>
      </c>
      <c r="AL444" s="490">
        <v>20.5</v>
      </c>
      <c r="AM444" s="703">
        <f>'COOLING-TARGET'!E$64</f>
        <v>15.1086005</v>
      </c>
    </row>
    <row r="445" spans="1:39" ht="25" customHeight="1" outlineLevel="1">
      <c r="A445" s="476" t="s">
        <v>243</v>
      </c>
      <c r="B445" s="466">
        <v>180</v>
      </c>
      <c r="C445" s="466">
        <v>-16</v>
      </c>
      <c r="D445" s="466">
        <v>-18</v>
      </c>
      <c r="E445" s="466">
        <v>31</v>
      </c>
      <c r="F445" s="466">
        <v>24</v>
      </c>
      <c r="G445" s="468">
        <v>34</v>
      </c>
      <c r="H445" s="468">
        <v>27</v>
      </c>
      <c r="I445" s="466">
        <v>3600</v>
      </c>
      <c r="J445" s="466">
        <v>2830</v>
      </c>
      <c r="K445" s="472">
        <f t="shared" si="6"/>
        <v>3100</v>
      </c>
      <c r="L445" s="521">
        <v>666</v>
      </c>
      <c r="M445" s="521">
        <v>666</v>
      </c>
      <c r="N445" s="490">
        <v>0</v>
      </c>
      <c r="O445" s="490">
        <v>0</v>
      </c>
      <c r="P445" s="466">
        <v>28</v>
      </c>
      <c r="Q445" s="468">
        <v>35</v>
      </c>
      <c r="R445" s="466">
        <v>97</v>
      </c>
      <c r="S445" s="468">
        <v>122</v>
      </c>
      <c r="T445" s="466">
        <v>760</v>
      </c>
      <c r="U445" s="468">
        <v>870</v>
      </c>
      <c r="V445" s="468">
        <v>0.9</v>
      </c>
      <c r="W445" s="466">
        <v>825</v>
      </c>
      <c r="X445" s="468">
        <v>910</v>
      </c>
      <c r="Y445" s="466">
        <v>180</v>
      </c>
      <c r="Z445" s="468">
        <v>190</v>
      </c>
      <c r="AA445" s="466">
        <v>0.9</v>
      </c>
      <c r="AB445" s="466">
        <v>0.4</v>
      </c>
      <c r="AC445" s="466">
        <v>1.3</v>
      </c>
      <c r="AD445" s="466">
        <v>0.6</v>
      </c>
      <c r="AE445" s="466">
        <v>0.35</v>
      </c>
      <c r="AF445" s="468">
        <v>0.39</v>
      </c>
      <c r="AG445" s="466">
        <v>0.45</v>
      </c>
      <c r="AH445" s="468">
        <v>0.5</v>
      </c>
      <c r="AI445" s="466">
        <v>0.74</v>
      </c>
      <c r="AJ445" s="466">
        <v>-6</v>
      </c>
      <c r="AK445" s="466">
        <v>4.5</v>
      </c>
      <c r="AL445" s="490">
        <v>20.5</v>
      </c>
      <c r="AM445" s="703">
        <f>'COOLING-TARGET'!E$64</f>
        <v>15.1086005</v>
      </c>
    </row>
    <row r="446" spans="1:39" ht="25" customHeight="1" outlineLevel="1">
      <c r="A446" s="476" t="s">
        <v>244</v>
      </c>
      <c r="B446" s="466">
        <v>330</v>
      </c>
      <c r="C446" s="466">
        <v>-19</v>
      </c>
      <c r="D446" s="466">
        <v>-21</v>
      </c>
      <c r="E446" s="466">
        <v>29</v>
      </c>
      <c r="F446" s="466">
        <v>23</v>
      </c>
      <c r="G446" s="468">
        <v>33</v>
      </c>
      <c r="H446" s="468">
        <v>26</v>
      </c>
      <c r="I446" s="466">
        <v>4200</v>
      </c>
      <c r="J446" s="466">
        <v>3380</v>
      </c>
      <c r="K446" s="472">
        <f t="shared" si="6"/>
        <v>3700</v>
      </c>
      <c r="L446" s="521">
        <v>666</v>
      </c>
      <c r="M446" s="521">
        <v>666</v>
      </c>
      <c r="N446" s="490">
        <v>0</v>
      </c>
      <c r="O446" s="490">
        <v>0</v>
      </c>
      <c r="P446" s="466">
        <v>28</v>
      </c>
      <c r="Q446" s="468">
        <v>36</v>
      </c>
      <c r="R446" s="466">
        <v>119</v>
      </c>
      <c r="S446" s="468">
        <v>152</v>
      </c>
      <c r="T446" s="466">
        <v>780</v>
      </c>
      <c r="U446" s="468">
        <v>900</v>
      </c>
      <c r="V446" s="468">
        <v>0.9</v>
      </c>
      <c r="W446" s="466">
        <v>925</v>
      </c>
      <c r="X446" s="468">
        <v>1010</v>
      </c>
      <c r="Y446" s="466">
        <v>160</v>
      </c>
      <c r="Z446" s="468">
        <v>170</v>
      </c>
      <c r="AA446" s="466">
        <v>2</v>
      </c>
      <c r="AB446" s="466">
        <v>0.4</v>
      </c>
      <c r="AC446" s="466">
        <v>2.9</v>
      </c>
      <c r="AD446" s="466">
        <v>0.6</v>
      </c>
      <c r="AE446" s="466">
        <v>0.28999999999999998</v>
      </c>
      <c r="AF446" s="468">
        <v>0.32</v>
      </c>
      <c r="AG446" s="466">
        <v>0.37</v>
      </c>
      <c r="AH446" s="468">
        <v>0.41</v>
      </c>
      <c r="AI446" s="466">
        <v>0.61</v>
      </c>
      <c r="AJ446" s="466">
        <v>-6</v>
      </c>
      <c r="AK446" s="466">
        <v>4.5</v>
      </c>
      <c r="AL446" s="490">
        <v>20.5</v>
      </c>
      <c r="AM446" s="703">
        <f>'COOLING-TARGET'!E$64</f>
        <v>15.1086005</v>
      </c>
    </row>
    <row r="447" spans="1:39" ht="25" customHeight="1" outlineLevel="1">
      <c r="A447" s="476" t="s">
        <v>245</v>
      </c>
      <c r="B447" s="466">
        <v>240</v>
      </c>
      <c r="C447" s="466">
        <v>-17</v>
      </c>
      <c r="D447" s="466">
        <v>-19</v>
      </c>
      <c r="E447" s="466">
        <v>31</v>
      </c>
      <c r="F447" s="466">
        <v>24</v>
      </c>
      <c r="G447" s="468">
        <v>35</v>
      </c>
      <c r="H447" s="468">
        <v>27</v>
      </c>
      <c r="I447" s="466">
        <v>3740</v>
      </c>
      <c r="J447" s="466">
        <v>2960</v>
      </c>
      <c r="K447" s="472">
        <f t="shared" si="6"/>
        <v>3240</v>
      </c>
      <c r="L447" s="521">
        <v>666</v>
      </c>
      <c r="M447" s="521">
        <v>666</v>
      </c>
      <c r="N447" s="490">
        <v>0</v>
      </c>
      <c r="O447" s="490">
        <v>0</v>
      </c>
      <c r="P447" s="466">
        <v>25</v>
      </c>
      <c r="Q447" s="468">
        <v>32</v>
      </c>
      <c r="R447" s="466">
        <v>108</v>
      </c>
      <c r="S447" s="468">
        <v>137</v>
      </c>
      <c r="T447" s="466">
        <v>790</v>
      </c>
      <c r="U447" s="468">
        <v>900</v>
      </c>
      <c r="V447" s="468">
        <v>0.9</v>
      </c>
      <c r="W447" s="466">
        <v>950</v>
      </c>
      <c r="X447" s="468">
        <v>1040</v>
      </c>
      <c r="Y447" s="466">
        <v>160</v>
      </c>
      <c r="Z447" s="468">
        <v>180</v>
      </c>
      <c r="AA447" s="466">
        <v>1.9</v>
      </c>
      <c r="AB447" s="466">
        <v>0.4</v>
      </c>
      <c r="AC447" s="466">
        <v>2.8</v>
      </c>
      <c r="AD447" s="466">
        <v>0.6</v>
      </c>
      <c r="AE447" s="466">
        <v>0.37</v>
      </c>
      <c r="AF447" s="468">
        <v>0.41</v>
      </c>
      <c r="AG447" s="466">
        <v>0.47</v>
      </c>
      <c r="AH447" s="468">
        <v>0.52</v>
      </c>
      <c r="AI447" s="466">
        <v>0.76</v>
      </c>
      <c r="AJ447" s="466">
        <v>-6</v>
      </c>
      <c r="AK447" s="466">
        <v>4.5</v>
      </c>
      <c r="AL447" s="490">
        <v>20.5</v>
      </c>
      <c r="AM447" s="703">
        <f>'COOLING-TARGET'!E$64</f>
        <v>15.1086005</v>
      </c>
    </row>
    <row r="448" spans="1:39" ht="25" customHeight="1" outlineLevel="1">
      <c r="A448" s="476" t="s">
        <v>246</v>
      </c>
      <c r="B448" s="466">
        <v>290</v>
      </c>
      <c r="C448" s="466">
        <v>-34</v>
      </c>
      <c r="D448" s="466">
        <v>-36</v>
      </c>
      <c r="E448" s="466">
        <v>26</v>
      </c>
      <c r="F448" s="466">
        <v>21</v>
      </c>
      <c r="G448" s="468">
        <v>30</v>
      </c>
      <c r="H448" s="468">
        <v>24</v>
      </c>
      <c r="I448" s="466">
        <v>5840</v>
      </c>
      <c r="J448" s="466">
        <v>4900</v>
      </c>
      <c r="K448" s="472">
        <f t="shared" si="6"/>
        <v>5340</v>
      </c>
      <c r="L448" s="521">
        <v>666</v>
      </c>
      <c r="M448" s="521">
        <v>666</v>
      </c>
      <c r="N448" s="490">
        <v>0</v>
      </c>
      <c r="O448" s="490">
        <v>0</v>
      </c>
      <c r="P448" s="466">
        <v>20</v>
      </c>
      <c r="Q448" s="468">
        <v>26</v>
      </c>
      <c r="R448" s="466">
        <v>93</v>
      </c>
      <c r="S448" s="468">
        <v>120</v>
      </c>
      <c r="T448" s="466">
        <v>725</v>
      </c>
      <c r="U448" s="468">
        <v>880</v>
      </c>
      <c r="V448" s="468">
        <v>0.9</v>
      </c>
      <c r="W448" s="466">
        <v>950</v>
      </c>
      <c r="X448" s="468">
        <v>1040</v>
      </c>
      <c r="Y448" s="466">
        <v>160</v>
      </c>
      <c r="Z448" s="468">
        <v>170</v>
      </c>
      <c r="AA448" s="466">
        <v>3.4</v>
      </c>
      <c r="AB448" s="466">
        <v>0.4</v>
      </c>
      <c r="AC448" s="466">
        <v>4.8</v>
      </c>
      <c r="AD448" s="466">
        <v>0.6</v>
      </c>
      <c r="AE448" s="466">
        <v>0.3</v>
      </c>
      <c r="AF448" s="468">
        <v>0.33</v>
      </c>
      <c r="AG448" s="466">
        <v>0.39</v>
      </c>
      <c r="AH448" s="468">
        <v>0.43</v>
      </c>
      <c r="AI448" s="466">
        <v>0.65</v>
      </c>
      <c r="AJ448" s="466">
        <v>-10</v>
      </c>
      <c r="AK448" s="466">
        <v>3.5</v>
      </c>
      <c r="AL448" s="490">
        <v>20.5</v>
      </c>
      <c r="AM448" s="703">
        <f>'COOLING-TARGET'!E$64</f>
        <v>15.1086005</v>
      </c>
    </row>
    <row r="449" spans="1:40" ht="25" customHeight="1" outlineLevel="1">
      <c r="A449" s="476" t="s">
        <v>247</v>
      </c>
      <c r="B449" s="466">
        <v>180</v>
      </c>
      <c r="C449" s="466">
        <v>-15</v>
      </c>
      <c r="D449" s="466">
        <v>-17</v>
      </c>
      <c r="E449" s="466">
        <v>30</v>
      </c>
      <c r="F449" s="466">
        <v>23</v>
      </c>
      <c r="G449" s="468">
        <v>34</v>
      </c>
      <c r="H449" s="468">
        <v>26</v>
      </c>
      <c r="I449" s="466">
        <v>3670</v>
      </c>
      <c r="J449" s="466">
        <v>2900</v>
      </c>
      <c r="K449" s="472">
        <f t="shared" si="6"/>
        <v>3170</v>
      </c>
      <c r="L449" s="521">
        <v>666</v>
      </c>
      <c r="M449" s="521">
        <v>666</v>
      </c>
      <c r="N449" s="490">
        <v>0</v>
      </c>
      <c r="O449" s="490">
        <v>0</v>
      </c>
      <c r="P449" s="466">
        <v>23</v>
      </c>
      <c r="Q449" s="468">
        <v>29</v>
      </c>
      <c r="R449" s="466">
        <v>103</v>
      </c>
      <c r="S449" s="468">
        <v>131</v>
      </c>
      <c r="T449" s="466">
        <v>840</v>
      </c>
      <c r="U449" s="468">
        <v>970</v>
      </c>
      <c r="V449" s="468">
        <v>1</v>
      </c>
      <c r="W449" s="466">
        <v>975</v>
      </c>
      <c r="X449" s="468">
        <v>1070</v>
      </c>
      <c r="Y449" s="466">
        <v>160</v>
      </c>
      <c r="Z449" s="468">
        <v>170</v>
      </c>
      <c r="AA449" s="466">
        <v>2</v>
      </c>
      <c r="AB449" s="466">
        <v>0.4</v>
      </c>
      <c r="AC449" s="466">
        <v>3</v>
      </c>
      <c r="AD449" s="466">
        <v>0.6</v>
      </c>
      <c r="AE449" s="466">
        <v>0.34</v>
      </c>
      <c r="AF449" s="468">
        <v>0.37</v>
      </c>
      <c r="AG449" s="466">
        <v>0.43</v>
      </c>
      <c r="AH449" s="468">
        <v>0.47</v>
      </c>
      <c r="AI449" s="466">
        <v>0.69</v>
      </c>
      <c r="AJ449" s="466">
        <v>-6</v>
      </c>
      <c r="AK449" s="466">
        <v>4</v>
      </c>
      <c r="AL449" s="490">
        <v>20.5</v>
      </c>
      <c r="AM449" s="703">
        <f>'COOLING-TARGET'!E$64</f>
        <v>15.1086005</v>
      </c>
    </row>
    <row r="450" spans="1:40" ht="25" customHeight="1" outlineLevel="1">
      <c r="A450" s="476" t="s">
        <v>248</v>
      </c>
      <c r="B450" s="466">
        <v>215</v>
      </c>
      <c r="C450" s="466">
        <v>-16</v>
      </c>
      <c r="D450" s="466">
        <v>-18</v>
      </c>
      <c r="E450" s="466">
        <v>31</v>
      </c>
      <c r="F450" s="466">
        <v>24</v>
      </c>
      <c r="G450" s="468">
        <v>35</v>
      </c>
      <c r="H450" s="468">
        <v>27</v>
      </c>
      <c r="I450" s="466">
        <v>3700</v>
      </c>
      <c r="J450" s="466">
        <v>2920</v>
      </c>
      <c r="K450" s="472">
        <f t="shared" si="6"/>
        <v>3200</v>
      </c>
      <c r="L450" s="521">
        <v>666</v>
      </c>
      <c r="M450" s="521">
        <v>666</v>
      </c>
      <c r="N450" s="490">
        <v>0</v>
      </c>
      <c r="O450" s="490">
        <v>0</v>
      </c>
      <c r="P450" s="466">
        <v>28</v>
      </c>
      <c r="Q450" s="468">
        <v>35</v>
      </c>
      <c r="R450" s="466">
        <v>103</v>
      </c>
      <c r="S450" s="468">
        <v>130</v>
      </c>
      <c r="T450" s="466">
        <v>840</v>
      </c>
      <c r="U450" s="468">
        <v>960</v>
      </c>
      <c r="V450" s="468">
        <v>1</v>
      </c>
      <c r="W450" s="466">
        <v>900</v>
      </c>
      <c r="X450" s="468">
        <v>980</v>
      </c>
      <c r="Y450" s="466">
        <v>180</v>
      </c>
      <c r="Z450" s="468">
        <v>190</v>
      </c>
      <c r="AA450" s="466">
        <v>1.3</v>
      </c>
      <c r="AB450" s="466">
        <v>0.4</v>
      </c>
      <c r="AC450" s="466">
        <v>1.9</v>
      </c>
      <c r="AD450" s="466">
        <v>0.6</v>
      </c>
      <c r="AE450" s="466">
        <v>0.37</v>
      </c>
      <c r="AF450" s="468">
        <v>0.41</v>
      </c>
      <c r="AG450" s="466">
        <v>0.47</v>
      </c>
      <c r="AH450" s="468">
        <v>0.52</v>
      </c>
      <c r="AI450" s="466">
        <v>0.76</v>
      </c>
      <c r="AJ450" s="466">
        <v>-6</v>
      </c>
      <c r="AK450" s="466">
        <v>5</v>
      </c>
      <c r="AL450" s="490">
        <v>20.5</v>
      </c>
      <c r="AM450" s="703">
        <f>'COOLING-TARGET'!E$64</f>
        <v>15.1086005</v>
      </c>
    </row>
    <row r="451" spans="1:40" ht="25" customHeight="1" outlineLevel="1">
      <c r="A451" s="476" t="s">
        <v>249</v>
      </c>
      <c r="B451" s="466">
        <v>85</v>
      </c>
      <c r="C451" s="466">
        <v>-20</v>
      </c>
      <c r="D451" s="466">
        <v>-22</v>
      </c>
      <c r="E451" s="466">
        <v>30</v>
      </c>
      <c r="F451" s="466">
        <v>23</v>
      </c>
      <c r="G451" s="468">
        <v>34</v>
      </c>
      <c r="H451" s="468">
        <v>26</v>
      </c>
      <c r="I451" s="466">
        <v>3820</v>
      </c>
      <c r="J451" s="466">
        <v>3030</v>
      </c>
      <c r="K451" s="472">
        <f t="shared" si="6"/>
        <v>3320</v>
      </c>
      <c r="L451" s="521">
        <v>666</v>
      </c>
      <c r="M451" s="521">
        <v>666</v>
      </c>
      <c r="N451" s="490">
        <v>0</v>
      </c>
      <c r="O451" s="490">
        <v>0</v>
      </c>
      <c r="P451" s="466">
        <v>23</v>
      </c>
      <c r="Q451" s="468">
        <v>30</v>
      </c>
      <c r="R451" s="466">
        <v>86</v>
      </c>
      <c r="S451" s="468">
        <v>110</v>
      </c>
      <c r="T451" s="466">
        <v>760</v>
      </c>
      <c r="U451" s="468">
        <v>880</v>
      </c>
      <c r="V451" s="468">
        <v>0.9</v>
      </c>
      <c r="W451" s="466">
        <v>850</v>
      </c>
      <c r="X451" s="468">
        <v>930</v>
      </c>
      <c r="Y451" s="466">
        <v>160</v>
      </c>
      <c r="Z451" s="468">
        <v>170</v>
      </c>
      <c r="AA451" s="466">
        <v>1.2</v>
      </c>
      <c r="AB451" s="466">
        <v>0.4</v>
      </c>
      <c r="AC451" s="466">
        <v>1.8</v>
      </c>
      <c r="AD451" s="466">
        <v>0.6</v>
      </c>
      <c r="AE451" s="466">
        <v>0.37</v>
      </c>
      <c r="AF451" s="468">
        <v>0.41</v>
      </c>
      <c r="AG451" s="466">
        <v>0.48</v>
      </c>
      <c r="AH451" s="468">
        <v>0.53</v>
      </c>
      <c r="AI451" s="466">
        <v>0.8</v>
      </c>
      <c r="AJ451" s="466">
        <v>-6</v>
      </c>
      <c r="AK451" s="466">
        <v>4</v>
      </c>
      <c r="AL451" s="490">
        <v>20.5</v>
      </c>
      <c r="AM451" s="703">
        <f>'COOLING-TARGET'!E$64</f>
        <v>15.1086005</v>
      </c>
    </row>
    <row r="452" spans="1:40" ht="25" customHeight="1" outlineLevel="1">
      <c r="A452" s="476" t="s">
        <v>250</v>
      </c>
      <c r="B452" s="466">
        <v>160</v>
      </c>
      <c r="C452" s="466">
        <v>-20</v>
      </c>
      <c r="D452" s="466">
        <v>-22</v>
      </c>
      <c r="E452" s="466">
        <v>30</v>
      </c>
      <c r="F452" s="466">
        <v>23</v>
      </c>
      <c r="G452" s="468">
        <v>34</v>
      </c>
      <c r="H452" s="468">
        <v>26</v>
      </c>
      <c r="I452" s="466">
        <v>4010</v>
      </c>
      <c r="J452" s="466">
        <v>3210</v>
      </c>
      <c r="K452" s="472">
        <f t="shared" ref="K452:K514" si="7">I452-500</f>
        <v>3510</v>
      </c>
      <c r="L452" s="521">
        <v>666</v>
      </c>
      <c r="M452" s="521">
        <v>666</v>
      </c>
      <c r="N452" s="490">
        <v>0</v>
      </c>
      <c r="O452" s="490">
        <v>0</v>
      </c>
      <c r="P452" s="466">
        <v>23</v>
      </c>
      <c r="Q452" s="468">
        <v>30</v>
      </c>
      <c r="R452" s="466">
        <v>86</v>
      </c>
      <c r="S452" s="468">
        <v>110</v>
      </c>
      <c r="T452" s="466">
        <v>770</v>
      </c>
      <c r="U452" s="468">
        <v>890</v>
      </c>
      <c r="V452" s="468">
        <v>0.9</v>
      </c>
      <c r="W452" s="466">
        <v>850</v>
      </c>
      <c r="X452" s="468">
        <v>930</v>
      </c>
      <c r="Y452" s="466">
        <v>140</v>
      </c>
      <c r="Z452" s="468">
        <v>150</v>
      </c>
      <c r="AA452" s="466">
        <v>1.9</v>
      </c>
      <c r="AB452" s="466">
        <v>0.4</v>
      </c>
      <c r="AC452" s="466">
        <v>2.8</v>
      </c>
      <c r="AD452" s="466">
        <v>0.6</v>
      </c>
      <c r="AE452" s="466">
        <v>0.35</v>
      </c>
      <c r="AF452" s="468">
        <v>0.39</v>
      </c>
      <c r="AG452" s="466">
        <v>0.45</v>
      </c>
      <c r="AH452" s="468">
        <v>0.5</v>
      </c>
      <c r="AI452" s="466">
        <v>0.74</v>
      </c>
      <c r="AJ452" s="466">
        <v>-6</v>
      </c>
      <c r="AK452" s="466">
        <v>3.8</v>
      </c>
      <c r="AL452" s="490">
        <v>20.5</v>
      </c>
      <c r="AM452" s="703">
        <f>'COOLING-TARGET'!E$64</f>
        <v>15.1086005</v>
      </c>
    </row>
    <row r="453" spans="1:40" ht="25" customHeight="1" outlineLevel="1">
      <c r="A453" s="476" t="s">
        <v>251</v>
      </c>
      <c r="B453" s="466">
        <v>375</v>
      </c>
      <c r="C453" s="466">
        <v>-39</v>
      </c>
      <c r="D453" s="466">
        <v>-42</v>
      </c>
      <c r="E453" s="466">
        <v>28</v>
      </c>
      <c r="F453" s="466">
        <v>21</v>
      </c>
      <c r="G453" s="468">
        <v>32</v>
      </c>
      <c r="H453" s="468">
        <v>24</v>
      </c>
      <c r="I453" s="466">
        <v>6150</v>
      </c>
      <c r="J453" s="466">
        <v>5200</v>
      </c>
      <c r="K453" s="472">
        <f t="shared" si="7"/>
        <v>5650</v>
      </c>
      <c r="L453" s="521">
        <v>666</v>
      </c>
      <c r="M453" s="521">
        <v>666</v>
      </c>
      <c r="N453" s="490">
        <v>0</v>
      </c>
      <c r="O453" s="490">
        <v>0</v>
      </c>
      <c r="P453" s="466">
        <v>20</v>
      </c>
      <c r="Q453" s="468">
        <v>26</v>
      </c>
      <c r="R453" s="466">
        <v>92</v>
      </c>
      <c r="S453" s="468">
        <v>120</v>
      </c>
      <c r="T453" s="466">
        <v>575</v>
      </c>
      <c r="U453" s="468">
        <v>700</v>
      </c>
      <c r="V453" s="468">
        <v>0.8</v>
      </c>
      <c r="W453" s="466">
        <v>825</v>
      </c>
      <c r="X453" s="468">
        <v>910</v>
      </c>
      <c r="Y453" s="466">
        <v>100</v>
      </c>
      <c r="Z453" s="468">
        <v>110</v>
      </c>
      <c r="AA453" s="466">
        <v>3.6</v>
      </c>
      <c r="AB453" s="466">
        <v>0.4</v>
      </c>
      <c r="AC453" s="466">
        <v>5</v>
      </c>
      <c r="AD453" s="466">
        <v>0.6</v>
      </c>
      <c r="AE453" s="466">
        <v>0.22</v>
      </c>
      <c r="AF453" s="468">
        <v>0.24</v>
      </c>
      <c r="AG453" s="466">
        <v>0.3</v>
      </c>
      <c r="AH453" s="468">
        <v>0.33</v>
      </c>
      <c r="AI453" s="466">
        <v>0.52</v>
      </c>
      <c r="AJ453" s="466">
        <v>-11</v>
      </c>
      <c r="AK453" s="466">
        <v>3</v>
      </c>
      <c r="AL453" s="490">
        <v>20.5</v>
      </c>
      <c r="AM453" s="703">
        <f>'COOLING-TARGET'!E$64</f>
        <v>15.1086005</v>
      </c>
    </row>
    <row r="454" spans="1:40" ht="25" customHeight="1" outlineLevel="1">
      <c r="A454" s="476" t="s">
        <v>252</v>
      </c>
      <c r="B454" s="466">
        <v>185</v>
      </c>
      <c r="C454" s="466">
        <v>-19</v>
      </c>
      <c r="D454" s="466">
        <v>-21</v>
      </c>
      <c r="E454" s="466">
        <v>29</v>
      </c>
      <c r="F454" s="466">
        <v>22</v>
      </c>
      <c r="G454" s="468">
        <v>33</v>
      </c>
      <c r="H454" s="468">
        <v>25</v>
      </c>
      <c r="I454" s="466">
        <v>4300</v>
      </c>
      <c r="J454" s="466">
        <v>3470</v>
      </c>
      <c r="K454" s="472">
        <f t="shared" si="7"/>
        <v>3800</v>
      </c>
      <c r="L454" s="521">
        <v>666</v>
      </c>
      <c r="M454" s="521">
        <v>666</v>
      </c>
      <c r="N454" s="490">
        <v>0</v>
      </c>
      <c r="O454" s="490">
        <v>0</v>
      </c>
      <c r="P454" s="466">
        <v>25</v>
      </c>
      <c r="Q454" s="468">
        <v>32</v>
      </c>
      <c r="R454" s="466">
        <v>103</v>
      </c>
      <c r="S454" s="468">
        <v>132</v>
      </c>
      <c r="T454" s="466">
        <v>740</v>
      </c>
      <c r="U454" s="468">
        <v>870</v>
      </c>
      <c r="V454" s="468">
        <v>0.9</v>
      </c>
      <c r="W454" s="466">
        <v>1000</v>
      </c>
      <c r="X454" s="468">
        <v>1070</v>
      </c>
      <c r="Y454" s="466">
        <v>180</v>
      </c>
      <c r="Z454" s="468">
        <v>190</v>
      </c>
      <c r="AA454" s="466">
        <v>2.7</v>
      </c>
      <c r="AB454" s="466">
        <v>0.4</v>
      </c>
      <c r="AC454" s="466">
        <v>3.9</v>
      </c>
      <c r="AD454" s="466">
        <v>0.6</v>
      </c>
      <c r="AE454" s="466">
        <v>0.34</v>
      </c>
      <c r="AF454" s="468">
        <v>0.37</v>
      </c>
      <c r="AG454" s="466">
        <v>0.44</v>
      </c>
      <c r="AH454" s="468">
        <v>0.48</v>
      </c>
      <c r="AI454" s="466">
        <v>0.73</v>
      </c>
      <c r="AJ454" s="466">
        <v>-6</v>
      </c>
      <c r="AK454" s="466">
        <v>4.0999999999999996</v>
      </c>
      <c r="AL454" s="490">
        <v>20.5</v>
      </c>
      <c r="AM454" s="703">
        <f>'COOLING-TARGET'!E$64</f>
        <v>15.1086005</v>
      </c>
    </row>
    <row r="455" spans="1:40" ht="25" customHeight="1" outlineLevel="1">
      <c r="A455" s="476" t="s">
        <v>253</v>
      </c>
      <c r="B455" s="466">
        <v>185</v>
      </c>
      <c r="C455" s="466">
        <v>-16</v>
      </c>
      <c r="D455" s="466">
        <v>-18</v>
      </c>
      <c r="E455" s="466">
        <v>32</v>
      </c>
      <c r="F455" s="466">
        <v>24</v>
      </c>
      <c r="G455" s="468">
        <v>35</v>
      </c>
      <c r="H455" s="468">
        <v>27</v>
      </c>
      <c r="I455" s="466">
        <v>3400</v>
      </c>
      <c r="J455" s="466">
        <v>2650</v>
      </c>
      <c r="K455" s="472">
        <f t="shared" si="7"/>
        <v>2900</v>
      </c>
      <c r="L455" s="484">
        <v>448</v>
      </c>
      <c r="M455" s="521">
        <v>666</v>
      </c>
      <c r="N455" s="490">
        <v>0</v>
      </c>
      <c r="O455" s="490">
        <v>0</v>
      </c>
      <c r="P455" s="466">
        <v>28</v>
      </c>
      <c r="Q455" s="468">
        <v>35</v>
      </c>
      <c r="R455" s="466">
        <v>103</v>
      </c>
      <c r="S455" s="468">
        <v>130</v>
      </c>
      <c r="T455" s="466">
        <v>800</v>
      </c>
      <c r="U455" s="468">
        <v>910</v>
      </c>
      <c r="V455" s="468">
        <v>0.9</v>
      </c>
      <c r="W455" s="466">
        <v>900</v>
      </c>
      <c r="X455" s="468">
        <v>990</v>
      </c>
      <c r="Y455" s="466">
        <v>180</v>
      </c>
      <c r="Z455" s="468">
        <v>190</v>
      </c>
      <c r="AA455" s="466">
        <v>0.8</v>
      </c>
      <c r="AB455" s="466">
        <v>0.4</v>
      </c>
      <c r="AC455" s="466">
        <v>1.2</v>
      </c>
      <c r="AD455" s="466">
        <v>0.6</v>
      </c>
      <c r="AE455" s="466">
        <v>0.37</v>
      </c>
      <c r="AF455" s="468">
        <v>0.41</v>
      </c>
      <c r="AG455" s="466">
        <v>0.47</v>
      </c>
      <c r="AH455" s="468">
        <v>0.52</v>
      </c>
      <c r="AI455" s="466">
        <v>0.76</v>
      </c>
      <c r="AJ455" s="466">
        <v>-5</v>
      </c>
      <c r="AK455" s="466">
        <v>5</v>
      </c>
      <c r="AL455" s="490">
        <v>20.5</v>
      </c>
      <c r="AM455" s="703">
        <f>'COOLING-TARGET'!E$64</f>
        <v>15.1086005</v>
      </c>
    </row>
    <row r="456" spans="1:40" ht="25" customHeight="1" outlineLevel="1">
      <c r="A456" s="476" t="s">
        <v>254</v>
      </c>
      <c r="B456" s="466">
        <v>310</v>
      </c>
      <c r="C456" s="466">
        <v>-18</v>
      </c>
      <c r="D456" s="466">
        <v>-20</v>
      </c>
      <c r="E456" s="466">
        <v>30</v>
      </c>
      <c r="F456" s="466">
        <v>23</v>
      </c>
      <c r="G456" s="468">
        <v>34</v>
      </c>
      <c r="H456" s="468">
        <v>26</v>
      </c>
      <c r="I456" s="466">
        <v>4220</v>
      </c>
      <c r="J456" s="466">
        <v>3400</v>
      </c>
      <c r="K456" s="472">
        <f t="shared" si="7"/>
        <v>3720</v>
      </c>
      <c r="L456" s="521">
        <v>666</v>
      </c>
      <c r="M456" s="521">
        <v>666</v>
      </c>
      <c r="N456" s="490">
        <v>0</v>
      </c>
      <c r="O456" s="490">
        <v>0</v>
      </c>
      <c r="P456" s="466">
        <v>28</v>
      </c>
      <c r="Q456" s="468">
        <v>36</v>
      </c>
      <c r="R456" s="466">
        <v>108</v>
      </c>
      <c r="S456" s="468">
        <v>138</v>
      </c>
      <c r="T456" s="466">
        <v>780</v>
      </c>
      <c r="U456" s="468">
        <v>900</v>
      </c>
      <c r="V456" s="468">
        <v>0.9</v>
      </c>
      <c r="W456" s="466">
        <v>1050</v>
      </c>
      <c r="X456" s="468">
        <v>1140</v>
      </c>
      <c r="Y456" s="466">
        <v>160</v>
      </c>
      <c r="Z456" s="468">
        <v>170</v>
      </c>
      <c r="AA456" s="466">
        <v>2.6</v>
      </c>
      <c r="AB456" s="466">
        <v>0.4</v>
      </c>
      <c r="AC456" s="466">
        <v>3.8</v>
      </c>
      <c r="AD456" s="466">
        <v>0.6</v>
      </c>
      <c r="AE456" s="466">
        <v>0.36</v>
      </c>
      <c r="AF456" s="468">
        <v>0.4</v>
      </c>
      <c r="AG456" s="466">
        <v>0.46</v>
      </c>
      <c r="AH456" s="468">
        <v>0.51</v>
      </c>
      <c r="AI456" s="466">
        <v>0.75</v>
      </c>
      <c r="AJ456" s="466">
        <v>-6</v>
      </c>
      <c r="AK456" s="466">
        <v>4</v>
      </c>
      <c r="AL456" s="490">
        <v>20.5</v>
      </c>
      <c r="AM456" s="703">
        <f>'COOLING-TARGET'!E$64</f>
        <v>15.1086005</v>
      </c>
    </row>
    <row r="457" spans="1:40" ht="25" customHeight="1" outlineLevel="1">
      <c r="A457" s="476" t="s">
        <v>255</v>
      </c>
      <c r="B457" s="466">
        <v>300</v>
      </c>
      <c r="C457" s="466">
        <v>-19</v>
      </c>
      <c r="D457" s="466">
        <v>-21</v>
      </c>
      <c r="E457" s="466">
        <v>30</v>
      </c>
      <c r="F457" s="466">
        <v>23</v>
      </c>
      <c r="G457" s="468">
        <v>34</v>
      </c>
      <c r="H457" s="468">
        <v>26</v>
      </c>
      <c r="I457" s="466">
        <v>3910</v>
      </c>
      <c r="J457" s="466">
        <v>3110</v>
      </c>
      <c r="K457" s="472">
        <f t="shared" si="7"/>
        <v>3410</v>
      </c>
      <c r="L457" s="484">
        <v>261</v>
      </c>
      <c r="M457" s="521">
        <v>666</v>
      </c>
      <c r="N457" s="490">
        <v>0</v>
      </c>
      <c r="O457" s="490">
        <v>0</v>
      </c>
      <c r="P457" s="466">
        <v>28</v>
      </c>
      <c r="Q457" s="468">
        <v>36</v>
      </c>
      <c r="R457" s="466">
        <v>113</v>
      </c>
      <c r="S457" s="468">
        <v>144</v>
      </c>
      <c r="T457" s="466">
        <v>830</v>
      </c>
      <c r="U457" s="468">
        <v>950</v>
      </c>
      <c r="V457" s="468">
        <v>0.9</v>
      </c>
      <c r="W457" s="466">
        <v>930</v>
      </c>
      <c r="X457" s="468">
        <v>1010</v>
      </c>
      <c r="Y457" s="466">
        <v>160</v>
      </c>
      <c r="Z457" s="468">
        <v>180</v>
      </c>
      <c r="AA457" s="466">
        <v>1.9</v>
      </c>
      <c r="AB457" s="466">
        <v>0.4</v>
      </c>
      <c r="AC457" s="466">
        <v>2.7</v>
      </c>
      <c r="AD457" s="466">
        <v>0.6</v>
      </c>
      <c r="AE457" s="466">
        <v>0.34</v>
      </c>
      <c r="AF457" s="468">
        <v>0.37</v>
      </c>
      <c r="AG457" s="466">
        <v>0.44</v>
      </c>
      <c r="AH457" s="468">
        <v>0.48</v>
      </c>
      <c r="AI457" s="466">
        <v>0.73</v>
      </c>
      <c r="AJ457" s="466">
        <v>-6</v>
      </c>
      <c r="AK457" s="466">
        <v>4.2</v>
      </c>
      <c r="AL457" s="715">
        <v>19.05</v>
      </c>
      <c r="AM457" s="715">
        <v>13.82</v>
      </c>
      <c r="AN457" s="715">
        <v>57.33</v>
      </c>
    </row>
    <row r="458" spans="1:40" s="473" customFormat="1" ht="25" customHeight="1" outlineLevel="1" thickBot="1">
      <c r="A458" s="477" t="s">
        <v>256</v>
      </c>
      <c r="B458" s="473">
        <v>215</v>
      </c>
      <c r="C458" s="473">
        <v>-16</v>
      </c>
      <c r="D458" s="473">
        <v>-18</v>
      </c>
      <c r="E458" s="473">
        <v>31</v>
      </c>
      <c r="F458" s="473">
        <v>24</v>
      </c>
      <c r="G458" s="474">
        <v>34</v>
      </c>
      <c r="H458" s="474">
        <v>27</v>
      </c>
      <c r="I458" s="473">
        <v>3700</v>
      </c>
      <c r="J458" s="473">
        <v>2920</v>
      </c>
      <c r="K458" s="472">
        <f t="shared" si="7"/>
        <v>3200</v>
      </c>
      <c r="L458" s="521">
        <v>666</v>
      </c>
      <c r="M458" s="521">
        <v>666</v>
      </c>
      <c r="N458" s="490">
        <v>0</v>
      </c>
      <c r="O458" s="490">
        <v>0</v>
      </c>
      <c r="P458" s="473">
        <v>25</v>
      </c>
      <c r="Q458" s="474">
        <v>32</v>
      </c>
      <c r="R458" s="473">
        <v>103</v>
      </c>
      <c r="S458" s="474">
        <v>130</v>
      </c>
      <c r="T458" s="473">
        <v>815</v>
      </c>
      <c r="U458" s="474">
        <v>930</v>
      </c>
      <c r="V458" s="474">
        <v>0.9</v>
      </c>
      <c r="W458" s="473">
        <v>900</v>
      </c>
      <c r="X458" s="474">
        <v>990</v>
      </c>
      <c r="Y458" s="473">
        <v>180</v>
      </c>
      <c r="Z458" s="474">
        <v>200</v>
      </c>
      <c r="AA458" s="473">
        <v>1.6</v>
      </c>
      <c r="AB458" s="473">
        <v>0.4</v>
      </c>
      <c r="AC458" s="473">
        <v>2.4</v>
      </c>
      <c r="AD458" s="473">
        <v>0.6</v>
      </c>
      <c r="AE458" s="473">
        <v>0.37</v>
      </c>
      <c r="AF458" s="474">
        <v>0.41</v>
      </c>
      <c r="AG458" s="473">
        <v>0.47</v>
      </c>
      <c r="AH458" s="474">
        <v>0.52</v>
      </c>
      <c r="AI458" s="473">
        <v>0.76</v>
      </c>
      <c r="AJ458" s="473">
        <v>-6</v>
      </c>
      <c r="AK458" s="473">
        <v>4.2</v>
      </c>
      <c r="AL458" s="490">
        <v>20.5</v>
      </c>
      <c r="AM458" s="703">
        <f>'COOLING-TARGET'!E$64</f>
        <v>15.1086005</v>
      </c>
      <c r="AN458" s="701"/>
    </row>
    <row r="459" spans="1:40" s="480" customFormat="1" ht="25" customHeight="1" thickTop="1" thickBot="1">
      <c r="A459" s="478" t="s">
        <v>1160</v>
      </c>
      <c r="AL459" s="526"/>
      <c r="AM459" s="526"/>
      <c r="AN459" s="702"/>
    </row>
    <row r="460" spans="1:40" s="471" customFormat="1" ht="25" customHeight="1" outlineLevel="1" thickTop="1">
      <c r="A460" s="475" t="s">
        <v>1161</v>
      </c>
      <c r="B460" s="471">
        <v>95</v>
      </c>
      <c r="C460" s="471">
        <v>-24</v>
      </c>
      <c r="D460" s="471">
        <v>-27</v>
      </c>
      <c r="E460" s="471">
        <v>30</v>
      </c>
      <c r="F460" s="471">
        <v>23</v>
      </c>
      <c r="G460" s="472">
        <v>34</v>
      </c>
      <c r="H460" s="472">
        <v>26</v>
      </c>
      <c r="I460" s="471">
        <v>4620</v>
      </c>
      <c r="J460" s="471">
        <v>3790</v>
      </c>
      <c r="K460" s="472">
        <f t="shared" si="7"/>
        <v>4120</v>
      </c>
      <c r="L460" s="521">
        <v>666</v>
      </c>
      <c r="M460" s="521">
        <v>666</v>
      </c>
      <c r="N460" s="472">
        <v>666</v>
      </c>
      <c r="O460" s="472">
        <v>666</v>
      </c>
      <c r="P460" s="471">
        <v>21</v>
      </c>
      <c r="Q460" s="472">
        <v>27</v>
      </c>
      <c r="R460" s="471">
        <v>107</v>
      </c>
      <c r="S460" s="472">
        <v>138</v>
      </c>
      <c r="T460" s="471">
        <v>860</v>
      </c>
      <c r="U460" s="472">
        <v>1010</v>
      </c>
      <c r="V460" s="472">
        <v>1.1000000000000001</v>
      </c>
      <c r="W460" s="471">
        <v>1050</v>
      </c>
      <c r="X460" s="472">
        <v>1170</v>
      </c>
      <c r="Y460" s="471">
        <v>180</v>
      </c>
      <c r="Z460" s="472"/>
      <c r="AA460" s="471">
        <v>2.2999999999999998</v>
      </c>
      <c r="AB460" s="471">
        <v>0.4</v>
      </c>
      <c r="AC460" s="471">
        <v>3.4</v>
      </c>
      <c r="AD460" s="471">
        <v>0.6</v>
      </c>
      <c r="AE460" s="471">
        <v>0.27</v>
      </c>
      <c r="AF460" s="472">
        <v>0.28000000000000003</v>
      </c>
      <c r="AG460" s="471">
        <v>0.35</v>
      </c>
      <c r="AH460" s="472">
        <v>0.37</v>
      </c>
      <c r="AI460" s="471">
        <v>0.55000000000000004</v>
      </c>
      <c r="AJ460" s="471">
        <v>-8</v>
      </c>
      <c r="AK460" s="471">
        <v>3.5</v>
      </c>
      <c r="AL460" s="490">
        <v>26</v>
      </c>
      <c r="AM460" s="490">
        <v>26</v>
      </c>
      <c r="AN460" s="699"/>
    </row>
    <row r="461" spans="1:40" ht="25" customHeight="1" outlineLevel="1">
      <c r="A461" s="476" t="s">
        <v>1162</v>
      </c>
      <c r="B461" s="466">
        <v>110</v>
      </c>
      <c r="C461" s="466">
        <v>-31</v>
      </c>
      <c r="D461" s="466">
        <v>-33</v>
      </c>
      <c r="E461" s="466">
        <v>28</v>
      </c>
      <c r="F461" s="466">
        <v>22</v>
      </c>
      <c r="G461" s="468">
        <v>32</v>
      </c>
      <c r="H461" s="468">
        <v>25</v>
      </c>
      <c r="I461" s="466">
        <v>5800</v>
      </c>
      <c r="J461" s="466">
        <v>4860</v>
      </c>
      <c r="K461" s="472">
        <f t="shared" si="7"/>
        <v>5300</v>
      </c>
      <c r="L461" s="521">
        <v>666</v>
      </c>
      <c r="M461" s="521">
        <v>666</v>
      </c>
      <c r="N461" s="472">
        <v>666</v>
      </c>
      <c r="O461" s="472">
        <v>666</v>
      </c>
      <c r="P461" s="466">
        <v>20</v>
      </c>
      <c r="Q461" s="468">
        <v>26</v>
      </c>
      <c r="R461" s="466">
        <v>91</v>
      </c>
      <c r="S461" s="468">
        <v>119</v>
      </c>
      <c r="T461" s="466">
        <v>700</v>
      </c>
      <c r="U461" s="468">
        <v>850</v>
      </c>
      <c r="V461" s="468">
        <v>1</v>
      </c>
      <c r="W461" s="466">
        <v>950</v>
      </c>
      <c r="X461" s="468">
        <v>1070</v>
      </c>
      <c r="Y461" s="466">
        <v>160</v>
      </c>
      <c r="Z461" s="468">
        <v>170</v>
      </c>
      <c r="AA461" s="466">
        <v>3.3</v>
      </c>
      <c r="AB461" s="466">
        <v>0.4</v>
      </c>
      <c r="AC461" s="466">
        <v>4.5999999999999996</v>
      </c>
      <c r="AD461" s="466">
        <v>0.6</v>
      </c>
      <c r="AE461" s="466">
        <v>0.27</v>
      </c>
      <c r="AF461" s="468">
        <v>0.28000000000000003</v>
      </c>
      <c r="AG461" s="466">
        <v>0.35</v>
      </c>
      <c r="AH461" s="468">
        <v>0.37</v>
      </c>
      <c r="AI461" s="466">
        <v>0.55000000000000004</v>
      </c>
      <c r="AJ461" s="466">
        <v>-11</v>
      </c>
      <c r="AK461" s="466">
        <v>3.8</v>
      </c>
      <c r="AL461" s="524">
        <v>25</v>
      </c>
      <c r="AM461" s="524">
        <v>25</v>
      </c>
    </row>
    <row r="462" spans="1:40" ht="25" customHeight="1" outlineLevel="1">
      <c r="A462" s="476" t="s">
        <v>1163</v>
      </c>
      <c r="B462" s="466">
        <v>295</v>
      </c>
      <c r="C462" s="466">
        <v>-34</v>
      </c>
      <c r="D462" s="466">
        <v>-36</v>
      </c>
      <c r="E462" s="466">
        <v>28</v>
      </c>
      <c r="F462" s="466">
        <v>21</v>
      </c>
      <c r="G462" s="468">
        <v>32</v>
      </c>
      <c r="H462" s="468">
        <v>24</v>
      </c>
      <c r="I462" s="466">
        <v>6160</v>
      </c>
      <c r="J462" s="466">
        <v>5210</v>
      </c>
      <c r="K462" s="472">
        <f t="shared" si="7"/>
        <v>5660</v>
      </c>
      <c r="L462" s="521">
        <v>666</v>
      </c>
      <c r="M462" s="521">
        <v>666</v>
      </c>
      <c r="N462" s="472">
        <v>666</v>
      </c>
      <c r="O462" s="472">
        <v>666</v>
      </c>
      <c r="P462" s="466">
        <v>20</v>
      </c>
      <c r="Q462" s="468">
        <v>26</v>
      </c>
      <c r="R462" s="466">
        <v>91</v>
      </c>
      <c r="S462" s="468">
        <v>119</v>
      </c>
      <c r="T462" s="466">
        <v>670</v>
      </c>
      <c r="U462" s="468">
        <v>810</v>
      </c>
      <c r="V462" s="468">
        <v>0.9</v>
      </c>
      <c r="W462" s="466">
        <v>920</v>
      </c>
      <c r="X462" s="468">
        <v>1030</v>
      </c>
      <c r="Y462" s="466">
        <v>100</v>
      </c>
      <c r="AA462" s="466">
        <v>3.2</v>
      </c>
      <c r="AB462" s="466">
        <v>0.3</v>
      </c>
      <c r="AC462" s="466">
        <v>4.3</v>
      </c>
      <c r="AD462" s="466">
        <v>0.4</v>
      </c>
      <c r="AE462" s="466">
        <v>0.25</v>
      </c>
      <c r="AF462" s="468">
        <v>0.26</v>
      </c>
      <c r="AG462" s="466">
        <v>0.32</v>
      </c>
      <c r="AH462" s="468">
        <v>0.34</v>
      </c>
      <c r="AI462" s="466">
        <v>0.47</v>
      </c>
      <c r="AJ462" s="466">
        <v>-11</v>
      </c>
      <c r="AK462" s="466">
        <v>3.8</v>
      </c>
      <c r="AL462" s="524">
        <v>24</v>
      </c>
      <c r="AM462" s="524">
        <v>24</v>
      </c>
    </row>
    <row r="463" spans="1:40" ht="25" customHeight="1" outlineLevel="1">
      <c r="A463" s="476" t="s">
        <v>1164</v>
      </c>
      <c r="B463" s="466">
        <v>90</v>
      </c>
      <c r="C463" s="466">
        <v>-25</v>
      </c>
      <c r="D463" s="466">
        <v>-28</v>
      </c>
      <c r="E463" s="466">
        <v>30</v>
      </c>
      <c r="F463" s="466">
        <v>23</v>
      </c>
      <c r="G463" s="468">
        <v>34</v>
      </c>
      <c r="H463" s="468">
        <v>26</v>
      </c>
      <c r="I463" s="466">
        <v>4520</v>
      </c>
      <c r="J463" s="466">
        <v>3620</v>
      </c>
      <c r="K463" s="472">
        <f t="shared" si="7"/>
        <v>4020</v>
      </c>
      <c r="L463" s="521">
        <v>666</v>
      </c>
      <c r="M463" s="521">
        <v>666</v>
      </c>
      <c r="N463" s="472">
        <v>666</v>
      </c>
      <c r="O463" s="472">
        <v>666</v>
      </c>
      <c r="P463" s="466">
        <v>23</v>
      </c>
      <c r="Q463" s="468">
        <v>30</v>
      </c>
      <c r="R463" s="466">
        <v>91</v>
      </c>
      <c r="S463" s="468">
        <v>117</v>
      </c>
      <c r="T463" s="466">
        <v>730</v>
      </c>
      <c r="U463" s="468">
        <v>870</v>
      </c>
      <c r="V463" s="468">
        <v>0.9</v>
      </c>
      <c r="W463" s="466">
        <v>900</v>
      </c>
      <c r="X463" s="468">
        <v>1000</v>
      </c>
      <c r="Y463" s="466">
        <v>160</v>
      </c>
      <c r="AA463" s="466">
        <v>2.5</v>
      </c>
      <c r="AB463" s="466">
        <v>0.4</v>
      </c>
      <c r="AC463" s="466">
        <v>3.6</v>
      </c>
      <c r="AD463" s="466">
        <v>0.6</v>
      </c>
      <c r="AE463" s="466">
        <v>0.32</v>
      </c>
      <c r="AF463" s="468">
        <v>0.34</v>
      </c>
      <c r="AG463" s="466">
        <v>0.41</v>
      </c>
      <c r="AH463" s="468">
        <v>0.43</v>
      </c>
      <c r="AI463" s="466">
        <v>0.64</v>
      </c>
      <c r="AJ463" s="466">
        <v>-8</v>
      </c>
      <c r="AK463" s="466">
        <v>3.5</v>
      </c>
      <c r="AL463" s="524">
        <v>26</v>
      </c>
      <c r="AM463" s="524">
        <v>26</v>
      </c>
    </row>
    <row r="464" spans="1:40" ht="25" customHeight="1" outlineLevel="1">
      <c r="A464" s="476" t="s">
        <v>1165</v>
      </c>
      <c r="B464" s="466">
        <v>60</v>
      </c>
      <c r="C464" s="466">
        <v>-27</v>
      </c>
      <c r="D464" s="466">
        <v>-29</v>
      </c>
      <c r="E464" s="466">
        <v>25</v>
      </c>
      <c r="F464" s="466">
        <v>19</v>
      </c>
      <c r="G464" s="468">
        <v>29</v>
      </c>
      <c r="H464" s="468">
        <v>22</v>
      </c>
      <c r="I464" s="466">
        <v>6020</v>
      </c>
      <c r="J464" s="466">
        <v>5070</v>
      </c>
      <c r="K464" s="472">
        <f t="shared" si="7"/>
        <v>5520</v>
      </c>
      <c r="L464" s="521">
        <v>666</v>
      </c>
      <c r="M464" s="521">
        <v>666</v>
      </c>
      <c r="N464" s="472">
        <v>666</v>
      </c>
      <c r="O464" s="472">
        <v>666</v>
      </c>
      <c r="P464" s="466">
        <v>16</v>
      </c>
      <c r="Q464" s="468">
        <v>21</v>
      </c>
      <c r="R464" s="466">
        <v>91</v>
      </c>
      <c r="S464" s="468">
        <v>119</v>
      </c>
      <c r="T464" s="466">
        <v>680</v>
      </c>
      <c r="U464" s="468">
        <v>850</v>
      </c>
      <c r="V464" s="468">
        <v>1.1000000000000001</v>
      </c>
      <c r="W464" s="466">
        <v>1000</v>
      </c>
      <c r="X464" s="468">
        <v>1140</v>
      </c>
      <c r="Y464" s="466">
        <v>220</v>
      </c>
      <c r="Z464" s="468">
        <v>240</v>
      </c>
      <c r="AA464" s="466">
        <v>4.3</v>
      </c>
      <c r="AB464" s="466">
        <v>0.4</v>
      </c>
      <c r="AC464" s="466">
        <v>6.2</v>
      </c>
      <c r="AD464" s="466">
        <v>0.6</v>
      </c>
      <c r="AE464" s="466">
        <v>0.39</v>
      </c>
      <c r="AF464" s="468">
        <v>0.41</v>
      </c>
      <c r="AG464" s="466">
        <v>0.5</v>
      </c>
      <c r="AH464" s="468">
        <v>0.53</v>
      </c>
      <c r="AI464" s="466">
        <v>0.75</v>
      </c>
      <c r="AJ464" s="466">
        <v>-9</v>
      </c>
      <c r="AK464" s="466">
        <v>4.8</v>
      </c>
      <c r="AL464" s="524">
        <v>22</v>
      </c>
      <c r="AM464" s="524">
        <v>22</v>
      </c>
    </row>
    <row r="465" spans="1:39" ht="25" customHeight="1" outlineLevel="1">
      <c r="A465" s="476" t="s">
        <v>1166</v>
      </c>
      <c r="B465" s="466">
        <v>20</v>
      </c>
      <c r="C465" s="466">
        <v>-27</v>
      </c>
      <c r="D465" s="466">
        <v>-29</v>
      </c>
      <c r="E465" s="466">
        <v>28</v>
      </c>
      <c r="F465" s="466">
        <v>21</v>
      </c>
      <c r="G465" s="468">
        <v>32</v>
      </c>
      <c r="H465" s="468">
        <v>24</v>
      </c>
      <c r="I465" s="466">
        <v>5280</v>
      </c>
      <c r="J465" s="466">
        <v>4350</v>
      </c>
      <c r="K465" s="472">
        <f t="shared" si="7"/>
        <v>4780</v>
      </c>
      <c r="L465" s="521">
        <v>666</v>
      </c>
      <c r="M465" s="521">
        <v>666</v>
      </c>
      <c r="N465" s="472">
        <v>666</v>
      </c>
      <c r="O465" s="472">
        <v>666</v>
      </c>
      <c r="P465" s="466">
        <v>18</v>
      </c>
      <c r="Q465" s="468">
        <v>23</v>
      </c>
      <c r="R465" s="466">
        <v>102</v>
      </c>
      <c r="S465" s="468">
        <v>133</v>
      </c>
      <c r="T465" s="466">
        <v>730</v>
      </c>
      <c r="U465" s="468">
        <v>900</v>
      </c>
      <c r="V465" s="468">
        <v>1</v>
      </c>
      <c r="W465" s="466">
        <v>1000</v>
      </c>
      <c r="X465" s="468">
        <v>1150</v>
      </c>
      <c r="Y465" s="466">
        <v>180</v>
      </c>
      <c r="Z465" s="468">
        <v>200</v>
      </c>
      <c r="AA465" s="466">
        <v>3.4</v>
      </c>
      <c r="AB465" s="466">
        <v>0.6</v>
      </c>
      <c r="AC465" s="466">
        <v>4.8</v>
      </c>
      <c r="AD465" s="466">
        <v>0.8</v>
      </c>
      <c r="AE465" s="466">
        <v>0.37</v>
      </c>
      <c r="AF465" s="468">
        <v>0.39</v>
      </c>
      <c r="AG465" s="466">
        <v>0.48</v>
      </c>
      <c r="AH465" s="468">
        <v>0.5</v>
      </c>
      <c r="AI465" s="466">
        <v>0.73</v>
      </c>
      <c r="AJ465" s="466">
        <v>-10</v>
      </c>
      <c r="AK465" s="466">
        <v>3.5</v>
      </c>
      <c r="AL465" s="524">
        <v>24</v>
      </c>
      <c r="AM465" s="524">
        <v>24</v>
      </c>
    </row>
    <row r="466" spans="1:39" ht="25" customHeight="1" outlineLevel="1">
      <c r="A466" s="476" t="s">
        <v>1167</v>
      </c>
      <c r="B466" s="466">
        <v>45</v>
      </c>
      <c r="C466" s="466">
        <v>-26</v>
      </c>
      <c r="D466" s="466">
        <v>-29</v>
      </c>
      <c r="E466" s="466">
        <v>28</v>
      </c>
      <c r="F466" s="466">
        <v>22</v>
      </c>
      <c r="G466" s="468">
        <v>32</v>
      </c>
      <c r="H466" s="468">
        <v>25</v>
      </c>
      <c r="I466" s="466">
        <v>5100</v>
      </c>
      <c r="J466" s="466">
        <v>4180</v>
      </c>
      <c r="K466" s="472">
        <f t="shared" si="7"/>
        <v>4600</v>
      </c>
      <c r="L466" s="521">
        <v>666</v>
      </c>
      <c r="M466" s="521">
        <v>666</v>
      </c>
      <c r="N466" s="472">
        <v>666</v>
      </c>
      <c r="O466" s="472">
        <v>666</v>
      </c>
      <c r="P466" s="466">
        <v>20</v>
      </c>
      <c r="Q466" s="468">
        <v>26</v>
      </c>
      <c r="R466" s="466">
        <v>107</v>
      </c>
      <c r="S466" s="468">
        <v>140</v>
      </c>
      <c r="T466" s="466">
        <v>980</v>
      </c>
      <c r="U466" s="468">
        <v>1180</v>
      </c>
      <c r="V466" s="468">
        <v>1.2</v>
      </c>
      <c r="W466" s="466">
        <v>1200</v>
      </c>
      <c r="X466" s="468">
        <v>1340</v>
      </c>
      <c r="Y466" s="466">
        <v>200</v>
      </c>
      <c r="Z466" s="468">
        <v>210</v>
      </c>
      <c r="AA466" s="466">
        <v>3.4</v>
      </c>
      <c r="AB466" s="466">
        <v>0.6</v>
      </c>
      <c r="AC466" s="466">
        <v>4.8</v>
      </c>
      <c r="AD466" s="466">
        <v>0.8</v>
      </c>
      <c r="AE466" s="466">
        <v>0.33</v>
      </c>
      <c r="AF466" s="468">
        <v>0.35</v>
      </c>
      <c r="AG466" s="466">
        <v>0.42</v>
      </c>
      <c r="AH466" s="468">
        <v>0.44</v>
      </c>
      <c r="AI466" s="466">
        <v>0.65</v>
      </c>
      <c r="AJ466" s="466">
        <v>-9</v>
      </c>
      <c r="AK466" s="466">
        <v>4</v>
      </c>
      <c r="AL466" s="524">
        <v>25</v>
      </c>
      <c r="AM466" s="524">
        <v>25</v>
      </c>
    </row>
    <row r="467" spans="1:39" ht="25" customHeight="1" outlineLevel="1">
      <c r="A467" s="476" t="s">
        <v>1168</v>
      </c>
      <c r="B467" s="466">
        <v>55</v>
      </c>
      <c r="C467" s="466">
        <v>-24</v>
      </c>
      <c r="D467" s="466">
        <v>-26</v>
      </c>
      <c r="E467" s="466">
        <v>29</v>
      </c>
      <c r="F467" s="466">
        <v>23</v>
      </c>
      <c r="G467" s="468">
        <v>33</v>
      </c>
      <c r="H467" s="468">
        <v>26</v>
      </c>
      <c r="I467" s="466">
        <v>4420</v>
      </c>
      <c r="J467" s="466">
        <v>3610</v>
      </c>
      <c r="K467" s="472">
        <f t="shared" si="7"/>
        <v>3920</v>
      </c>
      <c r="L467" s="521">
        <v>666</v>
      </c>
      <c r="M467" s="521">
        <v>666</v>
      </c>
      <c r="N467" s="472">
        <v>666</v>
      </c>
      <c r="O467" s="472">
        <v>666</v>
      </c>
      <c r="P467" s="466">
        <v>23</v>
      </c>
      <c r="Q467" s="468">
        <v>29</v>
      </c>
      <c r="R467" s="466">
        <v>91</v>
      </c>
      <c r="S467" s="468">
        <v>117</v>
      </c>
      <c r="T467" s="466">
        <v>880</v>
      </c>
      <c r="U467" s="468">
        <v>1040</v>
      </c>
      <c r="V467" s="468">
        <v>1.1000000000000001</v>
      </c>
      <c r="W467" s="466">
        <v>1260</v>
      </c>
      <c r="X467" s="468">
        <v>1410</v>
      </c>
      <c r="Y467" s="466">
        <v>160</v>
      </c>
      <c r="AA467" s="466">
        <v>2.1</v>
      </c>
      <c r="AB467" s="466">
        <v>0.4</v>
      </c>
      <c r="AC467" s="466">
        <v>3.1</v>
      </c>
      <c r="AD467" s="466">
        <v>0.6</v>
      </c>
      <c r="AE467" s="466">
        <v>0.28999999999999998</v>
      </c>
      <c r="AF467" s="468">
        <v>0.3</v>
      </c>
      <c r="AG467" s="466">
        <v>0.37</v>
      </c>
      <c r="AH467" s="468">
        <v>0.39</v>
      </c>
      <c r="AI467" s="466">
        <v>0.57999999999999996</v>
      </c>
      <c r="AJ467" s="466">
        <v>-8</v>
      </c>
      <c r="AK467" s="466">
        <v>2.8</v>
      </c>
      <c r="AL467" s="524">
        <v>26</v>
      </c>
      <c r="AM467" s="524">
        <v>26</v>
      </c>
    </row>
    <row r="468" spans="1:39" ht="25" customHeight="1" outlineLevel="1">
      <c r="A468" s="476" t="s">
        <v>1169</v>
      </c>
      <c r="B468" s="466">
        <v>25</v>
      </c>
      <c r="C468" s="466">
        <v>-24</v>
      </c>
      <c r="D468" s="466">
        <v>-26</v>
      </c>
      <c r="E468" s="466">
        <v>30</v>
      </c>
      <c r="F468" s="466">
        <v>23</v>
      </c>
      <c r="G468" s="468">
        <v>34</v>
      </c>
      <c r="H468" s="468">
        <v>26</v>
      </c>
      <c r="I468" s="466">
        <v>4500</v>
      </c>
      <c r="J468" s="466">
        <v>3680</v>
      </c>
      <c r="K468" s="472">
        <f t="shared" si="7"/>
        <v>4000</v>
      </c>
      <c r="L468" s="521">
        <v>666</v>
      </c>
      <c r="M468" s="521">
        <v>666</v>
      </c>
      <c r="N468" s="472">
        <v>666</v>
      </c>
      <c r="O468" s="472">
        <v>666</v>
      </c>
      <c r="P468" s="466">
        <v>23</v>
      </c>
      <c r="Q468" s="468">
        <v>30</v>
      </c>
      <c r="R468" s="466">
        <v>91</v>
      </c>
      <c r="S468" s="468">
        <v>118</v>
      </c>
      <c r="T468" s="466">
        <v>840</v>
      </c>
      <c r="U468" s="468">
        <v>1000</v>
      </c>
      <c r="V468" s="468">
        <v>1.1000000000000001</v>
      </c>
      <c r="W468" s="466">
        <v>1025</v>
      </c>
      <c r="X468" s="468">
        <v>1150</v>
      </c>
      <c r="Y468" s="466">
        <v>180</v>
      </c>
      <c r="Z468" s="468">
        <v>190</v>
      </c>
      <c r="AA468" s="466">
        <v>2.4</v>
      </c>
      <c r="AB468" s="466">
        <v>0.4</v>
      </c>
      <c r="AC468" s="466">
        <v>3.6</v>
      </c>
      <c r="AD468" s="466">
        <v>0.6</v>
      </c>
      <c r="AE468" s="466">
        <v>0.28999999999999998</v>
      </c>
      <c r="AF468" s="468">
        <v>0.3</v>
      </c>
      <c r="AG468" s="466">
        <v>0.37</v>
      </c>
      <c r="AH468" s="468">
        <v>0.39</v>
      </c>
      <c r="AI468" s="466">
        <v>0.57999999999999996</v>
      </c>
      <c r="AJ468" s="466">
        <v>-8</v>
      </c>
      <c r="AK468" s="466">
        <v>3.5</v>
      </c>
      <c r="AL468" s="524">
        <v>26</v>
      </c>
      <c r="AM468" s="524">
        <v>26</v>
      </c>
    </row>
    <row r="469" spans="1:39" ht="25" customHeight="1" outlineLevel="1">
      <c r="A469" s="476" t="s">
        <v>1170</v>
      </c>
      <c r="B469" s="466">
        <v>210</v>
      </c>
      <c r="C469" s="466">
        <v>-25</v>
      </c>
      <c r="D469" s="466">
        <v>-27</v>
      </c>
      <c r="E469" s="466">
        <v>29</v>
      </c>
      <c r="F469" s="466">
        <v>23</v>
      </c>
      <c r="G469" s="468">
        <v>33</v>
      </c>
      <c r="H469" s="468">
        <v>26</v>
      </c>
      <c r="I469" s="466">
        <v>4730</v>
      </c>
      <c r="J469" s="466">
        <v>3880</v>
      </c>
      <c r="K469" s="472">
        <f t="shared" si="7"/>
        <v>4230</v>
      </c>
      <c r="L469" s="521">
        <v>666</v>
      </c>
      <c r="M469" s="521">
        <v>666</v>
      </c>
      <c r="N469" s="472">
        <v>666</v>
      </c>
      <c r="O469" s="472">
        <v>666</v>
      </c>
      <c r="P469" s="466">
        <v>23</v>
      </c>
      <c r="Q469" s="468">
        <v>29</v>
      </c>
      <c r="R469" s="466">
        <v>96</v>
      </c>
      <c r="S469" s="468">
        <v>123</v>
      </c>
      <c r="T469" s="466">
        <v>990</v>
      </c>
      <c r="U469" s="468">
        <v>1170</v>
      </c>
      <c r="V469" s="468">
        <v>1.2</v>
      </c>
      <c r="W469" s="466">
        <v>1240</v>
      </c>
      <c r="X469" s="468">
        <v>1380</v>
      </c>
      <c r="Y469" s="466">
        <v>160</v>
      </c>
      <c r="AA469" s="466">
        <v>2.5</v>
      </c>
      <c r="AB469" s="466">
        <v>0.4</v>
      </c>
      <c r="AC469" s="466">
        <v>3.6</v>
      </c>
      <c r="AD469" s="466">
        <v>0.6</v>
      </c>
      <c r="AE469" s="466">
        <v>0.28999999999999998</v>
      </c>
      <c r="AF469" s="468">
        <v>0.3</v>
      </c>
      <c r="AG469" s="466">
        <v>0.37</v>
      </c>
      <c r="AH469" s="468">
        <v>0.39</v>
      </c>
      <c r="AI469" s="466">
        <v>0.57999999999999996</v>
      </c>
      <c r="AJ469" s="466">
        <v>-8</v>
      </c>
      <c r="AK469" s="466">
        <v>3</v>
      </c>
      <c r="AL469" s="524">
        <v>26</v>
      </c>
      <c r="AM469" s="524">
        <v>26</v>
      </c>
    </row>
    <row r="470" spans="1:39" ht="25" customHeight="1" outlineLevel="1">
      <c r="A470" s="476" t="s">
        <v>1171</v>
      </c>
      <c r="B470" s="466">
        <v>15</v>
      </c>
      <c r="C470" s="466">
        <v>-24</v>
      </c>
      <c r="D470" s="466">
        <v>-26</v>
      </c>
      <c r="E470" s="466">
        <v>30</v>
      </c>
      <c r="F470" s="466">
        <v>23</v>
      </c>
      <c r="G470" s="468">
        <v>34</v>
      </c>
      <c r="H470" s="468">
        <v>26</v>
      </c>
      <c r="I470" s="466">
        <v>4420</v>
      </c>
      <c r="J470" s="466">
        <v>3610</v>
      </c>
      <c r="K470" s="472">
        <f t="shared" si="7"/>
        <v>3920</v>
      </c>
      <c r="L470" s="521">
        <v>666</v>
      </c>
      <c r="M470" s="521">
        <v>666</v>
      </c>
      <c r="N470" s="472">
        <v>666</v>
      </c>
      <c r="O470" s="472">
        <v>666</v>
      </c>
      <c r="P470" s="466">
        <v>23</v>
      </c>
      <c r="Q470" s="468">
        <v>30</v>
      </c>
      <c r="R470" s="466">
        <v>91</v>
      </c>
      <c r="S470" s="468">
        <v>118</v>
      </c>
      <c r="T470" s="466">
        <v>800</v>
      </c>
      <c r="U470" s="468">
        <v>960</v>
      </c>
      <c r="V470" s="468">
        <v>1</v>
      </c>
      <c r="W470" s="466">
        <v>1025</v>
      </c>
      <c r="X470" s="468">
        <v>1160</v>
      </c>
      <c r="Y470" s="466">
        <v>180</v>
      </c>
      <c r="Z470" s="468">
        <v>190</v>
      </c>
      <c r="AA470" s="466">
        <v>2.4</v>
      </c>
      <c r="AB470" s="466">
        <v>0.4</v>
      </c>
      <c r="AC470" s="466">
        <v>3.6</v>
      </c>
      <c r="AD470" s="466">
        <v>0.6</v>
      </c>
      <c r="AE470" s="466">
        <v>0.34</v>
      </c>
      <c r="AF470" s="468">
        <v>0.36</v>
      </c>
      <c r="AG470" s="466">
        <v>0.44</v>
      </c>
      <c r="AH470" s="468">
        <v>0.46</v>
      </c>
      <c r="AI470" s="466">
        <v>0.69</v>
      </c>
      <c r="AJ470" s="466">
        <v>-8</v>
      </c>
      <c r="AK470" s="466">
        <v>4.3</v>
      </c>
      <c r="AL470" s="524">
        <v>26</v>
      </c>
      <c r="AM470" s="524">
        <v>26</v>
      </c>
    </row>
    <row r="471" spans="1:39" ht="25" customHeight="1" outlineLevel="1">
      <c r="A471" s="476" t="s">
        <v>1172</v>
      </c>
      <c r="B471" s="466">
        <v>130</v>
      </c>
      <c r="C471" s="466">
        <v>-26</v>
      </c>
      <c r="D471" s="466">
        <v>-28</v>
      </c>
      <c r="E471" s="466">
        <v>30</v>
      </c>
      <c r="F471" s="466">
        <v>23</v>
      </c>
      <c r="G471" s="468">
        <v>33</v>
      </c>
      <c r="H471" s="468">
        <v>26</v>
      </c>
      <c r="I471" s="466">
        <v>4880</v>
      </c>
      <c r="J471" s="466">
        <v>3970</v>
      </c>
      <c r="K471" s="472">
        <f t="shared" si="7"/>
        <v>4380</v>
      </c>
      <c r="L471" s="521">
        <v>666</v>
      </c>
      <c r="M471" s="521">
        <v>666</v>
      </c>
      <c r="N471" s="472">
        <v>666</v>
      </c>
      <c r="O471" s="472">
        <v>666</v>
      </c>
      <c r="P471" s="466">
        <v>23</v>
      </c>
      <c r="Q471" s="468">
        <v>30</v>
      </c>
      <c r="R471" s="466">
        <v>91</v>
      </c>
      <c r="S471" s="468">
        <v>118</v>
      </c>
      <c r="T471" s="466">
        <v>810</v>
      </c>
      <c r="U471" s="468">
        <v>960</v>
      </c>
      <c r="V471" s="468">
        <v>1</v>
      </c>
      <c r="W471" s="466">
        <v>990</v>
      </c>
      <c r="X471" s="468">
        <v>1100</v>
      </c>
      <c r="Y471" s="466">
        <v>160</v>
      </c>
      <c r="AA471" s="466">
        <v>2.6</v>
      </c>
      <c r="AB471" s="466">
        <v>0.4</v>
      </c>
      <c r="AC471" s="466">
        <v>3.6</v>
      </c>
      <c r="AD471" s="466">
        <v>0.6</v>
      </c>
      <c r="AE471" s="466">
        <v>0.31</v>
      </c>
      <c r="AF471" s="468">
        <v>0.33</v>
      </c>
      <c r="AG471" s="466">
        <v>0.4</v>
      </c>
      <c r="AH471" s="468">
        <v>0.42</v>
      </c>
      <c r="AI471" s="466">
        <v>0.64</v>
      </c>
      <c r="AJ471" s="466">
        <v>-8</v>
      </c>
      <c r="AK471" s="466">
        <v>2.2000000000000002</v>
      </c>
      <c r="AL471" s="524">
        <v>26</v>
      </c>
      <c r="AM471" s="524">
        <v>26</v>
      </c>
    </row>
    <row r="472" spans="1:39" ht="25" customHeight="1" outlineLevel="1">
      <c r="A472" s="476" t="s">
        <v>1173</v>
      </c>
      <c r="B472" s="466">
        <v>115</v>
      </c>
      <c r="C472" s="466">
        <v>-28</v>
      </c>
      <c r="D472" s="466">
        <v>-30</v>
      </c>
      <c r="E472" s="466">
        <v>30</v>
      </c>
      <c r="F472" s="466">
        <v>23</v>
      </c>
      <c r="G472" s="468">
        <v>34</v>
      </c>
      <c r="H472" s="468">
        <v>26</v>
      </c>
      <c r="I472" s="466">
        <v>4900</v>
      </c>
      <c r="J472" s="466">
        <v>3980</v>
      </c>
      <c r="K472" s="472">
        <f t="shared" si="7"/>
        <v>4400</v>
      </c>
      <c r="L472" s="521">
        <v>666</v>
      </c>
      <c r="M472" s="521">
        <v>666</v>
      </c>
      <c r="N472" s="472">
        <v>666</v>
      </c>
      <c r="O472" s="472">
        <v>666</v>
      </c>
      <c r="P472" s="466">
        <v>23</v>
      </c>
      <c r="Q472" s="468">
        <v>30</v>
      </c>
      <c r="R472" s="466">
        <v>96</v>
      </c>
      <c r="S472" s="468">
        <v>124</v>
      </c>
      <c r="T472" s="466">
        <v>700</v>
      </c>
      <c r="U472" s="468">
        <v>840</v>
      </c>
      <c r="V472" s="468">
        <v>0.9</v>
      </c>
      <c r="W472" s="466">
        <v>850</v>
      </c>
      <c r="X472" s="468">
        <v>950</v>
      </c>
      <c r="Y472" s="466">
        <v>140</v>
      </c>
      <c r="AA472" s="466">
        <v>2.6</v>
      </c>
      <c r="AB472" s="466">
        <v>0.4</v>
      </c>
      <c r="AC472" s="466">
        <v>3.6</v>
      </c>
      <c r="AD472" s="466">
        <v>0.6</v>
      </c>
      <c r="AE472" s="466">
        <v>0.25</v>
      </c>
      <c r="AF472" s="468">
        <v>0.26</v>
      </c>
      <c r="AG472" s="466">
        <v>0.32</v>
      </c>
      <c r="AH472" s="468">
        <v>0.34</v>
      </c>
      <c r="AI472" s="466">
        <v>0.5</v>
      </c>
      <c r="AJ472" s="466">
        <v>-9</v>
      </c>
      <c r="AK472" s="466">
        <v>2.8</v>
      </c>
      <c r="AL472" s="524">
        <v>26</v>
      </c>
      <c r="AM472" s="524">
        <v>26</v>
      </c>
    </row>
    <row r="473" spans="1:39" ht="25" customHeight="1" outlineLevel="1">
      <c r="A473" s="476" t="s">
        <v>1174</v>
      </c>
      <c r="B473" s="466">
        <v>20</v>
      </c>
      <c r="C473" s="466">
        <v>-24</v>
      </c>
      <c r="D473" s="466">
        <v>-26</v>
      </c>
      <c r="E473" s="466">
        <v>30</v>
      </c>
      <c r="F473" s="466">
        <v>23</v>
      </c>
      <c r="G473" s="468">
        <v>34</v>
      </c>
      <c r="H473" s="468">
        <v>26</v>
      </c>
      <c r="I473" s="466">
        <v>4450</v>
      </c>
      <c r="J473" s="466">
        <v>3630</v>
      </c>
      <c r="K473" s="472">
        <f t="shared" si="7"/>
        <v>3950</v>
      </c>
      <c r="L473" s="521">
        <v>666</v>
      </c>
      <c r="M473" s="521">
        <v>666</v>
      </c>
      <c r="N473" s="472">
        <v>666</v>
      </c>
      <c r="O473" s="472">
        <v>666</v>
      </c>
      <c r="P473" s="466">
        <v>23</v>
      </c>
      <c r="Q473" s="468">
        <v>30</v>
      </c>
      <c r="R473" s="466">
        <v>91</v>
      </c>
      <c r="S473" s="468">
        <v>118</v>
      </c>
      <c r="T473" s="466">
        <v>850</v>
      </c>
      <c r="U473" s="468">
        <v>1010</v>
      </c>
      <c r="V473" s="468">
        <v>1.1000000000000001</v>
      </c>
      <c r="W473" s="466">
        <v>1000</v>
      </c>
      <c r="X473" s="468">
        <v>1130</v>
      </c>
      <c r="Y473" s="466">
        <v>160</v>
      </c>
      <c r="Z473" s="468">
        <v>170</v>
      </c>
      <c r="AA473" s="466">
        <v>2.2999999999999998</v>
      </c>
      <c r="AB473" s="466">
        <v>0.4</v>
      </c>
      <c r="AC473" s="466">
        <v>3.4</v>
      </c>
      <c r="AD473" s="466">
        <v>0.6</v>
      </c>
      <c r="AE473" s="466">
        <v>0.31</v>
      </c>
      <c r="AF473" s="468">
        <v>0.33</v>
      </c>
      <c r="AG473" s="466">
        <v>0.4</v>
      </c>
      <c r="AH473" s="468">
        <v>0.42</v>
      </c>
      <c r="AI473" s="466">
        <v>0.64</v>
      </c>
      <c r="AJ473" s="466">
        <v>-8</v>
      </c>
      <c r="AK473" s="466">
        <v>3.5</v>
      </c>
      <c r="AL473" s="524">
        <v>26</v>
      </c>
      <c r="AM473" s="524">
        <v>26</v>
      </c>
    </row>
    <row r="474" spans="1:39" ht="25" customHeight="1" outlineLevel="1">
      <c r="A474" s="476" t="s">
        <v>1175</v>
      </c>
      <c r="B474" s="466">
        <v>295</v>
      </c>
      <c r="C474" s="466">
        <v>-25</v>
      </c>
      <c r="D474" s="466">
        <v>-27</v>
      </c>
      <c r="E474" s="466">
        <v>28</v>
      </c>
      <c r="F474" s="466">
        <v>22</v>
      </c>
      <c r="G474" s="468">
        <v>32</v>
      </c>
      <c r="H474" s="468">
        <v>25</v>
      </c>
      <c r="I474" s="466">
        <v>4750</v>
      </c>
      <c r="J474" s="466">
        <v>3840</v>
      </c>
      <c r="K474" s="472">
        <f t="shared" si="7"/>
        <v>4250</v>
      </c>
      <c r="L474" s="521">
        <v>666</v>
      </c>
      <c r="M474" s="521">
        <v>666</v>
      </c>
      <c r="N474" s="472">
        <v>666</v>
      </c>
      <c r="O474" s="472">
        <v>666</v>
      </c>
      <c r="P474" s="466">
        <v>23</v>
      </c>
      <c r="Q474" s="468">
        <v>29</v>
      </c>
      <c r="R474" s="466">
        <v>96</v>
      </c>
      <c r="S474" s="468">
        <v>123</v>
      </c>
      <c r="T474" s="466">
        <v>860</v>
      </c>
      <c r="U474" s="468">
        <v>1020</v>
      </c>
      <c r="V474" s="468">
        <v>1.1000000000000001</v>
      </c>
      <c r="W474" s="466">
        <v>1060</v>
      </c>
      <c r="X474" s="468">
        <v>1170</v>
      </c>
      <c r="Y474" s="466">
        <v>160</v>
      </c>
      <c r="Z474" s="468">
        <v>170</v>
      </c>
      <c r="AA474" s="466">
        <v>2.2999999999999998</v>
      </c>
      <c r="AB474" s="466">
        <v>0.6</v>
      </c>
      <c r="AC474" s="466">
        <v>3.3</v>
      </c>
      <c r="AD474" s="466">
        <v>0.9</v>
      </c>
      <c r="AE474" s="466">
        <v>0.27</v>
      </c>
      <c r="AF474" s="468">
        <v>0.28000000000000003</v>
      </c>
      <c r="AG474" s="466">
        <v>0.35</v>
      </c>
      <c r="AH474" s="468">
        <v>0.37</v>
      </c>
      <c r="AI474" s="466">
        <v>0.55000000000000004</v>
      </c>
      <c r="AJ474" s="466">
        <v>-8</v>
      </c>
      <c r="AK474" s="466">
        <v>3</v>
      </c>
      <c r="AL474" s="524">
        <v>25</v>
      </c>
      <c r="AM474" s="524">
        <v>25</v>
      </c>
    </row>
    <row r="475" spans="1:39" ht="25" customHeight="1" outlineLevel="1">
      <c r="A475" s="476" t="s">
        <v>1176</v>
      </c>
      <c r="B475" s="466">
        <v>10</v>
      </c>
      <c r="C475" s="466">
        <v>-25</v>
      </c>
      <c r="D475" s="466">
        <v>-27</v>
      </c>
      <c r="E475" s="466">
        <v>30</v>
      </c>
      <c r="F475" s="466">
        <v>23</v>
      </c>
      <c r="G475" s="468">
        <v>34</v>
      </c>
      <c r="H475" s="468">
        <v>26</v>
      </c>
      <c r="I475" s="466">
        <v>4500</v>
      </c>
      <c r="J475" s="466">
        <v>3680</v>
      </c>
      <c r="K475" s="472">
        <f t="shared" si="7"/>
        <v>4000</v>
      </c>
      <c r="L475" s="521">
        <v>666</v>
      </c>
      <c r="M475" s="521">
        <v>666</v>
      </c>
      <c r="N475" s="472">
        <v>666</v>
      </c>
      <c r="O475" s="472">
        <v>666</v>
      </c>
      <c r="P475" s="466">
        <v>20</v>
      </c>
      <c r="Q475" s="468">
        <v>26</v>
      </c>
      <c r="R475" s="466">
        <v>102</v>
      </c>
      <c r="S475" s="468">
        <v>133</v>
      </c>
      <c r="T475" s="466">
        <v>810</v>
      </c>
      <c r="U475" s="468">
        <v>970</v>
      </c>
      <c r="V475" s="468">
        <v>1</v>
      </c>
      <c r="W475" s="466">
        <v>1000</v>
      </c>
      <c r="X475" s="468">
        <v>1120</v>
      </c>
      <c r="Y475" s="466">
        <v>180</v>
      </c>
      <c r="Z475" s="468">
        <v>190</v>
      </c>
      <c r="AA475" s="466">
        <v>2.8</v>
      </c>
      <c r="AB475" s="466">
        <v>0.4</v>
      </c>
      <c r="AC475" s="466">
        <v>4.0999999999999996</v>
      </c>
      <c r="AD475" s="466">
        <v>0.6</v>
      </c>
      <c r="AE475" s="466">
        <v>0.34</v>
      </c>
      <c r="AF475" s="468">
        <v>0.36</v>
      </c>
      <c r="AG475" s="466">
        <v>0.43</v>
      </c>
      <c r="AH475" s="468">
        <v>0.45</v>
      </c>
      <c r="AI475" s="466">
        <v>0.66</v>
      </c>
      <c r="AJ475" s="466">
        <v>-8</v>
      </c>
      <c r="AK475" s="466">
        <v>3.5</v>
      </c>
      <c r="AL475" s="524">
        <v>26</v>
      </c>
      <c r="AM475" s="524">
        <v>26</v>
      </c>
    </row>
    <row r="476" spans="1:39" ht="25" customHeight="1" outlineLevel="1">
      <c r="A476" s="476" t="s">
        <v>1177</v>
      </c>
      <c r="B476" s="466">
        <v>120</v>
      </c>
      <c r="C476" s="466">
        <v>-25</v>
      </c>
      <c r="D476" s="466">
        <v>-27</v>
      </c>
      <c r="E476" s="466">
        <v>29</v>
      </c>
      <c r="F476" s="466">
        <v>23</v>
      </c>
      <c r="G476" s="468">
        <v>33</v>
      </c>
      <c r="H476" s="468">
        <v>26</v>
      </c>
      <c r="I476" s="466">
        <v>4540</v>
      </c>
      <c r="J476" s="466">
        <v>3710</v>
      </c>
      <c r="K476" s="472">
        <f t="shared" si="7"/>
        <v>4040</v>
      </c>
      <c r="L476" s="521">
        <v>666</v>
      </c>
      <c r="M476" s="521">
        <v>666</v>
      </c>
      <c r="N476" s="472">
        <v>666</v>
      </c>
      <c r="O476" s="472">
        <v>666</v>
      </c>
      <c r="P476" s="466">
        <v>23</v>
      </c>
      <c r="Q476" s="468">
        <v>30</v>
      </c>
      <c r="R476" s="466">
        <v>91</v>
      </c>
      <c r="S476" s="468">
        <v>117</v>
      </c>
      <c r="T476" s="466">
        <v>940</v>
      </c>
      <c r="U476" s="468">
        <v>1110</v>
      </c>
      <c r="V476" s="468">
        <v>1.1000000000000001</v>
      </c>
      <c r="W476" s="466">
        <v>1150</v>
      </c>
      <c r="X476" s="468">
        <v>1280</v>
      </c>
      <c r="Y476" s="466">
        <v>160</v>
      </c>
      <c r="AA476" s="466">
        <v>2.2999999999999998</v>
      </c>
      <c r="AB476" s="466">
        <v>0.4</v>
      </c>
      <c r="AC476" s="466">
        <v>3.4</v>
      </c>
      <c r="AD476" s="466">
        <v>0.6</v>
      </c>
      <c r="AE476" s="466">
        <v>0.28999999999999998</v>
      </c>
      <c r="AF476" s="468">
        <v>0.3</v>
      </c>
      <c r="AG476" s="466">
        <v>0.37</v>
      </c>
      <c r="AH476" s="468">
        <v>0.39</v>
      </c>
      <c r="AI476" s="466">
        <v>0.57999999999999996</v>
      </c>
      <c r="AJ476" s="466">
        <v>-8</v>
      </c>
      <c r="AK476" s="466">
        <v>2.8</v>
      </c>
      <c r="AL476" s="524">
        <v>26</v>
      </c>
      <c r="AM476" s="524">
        <v>26</v>
      </c>
    </row>
    <row r="477" spans="1:39" ht="25" customHeight="1" outlineLevel="1">
      <c r="A477" s="476" t="s">
        <v>1178</v>
      </c>
      <c r="B477" s="466">
        <v>25</v>
      </c>
      <c r="C477" s="466">
        <v>-25</v>
      </c>
      <c r="D477" s="466">
        <v>-27</v>
      </c>
      <c r="E477" s="466">
        <v>29</v>
      </c>
      <c r="F477" s="466">
        <v>23</v>
      </c>
      <c r="G477" s="468">
        <v>33</v>
      </c>
      <c r="H477" s="468">
        <v>26</v>
      </c>
      <c r="I477" s="466">
        <v>4440</v>
      </c>
      <c r="J477" s="466">
        <v>3630</v>
      </c>
      <c r="K477" s="472">
        <f t="shared" si="7"/>
        <v>3940</v>
      </c>
      <c r="L477" s="521">
        <v>666</v>
      </c>
      <c r="M477" s="521">
        <v>666</v>
      </c>
      <c r="N477" s="472">
        <v>666</v>
      </c>
      <c r="O477" s="472">
        <v>666</v>
      </c>
      <c r="P477" s="466">
        <v>23</v>
      </c>
      <c r="Q477" s="468">
        <v>30</v>
      </c>
      <c r="R477" s="466">
        <v>96</v>
      </c>
      <c r="S477" s="468">
        <v>125</v>
      </c>
      <c r="T477" s="466">
        <v>820</v>
      </c>
      <c r="U477" s="468">
        <v>980</v>
      </c>
      <c r="V477" s="468">
        <v>1</v>
      </c>
      <c r="W477" s="466">
        <v>1025</v>
      </c>
      <c r="X477" s="468">
        <v>1160</v>
      </c>
      <c r="Y477" s="466">
        <v>160</v>
      </c>
      <c r="Z477" s="468">
        <v>170</v>
      </c>
      <c r="AA477" s="466">
        <v>2.4</v>
      </c>
      <c r="AB477" s="466">
        <v>0.4</v>
      </c>
      <c r="AC477" s="466">
        <v>3.5</v>
      </c>
      <c r="AD477" s="466">
        <v>0.6</v>
      </c>
      <c r="AE477" s="466">
        <v>0.28999999999999998</v>
      </c>
      <c r="AF477" s="468">
        <v>0.3</v>
      </c>
      <c r="AG477" s="466">
        <v>0.37</v>
      </c>
      <c r="AH477" s="468">
        <v>0.39</v>
      </c>
      <c r="AI477" s="466">
        <v>0.57999999999999996</v>
      </c>
      <c r="AJ477" s="466">
        <v>-8</v>
      </c>
      <c r="AK477" s="466">
        <v>3.5</v>
      </c>
      <c r="AL477" s="524">
        <v>26</v>
      </c>
      <c r="AM477" s="524">
        <v>26</v>
      </c>
    </row>
    <row r="478" spans="1:39" ht="25" customHeight="1" outlineLevel="1">
      <c r="A478" s="476" t="s">
        <v>1179</v>
      </c>
      <c r="B478" s="466">
        <v>120</v>
      </c>
      <c r="C478" s="466">
        <v>-32</v>
      </c>
      <c r="D478" s="466">
        <v>-34</v>
      </c>
      <c r="E478" s="466">
        <v>28</v>
      </c>
      <c r="F478" s="466">
        <v>22</v>
      </c>
      <c r="G478" s="468">
        <v>32</v>
      </c>
      <c r="H478" s="468">
        <v>25</v>
      </c>
      <c r="I478" s="466">
        <v>6250</v>
      </c>
      <c r="J478" s="466">
        <v>5290</v>
      </c>
      <c r="K478" s="472">
        <f t="shared" si="7"/>
        <v>5750</v>
      </c>
      <c r="L478" s="521">
        <v>666</v>
      </c>
      <c r="M478" s="521">
        <v>666</v>
      </c>
      <c r="N478" s="472">
        <v>666</v>
      </c>
      <c r="O478" s="472">
        <v>666</v>
      </c>
      <c r="P478" s="466">
        <v>22</v>
      </c>
      <c r="Q478" s="468">
        <v>29</v>
      </c>
      <c r="R478" s="466">
        <v>91</v>
      </c>
      <c r="S478" s="468">
        <v>120</v>
      </c>
      <c r="T478" s="466">
        <v>670</v>
      </c>
      <c r="U478" s="468">
        <v>820</v>
      </c>
      <c r="V478" s="468">
        <v>1</v>
      </c>
      <c r="W478" s="466">
        <v>900</v>
      </c>
      <c r="X478" s="468">
        <v>1020</v>
      </c>
      <c r="Y478" s="466">
        <v>140</v>
      </c>
      <c r="Z478" s="468">
        <v>150</v>
      </c>
      <c r="AA478" s="466">
        <v>3.5</v>
      </c>
      <c r="AB478" s="466">
        <v>0.3</v>
      </c>
      <c r="AC478" s="466">
        <v>4.8</v>
      </c>
      <c r="AD478" s="466">
        <v>0.4</v>
      </c>
      <c r="AE478" s="466">
        <v>0.27</v>
      </c>
      <c r="AF478" s="468">
        <v>0.28000000000000003</v>
      </c>
      <c r="AG478" s="466">
        <v>0.35</v>
      </c>
      <c r="AH478" s="468">
        <v>0.37</v>
      </c>
      <c r="AI478" s="466">
        <v>0.53</v>
      </c>
      <c r="AJ478" s="466">
        <v>-12</v>
      </c>
      <c r="AK478" s="466">
        <v>3.8</v>
      </c>
      <c r="AL478" s="524">
        <v>25</v>
      </c>
      <c r="AM478" s="524">
        <v>25</v>
      </c>
    </row>
    <row r="479" spans="1:39" ht="25" customHeight="1" outlineLevel="1">
      <c r="A479" s="476" t="s">
        <v>1180</v>
      </c>
      <c r="B479" s="466">
        <v>85</v>
      </c>
      <c r="C479" s="466">
        <v>-26</v>
      </c>
      <c r="D479" s="466">
        <v>-28</v>
      </c>
      <c r="E479" s="466">
        <v>30</v>
      </c>
      <c r="F479" s="466">
        <v>23</v>
      </c>
      <c r="G479" s="468">
        <v>34</v>
      </c>
      <c r="H479" s="468">
        <v>26</v>
      </c>
      <c r="I479" s="466">
        <v>4700</v>
      </c>
      <c r="J479" s="466">
        <v>3860</v>
      </c>
      <c r="K479" s="472">
        <f t="shared" si="7"/>
        <v>4200</v>
      </c>
      <c r="L479" s="521">
        <v>666</v>
      </c>
      <c r="M479" s="521">
        <v>666</v>
      </c>
      <c r="N479" s="472">
        <v>666</v>
      </c>
      <c r="O479" s="472">
        <v>666</v>
      </c>
      <c r="P479" s="466">
        <v>22</v>
      </c>
      <c r="Q479" s="468">
        <v>29</v>
      </c>
      <c r="R479" s="466">
        <v>107</v>
      </c>
      <c r="S479" s="468">
        <v>139</v>
      </c>
      <c r="T479" s="466">
        <v>870</v>
      </c>
      <c r="U479" s="468">
        <v>1030</v>
      </c>
      <c r="V479" s="468">
        <v>1.1000000000000001</v>
      </c>
      <c r="W479" s="466">
        <v>1075</v>
      </c>
      <c r="X479" s="468">
        <v>1200</v>
      </c>
      <c r="Y479" s="466">
        <v>180</v>
      </c>
      <c r="AA479" s="466">
        <v>2.5</v>
      </c>
      <c r="AB479" s="466">
        <v>0.4</v>
      </c>
      <c r="AC479" s="466">
        <v>3.6</v>
      </c>
      <c r="AD479" s="466">
        <v>0.6</v>
      </c>
      <c r="AE479" s="466">
        <v>0.27</v>
      </c>
      <c r="AF479" s="468">
        <v>0.28000000000000003</v>
      </c>
      <c r="AG479" s="466">
        <v>0.35</v>
      </c>
      <c r="AH479" s="468">
        <v>0.37</v>
      </c>
      <c r="AI479" s="466">
        <v>0.55000000000000004</v>
      </c>
      <c r="AJ479" s="466">
        <v>-9</v>
      </c>
      <c r="AK479" s="466">
        <v>3.8</v>
      </c>
      <c r="AL479" s="524">
        <v>26</v>
      </c>
      <c r="AM479" s="524">
        <v>26</v>
      </c>
    </row>
    <row r="480" spans="1:39" ht="25" customHeight="1" outlineLevel="1">
      <c r="A480" s="476" t="s">
        <v>1181</v>
      </c>
      <c r="B480" s="466">
        <v>60</v>
      </c>
      <c r="C480" s="466">
        <v>-24</v>
      </c>
      <c r="D480" s="466">
        <v>-26</v>
      </c>
      <c r="E480" s="466">
        <v>29</v>
      </c>
      <c r="F480" s="466">
        <v>23</v>
      </c>
      <c r="G480" s="468">
        <v>33</v>
      </c>
      <c r="H480" s="468">
        <v>26</v>
      </c>
      <c r="I480" s="466">
        <v>4500</v>
      </c>
      <c r="J480" s="466">
        <v>3680</v>
      </c>
      <c r="K480" s="472">
        <f t="shared" si="7"/>
        <v>4000</v>
      </c>
      <c r="L480" s="521">
        <v>666</v>
      </c>
      <c r="M480" s="521">
        <v>666</v>
      </c>
      <c r="N480" s="472">
        <v>666</v>
      </c>
      <c r="O480" s="472">
        <v>666</v>
      </c>
      <c r="P480" s="466">
        <v>23</v>
      </c>
      <c r="Q480" s="468">
        <v>30</v>
      </c>
      <c r="R480" s="466">
        <v>96</v>
      </c>
      <c r="S480" s="468">
        <v>123</v>
      </c>
      <c r="T480" s="466">
        <v>910</v>
      </c>
      <c r="U480" s="468">
        <v>1080</v>
      </c>
      <c r="V480" s="468">
        <v>1.1000000000000001</v>
      </c>
      <c r="W480" s="466">
        <v>1050</v>
      </c>
      <c r="X480" s="468">
        <v>1180</v>
      </c>
      <c r="Y480" s="466">
        <v>180</v>
      </c>
      <c r="AA480" s="466">
        <v>2.5</v>
      </c>
      <c r="AB480" s="466">
        <v>0.4</v>
      </c>
      <c r="AC480" s="466">
        <v>3.7</v>
      </c>
      <c r="AD480" s="466">
        <v>0.6</v>
      </c>
      <c r="AE480" s="466">
        <v>0.28999999999999998</v>
      </c>
      <c r="AF480" s="468">
        <v>0.3</v>
      </c>
      <c r="AG480" s="466">
        <v>0.37</v>
      </c>
      <c r="AH480" s="468">
        <v>0.39</v>
      </c>
      <c r="AI480" s="466">
        <v>0.57999999999999996</v>
      </c>
      <c r="AJ480" s="466">
        <v>-8</v>
      </c>
      <c r="AK480" s="466">
        <v>2.8</v>
      </c>
      <c r="AL480" s="524">
        <v>26</v>
      </c>
      <c r="AM480" s="524">
        <v>26</v>
      </c>
    </row>
    <row r="481" spans="1:39" ht="25" customHeight="1" outlineLevel="1">
      <c r="A481" s="476" t="s">
        <v>1182</v>
      </c>
      <c r="B481" s="466">
        <v>110</v>
      </c>
      <c r="C481" s="466">
        <v>-28</v>
      </c>
      <c r="D481" s="466">
        <v>-30</v>
      </c>
      <c r="E481" s="466">
        <v>30</v>
      </c>
      <c r="F481" s="466">
        <v>23</v>
      </c>
      <c r="G481" s="468">
        <v>34</v>
      </c>
      <c r="H481" s="468">
        <v>26</v>
      </c>
      <c r="I481" s="466">
        <v>4950</v>
      </c>
      <c r="J481" s="466">
        <v>4030</v>
      </c>
      <c r="K481" s="472">
        <f t="shared" si="7"/>
        <v>4450</v>
      </c>
      <c r="L481" s="521">
        <v>666</v>
      </c>
      <c r="M481" s="521">
        <v>666</v>
      </c>
      <c r="N481" s="472">
        <v>666</v>
      </c>
      <c r="O481" s="472">
        <v>666</v>
      </c>
      <c r="P481" s="466">
        <v>23</v>
      </c>
      <c r="Q481" s="468">
        <v>30</v>
      </c>
      <c r="R481" s="466">
        <v>96</v>
      </c>
      <c r="S481" s="468">
        <v>124</v>
      </c>
      <c r="T481" s="466">
        <v>720</v>
      </c>
      <c r="U481" s="468">
        <v>860</v>
      </c>
      <c r="V481" s="468">
        <v>0.9</v>
      </c>
      <c r="W481" s="466">
        <v>900</v>
      </c>
      <c r="X481" s="468">
        <v>1010</v>
      </c>
      <c r="Y481" s="466">
        <v>100</v>
      </c>
      <c r="AA481" s="466">
        <v>2.5</v>
      </c>
      <c r="AB481" s="466">
        <v>0.4</v>
      </c>
      <c r="AC481" s="466">
        <v>3.5</v>
      </c>
      <c r="AD481" s="466">
        <v>0.6</v>
      </c>
      <c r="AE481" s="466">
        <v>0.25</v>
      </c>
      <c r="AF481" s="468">
        <v>0.26</v>
      </c>
      <c r="AG481" s="466">
        <v>0.32</v>
      </c>
      <c r="AH481" s="468">
        <v>0.34</v>
      </c>
      <c r="AI481" s="466">
        <v>0.5</v>
      </c>
      <c r="AJ481" s="466">
        <v>-9</v>
      </c>
      <c r="AK481" s="466">
        <v>3</v>
      </c>
      <c r="AL481" s="524">
        <v>26</v>
      </c>
      <c r="AM481" s="524">
        <v>26</v>
      </c>
    </row>
    <row r="482" spans="1:39" ht="25" customHeight="1" outlineLevel="1">
      <c r="A482" s="476" t="s">
        <v>1183</v>
      </c>
      <c r="B482" s="466">
        <v>545</v>
      </c>
      <c r="C482" s="466">
        <v>-34</v>
      </c>
      <c r="D482" s="466">
        <v>-36</v>
      </c>
      <c r="E482" s="466">
        <v>24</v>
      </c>
      <c r="F482" s="466">
        <v>19</v>
      </c>
      <c r="G482" s="468">
        <v>28</v>
      </c>
      <c r="H482" s="468">
        <v>22</v>
      </c>
      <c r="I482" s="466">
        <v>7600</v>
      </c>
      <c r="J482" s="466">
        <v>6600</v>
      </c>
      <c r="K482" s="472">
        <f t="shared" si="7"/>
        <v>7100</v>
      </c>
      <c r="L482" s="521">
        <v>666</v>
      </c>
      <c r="M482" s="521">
        <v>666</v>
      </c>
      <c r="N482" s="472">
        <v>666</v>
      </c>
      <c r="O482" s="472">
        <v>666</v>
      </c>
      <c r="P482" s="466">
        <v>17</v>
      </c>
      <c r="Q482" s="468">
        <v>22</v>
      </c>
      <c r="R482" s="466">
        <v>80</v>
      </c>
      <c r="S482" s="468">
        <v>105</v>
      </c>
      <c r="T482" s="466">
        <v>580</v>
      </c>
      <c r="U482" s="468">
        <v>730</v>
      </c>
      <c r="V482" s="468">
        <v>1</v>
      </c>
      <c r="W482" s="466">
        <v>925</v>
      </c>
      <c r="X482" s="468">
        <v>1060</v>
      </c>
      <c r="Y482" s="466">
        <v>140</v>
      </c>
      <c r="Z482" s="468">
        <v>160</v>
      </c>
      <c r="AA482" s="466">
        <v>4.5999999999999996</v>
      </c>
      <c r="AB482" s="466">
        <v>0.4</v>
      </c>
      <c r="AC482" s="466">
        <v>6.4</v>
      </c>
      <c r="AD482" s="466">
        <v>0.6</v>
      </c>
      <c r="AE482" s="466">
        <v>0.3</v>
      </c>
      <c r="AF482" s="468">
        <v>0.32</v>
      </c>
      <c r="AG482" s="466">
        <v>0.39</v>
      </c>
      <c r="AH482" s="468">
        <v>0.41</v>
      </c>
      <c r="AI482" s="466">
        <v>0.6</v>
      </c>
      <c r="AJ482" s="466">
        <v>-14</v>
      </c>
      <c r="AK482" s="466">
        <v>3.7</v>
      </c>
      <c r="AL482" s="524">
        <v>22</v>
      </c>
      <c r="AM482" s="524">
        <v>22</v>
      </c>
    </row>
    <row r="483" spans="1:39" ht="25" customHeight="1" outlineLevel="1">
      <c r="A483" s="476" t="s">
        <v>1184</v>
      </c>
      <c r="B483" s="466">
        <v>55</v>
      </c>
      <c r="C483" s="466">
        <v>-25</v>
      </c>
      <c r="D483" s="466">
        <v>-26</v>
      </c>
      <c r="E483" s="466">
        <v>26</v>
      </c>
      <c r="F483" s="466">
        <v>20</v>
      </c>
      <c r="G483" s="468">
        <v>30</v>
      </c>
      <c r="H483" s="468">
        <v>23</v>
      </c>
      <c r="I483" s="466">
        <v>5500</v>
      </c>
      <c r="J483" s="466">
        <v>4570</v>
      </c>
      <c r="K483" s="472">
        <f t="shared" si="7"/>
        <v>5000</v>
      </c>
      <c r="L483" s="521">
        <v>666</v>
      </c>
      <c r="M483" s="521">
        <v>666</v>
      </c>
      <c r="N483" s="472">
        <v>666</v>
      </c>
      <c r="O483" s="472">
        <v>666</v>
      </c>
      <c r="P483" s="466">
        <v>19</v>
      </c>
      <c r="Q483" s="468">
        <v>25</v>
      </c>
      <c r="R483" s="466">
        <v>118</v>
      </c>
      <c r="S483" s="468">
        <v>153</v>
      </c>
      <c r="T483" s="466">
        <v>760</v>
      </c>
      <c r="U483" s="468">
        <v>970</v>
      </c>
      <c r="V483" s="468">
        <v>1.1000000000000001</v>
      </c>
      <c r="W483" s="466">
        <v>1100</v>
      </c>
      <c r="X483" s="468">
        <v>1260</v>
      </c>
      <c r="Y483" s="466">
        <v>300</v>
      </c>
      <c r="Z483" s="468">
        <v>330</v>
      </c>
      <c r="AA483" s="466">
        <v>4.3</v>
      </c>
      <c r="AB483" s="466">
        <v>0.6</v>
      </c>
      <c r="AC483" s="466">
        <v>6.2</v>
      </c>
      <c r="AD483" s="466">
        <v>0.9</v>
      </c>
      <c r="AE483" s="466">
        <v>0.37</v>
      </c>
      <c r="AF483" s="468">
        <v>0.39</v>
      </c>
      <c r="AG483" s="466">
        <v>0.48</v>
      </c>
      <c r="AH483" s="468">
        <v>0.5</v>
      </c>
      <c r="AI483" s="466">
        <v>0.73</v>
      </c>
      <c r="AJ483" s="466">
        <v>-8</v>
      </c>
      <c r="AK483" s="466">
        <v>3.5</v>
      </c>
      <c r="AL483" s="524">
        <v>23</v>
      </c>
      <c r="AM483" s="524">
        <v>23</v>
      </c>
    </row>
    <row r="484" spans="1:39" ht="25" customHeight="1" outlineLevel="1">
      <c r="A484" s="476" t="s">
        <v>1185</v>
      </c>
      <c r="B484" s="466">
        <v>95</v>
      </c>
      <c r="C484" s="466">
        <v>-25</v>
      </c>
      <c r="D484" s="466">
        <v>-28</v>
      </c>
      <c r="E484" s="466">
        <v>30</v>
      </c>
      <c r="F484" s="466">
        <v>23</v>
      </c>
      <c r="G484" s="468">
        <v>34</v>
      </c>
      <c r="H484" s="468">
        <v>26</v>
      </c>
      <c r="I484" s="466">
        <v>4600</v>
      </c>
      <c r="J484" s="466">
        <v>3690</v>
      </c>
      <c r="K484" s="472">
        <f t="shared" si="7"/>
        <v>4100</v>
      </c>
      <c r="L484" s="521">
        <v>666</v>
      </c>
      <c r="M484" s="521">
        <v>666</v>
      </c>
      <c r="N484" s="472">
        <v>666</v>
      </c>
      <c r="O484" s="472">
        <v>666</v>
      </c>
      <c r="P484" s="466">
        <v>23</v>
      </c>
      <c r="Q484" s="468">
        <v>30</v>
      </c>
      <c r="R484" s="466">
        <v>91</v>
      </c>
      <c r="S484" s="468">
        <v>118</v>
      </c>
      <c r="T484" s="466">
        <v>790</v>
      </c>
      <c r="U484" s="468">
        <v>940</v>
      </c>
      <c r="V484" s="468">
        <v>1</v>
      </c>
      <c r="W484" s="466">
        <v>950</v>
      </c>
      <c r="X484" s="468">
        <v>1060</v>
      </c>
      <c r="Y484" s="466">
        <v>160</v>
      </c>
      <c r="AA484" s="466">
        <v>2.5</v>
      </c>
      <c r="AB484" s="466">
        <v>0.4</v>
      </c>
      <c r="AC484" s="466">
        <v>3.6</v>
      </c>
      <c r="AD484" s="466">
        <v>0.6</v>
      </c>
      <c r="AE484" s="466">
        <v>0.32</v>
      </c>
      <c r="AF484" s="468">
        <v>0.34</v>
      </c>
      <c r="AG484" s="466">
        <v>0.41</v>
      </c>
      <c r="AH484" s="468">
        <v>0.43</v>
      </c>
      <c r="AI484" s="466">
        <v>0.64</v>
      </c>
      <c r="AJ484" s="466">
        <v>-8</v>
      </c>
      <c r="AK484" s="466">
        <v>3.2</v>
      </c>
      <c r="AL484" s="524">
        <v>26</v>
      </c>
      <c r="AM484" s="524">
        <v>26</v>
      </c>
    </row>
    <row r="485" spans="1:39" ht="25" customHeight="1" outlineLevel="1">
      <c r="A485" s="476" t="s">
        <v>1186</v>
      </c>
      <c r="B485" s="466">
        <v>175</v>
      </c>
      <c r="C485" s="466">
        <v>-28</v>
      </c>
      <c r="D485" s="466">
        <v>-31</v>
      </c>
      <c r="E485" s="466">
        <v>30</v>
      </c>
      <c r="F485" s="466">
        <v>23</v>
      </c>
      <c r="G485" s="468">
        <v>34</v>
      </c>
      <c r="H485" s="468">
        <v>26</v>
      </c>
      <c r="I485" s="466">
        <v>5080</v>
      </c>
      <c r="J485" s="466">
        <v>4160</v>
      </c>
      <c r="K485" s="472">
        <f t="shared" si="7"/>
        <v>4580</v>
      </c>
      <c r="L485" s="521">
        <v>666</v>
      </c>
      <c r="M485" s="521">
        <v>666</v>
      </c>
      <c r="N485" s="472">
        <v>666</v>
      </c>
      <c r="O485" s="472">
        <v>666</v>
      </c>
      <c r="P485" s="466">
        <v>23</v>
      </c>
      <c r="Q485" s="468">
        <v>30</v>
      </c>
      <c r="R485" s="466">
        <v>96</v>
      </c>
      <c r="S485" s="468">
        <v>124</v>
      </c>
      <c r="T485" s="466">
        <v>700</v>
      </c>
      <c r="U485" s="468">
        <v>830</v>
      </c>
      <c r="V485" s="468">
        <v>0.9</v>
      </c>
      <c r="W485" s="466">
        <v>950</v>
      </c>
      <c r="X485" s="468">
        <v>1050</v>
      </c>
      <c r="Y485" s="466">
        <v>140</v>
      </c>
      <c r="AA485" s="466">
        <v>2.6</v>
      </c>
      <c r="AB485" s="466">
        <v>0.4</v>
      </c>
      <c r="AC485" s="466">
        <v>3.7</v>
      </c>
      <c r="AD485" s="466">
        <v>0.6</v>
      </c>
      <c r="AE485" s="466">
        <v>0.25</v>
      </c>
      <c r="AF485" s="468">
        <v>0.26</v>
      </c>
      <c r="AG485" s="466">
        <v>0.32</v>
      </c>
      <c r="AH485" s="468">
        <v>0.34</v>
      </c>
      <c r="AI485" s="466">
        <v>0.5</v>
      </c>
      <c r="AJ485" s="466">
        <v>-9</v>
      </c>
      <c r="AK485" s="466">
        <v>2.2000000000000002</v>
      </c>
      <c r="AL485" s="524">
        <v>26</v>
      </c>
      <c r="AM485" s="524">
        <v>26</v>
      </c>
    </row>
    <row r="486" spans="1:39" ht="25" customHeight="1" outlineLevel="1">
      <c r="A486" s="476" t="s">
        <v>1187</v>
      </c>
      <c r="B486" s="466">
        <v>120</v>
      </c>
      <c r="C486" s="466">
        <v>-25</v>
      </c>
      <c r="D486" s="466">
        <v>-27</v>
      </c>
      <c r="E486" s="466">
        <v>29</v>
      </c>
      <c r="F486" s="466">
        <v>23</v>
      </c>
      <c r="G486" s="468">
        <v>33</v>
      </c>
      <c r="H486" s="468">
        <v>26</v>
      </c>
      <c r="I486" s="466">
        <v>4500</v>
      </c>
      <c r="J486" s="466">
        <v>3680</v>
      </c>
      <c r="K486" s="472">
        <f t="shared" si="7"/>
        <v>4000</v>
      </c>
      <c r="L486" s="521">
        <v>666</v>
      </c>
      <c r="M486" s="521">
        <v>666</v>
      </c>
      <c r="N486" s="472">
        <v>666</v>
      </c>
      <c r="O486" s="472">
        <v>666</v>
      </c>
      <c r="P486" s="466">
        <v>23</v>
      </c>
      <c r="Q486" s="468">
        <v>30</v>
      </c>
      <c r="R486" s="466">
        <v>102</v>
      </c>
      <c r="S486" s="468">
        <v>131</v>
      </c>
      <c r="T486" s="466">
        <v>940</v>
      </c>
      <c r="U486" s="468">
        <v>1110</v>
      </c>
      <c r="V486" s="468">
        <v>1.1000000000000001</v>
      </c>
      <c r="W486" s="466">
        <v>1175</v>
      </c>
      <c r="X486" s="468">
        <v>1310</v>
      </c>
      <c r="Y486" s="466">
        <v>160</v>
      </c>
      <c r="AA486" s="466">
        <v>2.2999999999999998</v>
      </c>
      <c r="AB486" s="466">
        <v>0.4</v>
      </c>
      <c r="AC486" s="466">
        <v>3.4</v>
      </c>
      <c r="AD486" s="466">
        <v>0.6</v>
      </c>
      <c r="AE486" s="466">
        <v>0.27</v>
      </c>
      <c r="AF486" s="468">
        <v>0.28000000000000003</v>
      </c>
      <c r="AG486" s="466">
        <v>0.35</v>
      </c>
      <c r="AH486" s="468">
        <v>0.37</v>
      </c>
      <c r="AI486" s="466">
        <v>0.55000000000000004</v>
      </c>
      <c r="AJ486" s="466">
        <v>-8</v>
      </c>
      <c r="AK486" s="466">
        <v>2.5</v>
      </c>
      <c r="AL486" s="524">
        <v>26</v>
      </c>
      <c r="AM486" s="524">
        <v>26</v>
      </c>
    </row>
    <row r="487" spans="1:39" ht="25" customHeight="1" outlineLevel="1">
      <c r="A487" s="476" t="s">
        <v>1188</v>
      </c>
      <c r="B487" s="466">
        <v>30</v>
      </c>
      <c r="C487" s="466">
        <v>-27</v>
      </c>
      <c r="D487" s="466">
        <v>-29</v>
      </c>
      <c r="E487" s="466">
        <v>19</v>
      </c>
      <c r="F487" s="466">
        <v>16</v>
      </c>
      <c r="G487" s="468">
        <v>23</v>
      </c>
      <c r="H487" s="468">
        <v>20</v>
      </c>
      <c r="I487" s="466">
        <v>6150</v>
      </c>
      <c r="J487" s="466">
        <v>5200</v>
      </c>
      <c r="K487" s="472">
        <f t="shared" si="7"/>
        <v>5650</v>
      </c>
      <c r="L487" s="521">
        <v>666</v>
      </c>
      <c r="M487" s="521">
        <v>666</v>
      </c>
      <c r="N487" s="472">
        <v>666</v>
      </c>
      <c r="O487" s="472">
        <v>666</v>
      </c>
      <c r="P487" s="466">
        <v>15</v>
      </c>
      <c r="Q487" s="468">
        <v>20</v>
      </c>
      <c r="R487" s="466">
        <v>96</v>
      </c>
      <c r="S487" s="468">
        <v>127</v>
      </c>
      <c r="T487" s="466">
        <v>900</v>
      </c>
      <c r="U487" s="468">
        <v>1120</v>
      </c>
      <c r="V487" s="468">
        <v>1.4</v>
      </c>
      <c r="W487" s="466">
        <v>1150</v>
      </c>
      <c r="X487" s="468">
        <v>1280</v>
      </c>
      <c r="Y487" s="466">
        <v>300</v>
      </c>
      <c r="Z487" s="468">
        <v>330</v>
      </c>
      <c r="AA487" s="466">
        <v>4.9000000000000004</v>
      </c>
      <c r="AB487" s="466">
        <v>0.6</v>
      </c>
      <c r="AC487" s="466">
        <v>7</v>
      </c>
      <c r="AD487" s="466">
        <v>0.9</v>
      </c>
      <c r="AE487" s="466">
        <v>0.56000000000000005</v>
      </c>
      <c r="AF487" s="468">
        <v>0.59</v>
      </c>
      <c r="AG487" s="466">
        <v>0.72</v>
      </c>
      <c r="AH487" s="468">
        <v>0.76</v>
      </c>
      <c r="AI487" s="466">
        <v>1.03</v>
      </c>
      <c r="AJ487" s="466">
        <v>-9</v>
      </c>
      <c r="AK487" s="466">
        <v>5</v>
      </c>
      <c r="AL487" s="524">
        <v>20</v>
      </c>
      <c r="AM487" s="524">
        <v>20</v>
      </c>
    </row>
    <row r="488" spans="1:39" ht="25" customHeight="1" outlineLevel="1">
      <c r="A488" s="476" t="s">
        <v>1189</v>
      </c>
      <c r="B488" s="466">
        <v>5</v>
      </c>
      <c r="C488" s="466">
        <v>-27</v>
      </c>
      <c r="D488" s="466">
        <v>-29</v>
      </c>
      <c r="E488" s="466">
        <v>22</v>
      </c>
      <c r="F488" s="466">
        <v>18</v>
      </c>
      <c r="G488" s="468">
        <v>26</v>
      </c>
      <c r="H488" s="468">
        <v>22</v>
      </c>
      <c r="I488" s="466">
        <v>6100</v>
      </c>
      <c r="J488" s="466">
        <v>5150</v>
      </c>
      <c r="K488" s="472">
        <f t="shared" si="7"/>
        <v>5600</v>
      </c>
      <c r="L488" s="521">
        <v>666</v>
      </c>
      <c r="M488" s="521">
        <v>666</v>
      </c>
      <c r="N488" s="472">
        <v>666</v>
      </c>
      <c r="O488" s="472">
        <v>666</v>
      </c>
      <c r="P488" s="466">
        <v>15</v>
      </c>
      <c r="Q488" s="468">
        <v>20</v>
      </c>
      <c r="R488" s="466">
        <v>96</v>
      </c>
      <c r="S488" s="468">
        <v>126</v>
      </c>
      <c r="T488" s="466">
        <v>780</v>
      </c>
      <c r="U488" s="468">
        <v>960</v>
      </c>
      <c r="V488" s="468">
        <v>1.2</v>
      </c>
      <c r="W488" s="466">
        <v>1125</v>
      </c>
      <c r="X488" s="468">
        <v>1250</v>
      </c>
      <c r="Y488" s="466">
        <v>300</v>
      </c>
      <c r="Z488" s="468">
        <v>340</v>
      </c>
      <c r="AA488" s="466">
        <v>4.0999999999999996</v>
      </c>
      <c r="AB488" s="466">
        <v>0.6</v>
      </c>
      <c r="AC488" s="466">
        <v>5.9</v>
      </c>
      <c r="AD488" s="466">
        <v>0.9</v>
      </c>
      <c r="AE488" s="466">
        <v>0.49</v>
      </c>
      <c r="AF488" s="468">
        <v>0.51</v>
      </c>
      <c r="AG488" s="466">
        <v>0.63</v>
      </c>
      <c r="AH488" s="468">
        <v>0.66</v>
      </c>
      <c r="AI488" s="466">
        <v>0.95</v>
      </c>
      <c r="AJ488" s="466">
        <v>-9</v>
      </c>
      <c r="AK488" s="466">
        <v>5</v>
      </c>
      <c r="AL488" s="524">
        <v>22</v>
      </c>
      <c r="AM488" s="524">
        <v>22</v>
      </c>
    </row>
    <row r="489" spans="1:39" ht="25" customHeight="1" outlineLevel="1">
      <c r="A489" s="476" t="s">
        <v>1190</v>
      </c>
      <c r="B489" s="466">
        <v>75</v>
      </c>
      <c r="C489" s="466">
        <v>-24</v>
      </c>
      <c r="D489" s="466">
        <v>-26</v>
      </c>
      <c r="E489" s="466">
        <v>30</v>
      </c>
      <c r="F489" s="466">
        <v>23</v>
      </c>
      <c r="G489" s="468">
        <v>34</v>
      </c>
      <c r="H489" s="468">
        <v>26</v>
      </c>
      <c r="I489" s="466">
        <v>4380</v>
      </c>
      <c r="J489" s="466">
        <v>3570</v>
      </c>
      <c r="K489" s="472">
        <f t="shared" si="7"/>
        <v>3880</v>
      </c>
      <c r="L489" s="484">
        <v>266.60000000000002</v>
      </c>
      <c r="M489" s="484">
        <v>463</v>
      </c>
      <c r="N489" s="472">
        <v>666</v>
      </c>
      <c r="O489" s="472">
        <v>666</v>
      </c>
      <c r="P489" s="466">
        <v>23</v>
      </c>
      <c r="Q489" s="468">
        <v>29</v>
      </c>
      <c r="R489" s="466">
        <v>91</v>
      </c>
      <c r="S489" s="468">
        <v>116</v>
      </c>
      <c r="T489" s="466">
        <v>770</v>
      </c>
      <c r="U489" s="468">
        <v>920</v>
      </c>
      <c r="V489" s="468">
        <v>1</v>
      </c>
      <c r="W489" s="466">
        <v>1025</v>
      </c>
      <c r="X489" s="468">
        <v>1160</v>
      </c>
      <c r="Y489" s="466">
        <v>160</v>
      </c>
      <c r="AA489" s="466">
        <v>2.4</v>
      </c>
      <c r="AB489" s="466">
        <v>0.4</v>
      </c>
      <c r="AC489" s="466">
        <v>3.6</v>
      </c>
      <c r="AD489" s="466">
        <v>0.6</v>
      </c>
      <c r="AE489" s="466">
        <v>0.31</v>
      </c>
      <c r="AF489" s="468">
        <v>0.33</v>
      </c>
      <c r="AG489" s="466">
        <v>0.4</v>
      </c>
      <c r="AH489" s="468">
        <v>0.42</v>
      </c>
      <c r="AI489" s="466">
        <v>0.64</v>
      </c>
      <c r="AJ489" s="466">
        <v>-8</v>
      </c>
      <c r="AK489" s="466">
        <v>3</v>
      </c>
      <c r="AL489" s="524">
        <v>26</v>
      </c>
      <c r="AM489" s="524">
        <v>26</v>
      </c>
    </row>
    <row r="490" spans="1:39" ht="25" customHeight="1" outlineLevel="1">
      <c r="A490" s="476" t="s">
        <v>1191</v>
      </c>
      <c r="B490" s="466">
        <v>65</v>
      </c>
      <c r="C490" s="466">
        <v>-25</v>
      </c>
      <c r="D490" s="466">
        <v>-28</v>
      </c>
      <c r="E490" s="466">
        <v>30</v>
      </c>
      <c r="F490" s="466">
        <v>23</v>
      </c>
      <c r="G490" s="468">
        <v>34</v>
      </c>
      <c r="H490" s="468">
        <v>26</v>
      </c>
      <c r="I490" s="466">
        <v>4550</v>
      </c>
      <c r="J490" s="466">
        <v>3650</v>
      </c>
      <c r="K490" s="472">
        <f t="shared" si="7"/>
        <v>4050</v>
      </c>
      <c r="L490" s="521">
        <v>666</v>
      </c>
      <c r="M490" s="521">
        <v>666</v>
      </c>
      <c r="N490" s="472">
        <v>666</v>
      </c>
      <c r="O490" s="472">
        <v>666</v>
      </c>
      <c r="P490" s="466">
        <v>23</v>
      </c>
      <c r="Q490" s="468">
        <v>30</v>
      </c>
      <c r="R490" s="466">
        <v>91</v>
      </c>
      <c r="S490" s="468">
        <v>117</v>
      </c>
      <c r="T490" s="466">
        <v>730</v>
      </c>
      <c r="U490" s="468">
        <v>870</v>
      </c>
      <c r="V490" s="468">
        <v>0.9</v>
      </c>
      <c r="W490" s="466">
        <v>900</v>
      </c>
      <c r="X490" s="468">
        <v>1000</v>
      </c>
      <c r="Y490" s="466">
        <v>160</v>
      </c>
      <c r="AA490" s="466">
        <v>2.4</v>
      </c>
      <c r="AB490" s="466">
        <v>0.4</v>
      </c>
      <c r="AC490" s="466">
        <v>3.5</v>
      </c>
      <c r="AD490" s="466">
        <v>0.6</v>
      </c>
      <c r="AE490" s="466">
        <v>0.32</v>
      </c>
      <c r="AF490" s="468">
        <v>0.34</v>
      </c>
      <c r="AG490" s="466">
        <v>0.41</v>
      </c>
      <c r="AH490" s="468">
        <v>0.43</v>
      </c>
      <c r="AI490" s="466">
        <v>0.64</v>
      </c>
      <c r="AJ490" s="466">
        <v>-8</v>
      </c>
      <c r="AK490" s="466">
        <v>3.2</v>
      </c>
      <c r="AL490" s="524">
        <v>26</v>
      </c>
      <c r="AM490" s="524">
        <v>26</v>
      </c>
    </row>
    <row r="491" spans="1:39" ht="25" customHeight="1" outlineLevel="1">
      <c r="A491" s="476" t="s">
        <v>1192</v>
      </c>
      <c r="B491" s="466">
        <v>35</v>
      </c>
      <c r="C491" s="466">
        <v>-24</v>
      </c>
      <c r="D491" s="466">
        <v>-26</v>
      </c>
      <c r="E491" s="466">
        <v>29</v>
      </c>
      <c r="F491" s="466">
        <v>23</v>
      </c>
      <c r="G491" s="468">
        <v>33</v>
      </c>
      <c r="H491" s="468">
        <v>26</v>
      </c>
      <c r="I491" s="466">
        <v>4450</v>
      </c>
      <c r="J491" s="466">
        <v>3630</v>
      </c>
      <c r="K491" s="472">
        <f t="shared" si="7"/>
        <v>3950</v>
      </c>
      <c r="L491" s="521">
        <v>666</v>
      </c>
      <c r="M491" s="521">
        <v>666</v>
      </c>
      <c r="N491" s="472">
        <v>666</v>
      </c>
      <c r="O491" s="472">
        <v>666</v>
      </c>
      <c r="P491" s="466">
        <v>23</v>
      </c>
      <c r="Q491" s="468">
        <v>30</v>
      </c>
      <c r="R491" s="466">
        <v>91</v>
      </c>
      <c r="S491" s="468">
        <v>118</v>
      </c>
      <c r="T491" s="466">
        <v>880</v>
      </c>
      <c r="U491" s="468">
        <v>1050</v>
      </c>
      <c r="V491" s="468">
        <v>1.1000000000000001</v>
      </c>
      <c r="W491" s="466">
        <v>1010</v>
      </c>
      <c r="X491" s="468">
        <v>1140</v>
      </c>
      <c r="Y491" s="466">
        <v>160</v>
      </c>
      <c r="AA491" s="466">
        <v>2.2000000000000002</v>
      </c>
      <c r="AB491" s="466">
        <v>0.4</v>
      </c>
      <c r="AC491" s="466">
        <v>3.3</v>
      </c>
      <c r="AD491" s="466">
        <v>0.6</v>
      </c>
      <c r="AE491" s="466">
        <v>0.32</v>
      </c>
      <c r="AF491" s="468">
        <v>0.34</v>
      </c>
      <c r="AG491" s="466">
        <v>0.41</v>
      </c>
      <c r="AH491" s="468">
        <v>0.43</v>
      </c>
      <c r="AI491" s="466">
        <v>0.64</v>
      </c>
      <c r="AJ491" s="466">
        <v>-8</v>
      </c>
      <c r="AK491" s="466">
        <v>3</v>
      </c>
      <c r="AL491" s="524">
        <v>26</v>
      </c>
      <c r="AM491" s="524">
        <v>26</v>
      </c>
    </row>
    <row r="492" spans="1:39" ht="25" customHeight="1" outlineLevel="1">
      <c r="A492" s="476" t="s">
        <v>1193</v>
      </c>
      <c r="B492" s="466">
        <v>5</v>
      </c>
      <c r="C492" s="466">
        <v>-36</v>
      </c>
      <c r="D492" s="466">
        <v>-38</v>
      </c>
      <c r="E492" s="466">
        <v>21</v>
      </c>
      <c r="F492" s="466">
        <v>15</v>
      </c>
      <c r="G492" s="468">
        <v>26</v>
      </c>
      <c r="H492" s="468">
        <v>19</v>
      </c>
      <c r="I492" s="466">
        <v>9150</v>
      </c>
      <c r="J492" s="466">
        <v>8100</v>
      </c>
      <c r="K492" s="472">
        <f t="shared" si="7"/>
        <v>8650</v>
      </c>
      <c r="L492" s="521">
        <v>666</v>
      </c>
      <c r="M492" s="521">
        <v>666</v>
      </c>
      <c r="N492" s="472">
        <v>666</v>
      </c>
      <c r="O492" s="472">
        <v>666</v>
      </c>
      <c r="P492" s="466">
        <v>9</v>
      </c>
      <c r="Q492" s="468">
        <v>13</v>
      </c>
      <c r="R492" s="466">
        <v>54</v>
      </c>
      <c r="S492" s="468">
        <v>79</v>
      </c>
      <c r="T492" s="466">
        <v>270</v>
      </c>
      <c r="U492" s="468">
        <v>370</v>
      </c>
      <c r="V492" s="468">
        <v>0.9</v>
      </c>
      <c r="W492" s="466">
        <v>420</v>
      </c>
      <c r="X492" s="468">
        <v>510</v>
      </c>
      <c r="Y492" s="466">
        <v>240</v>
      </c>
      <c r="Z492" s="468">
        <v>270</v>
      </c>
      <c r="AA492" s="466">
        <v>4.0999999999999996</v>
      </c>
      <c r="AB492" s="466">
        <v>0.2</v>
      </c>
      <c r="AC492" s="466">
        <v>5.9</v>
      </c>
      <c r="AD492" s="466">
        <v>0.3</v>
      </c>
      <c r="AE492" s="466">
        <v>0.37</v>
      </c>
      <c r="AF492" s="468">
        <v>0.39</v>
      </c>
      <c r="AG492" s="466">
        <v>0.48</v>
      </c>
      <c r="AH492" s="468">
        <v>0.5</v>
      </c>
      <c r="AI492" s="466">
        <v>0.69</v>
      </c>
      <c r="AJ492" s="466">
        <v>-15</v>
      </c>
      <c r="AK492" s="466">
        <v>5.4</v>
      </c>
      <c r="AL492" s="524">
        <v>19</v>
      </c>
      <c r="AM492" s="524">
        <v>19</v>
      </c>
    </row>
    <row r="493" spans="1:39" ht="25" customHeight="1" outlineLevel="1">
      <c r="A493" s="476" t="s">
        <v>1194</v>
      </c>
      <c r="B493" s="466">
        <v>45</v>
      </c>
      <c r="C493" s="466">
        <v>-26</v>
      </c>
      <c r="D493" s="466">
        <v>-28</v>
      </c>
      <c r="E493" s="466">
        <v>29</v>
      </c>
      <c r="F493" s="466">
        <v>23</v>
      </c>
      <c r="G493" s="468">
        <v>33</v>
      </c>
      <c r="H493" s="468">
        <v>26</v>
      </c>
      <c r="I493" s="466">
        <v>4720</v>
      </c>
      <c r="J493" s="466">
        <v>3870</v>
      </c>
      <c r="K493" s="472">
        <f t="shared" si="7"/>
        <v>4220</v>
      </c>
      <c r="L493" s="521">
        <v>666</v>
      </c>
      <c r="M493" s="521">
        <v>666</v>
      </c>
      <c r="N493" s="472">
        <v>666</v>
      </c>
      <c r="O493" s="472">
        <v>666</v>
      </c>
      <c r="P493" s="466">
        <v>21</v>
      </c>
      <c r="Q493" s="468">
        <v>27</v>
      </c>
      <c r="R493" s="466">
        <v>102</v>
      </c>
      <c r="S493" s="468">
        <v>133</v>
      </c>
      <c r="T493" s="466">
        <v>790</v>
      </c>
      <c r="U493" s="468">
        <v>940</v>
      </c>
      <c r="V493" s="468">
        <v>1</v>
      </c>
      <c r="W493" s="466">
        <v>1000</v>
      </c>
      <c r="X493" s="468">
        <v>1120</v>
      </c>
      <c r="Y493" s="466">
        <v>160</v>
      </c>
      <c r="Z493" s="468">
        <v>170</v>
      </c>
      <c r="AA493" s="466">
        <v>3.1</v>
      </c>
      <c r="AB493" s="466">
        <v>0.4</v>
      </c>
      <c r="AC493" s="466">
        <v>4.4000000000000004</v>
      </c>
      <c r="AD493" s="466">
        <v>0.6</v>
      </c>
      <c r="AE493" s="466">
        <v>0.28000000000000003</v>
      </c>
      <c r="AF493" s="468">
        <v>0.28999999999999998</v>
      </c>
      <c r="AG493" s="466">
        <v>0.36</v>
      </c>
      <c r="AH493" s="468">
        <v>0.38</v>
      </c>
      <c r="AI493" s="466">
        <v>0.56999999999999995</v>
      </c>
      <c r="AJ493" s="466">
        <v>-8</v>
      </c>
      <c r="AK493" s="466">
        <v>2.5</v>
      </c>
      <c r="AL493" s="524">
        <v>26</v>
      </c>
      <c r="AM493" s="524">
        <v>26</v>
      </c>
    </row>
    <row r="494" spans="1:39" ht="25" customHeight="1" outlineLevel="1">
      <c r="A494" s="476" t="s">
        <v>1195</v>
      </c>
      <c r="B494" s="466">
        <v>25</v>
      </c>
      <c r="C494" s="466">
        <v>-37</v>
      </c>
      <c r="D494" s="466">
        <v>-39</v>
      </c>
      <c r="E494" s="466">
        <v>24</v>
      </c>
      <c r="F494" s="466">
        <v>17</v>
      </c>
      <c r="G494" s="468">
        <v>29</v>
      </c>
      <c r="H494" s="468">
        <v>21</v>
      </c>
      <c r="I494" s="466">
        <v>8550</v>
      </c>
      <c r="J494" s="466">
        <v>7520</v>
      </c>
      <c r="K494" s="472">
        <f t="shared" si="7"/>
        <v>8050</v>
      </c>
      <c r="L494" s="521">
        <v>666</v>
      </c>
      <c r="M494" s="521">
        <v>666</v>
      </c>
      <c r="N494" s="472">
        <v>666</v>
      </c>
      <c r="O494" s="472">
        <v>666</v>
      </c>
      <c r="P494" s="466">
        <v>9</v>
      </c>
      <c r="Q494" s="468">
        <v>13</v>
      </c>
      <c r="R494" s="466">
        <v>54</v>
      </c>
      <c r="S494" s="468">
        <v>75</v>
      </c>
      <c r="T494" s="466">
        <v>280</v>
      </c>
      <c r="U494" s="468">
        <v>380</v>
      </c>
      <c r="V494" s="468">
        <v>0.8</v>
      </c>
      <c r="W494" s="466">
        <v>525</v>
      </c>
      <c r="X494" s="468">
        <v>640</v>
      </c>
      <c r="Y494" s="466">
        <v>260</v>
      </c>
      <c r="Z494" s="468">
        <v>290</v>
      </c>
      <c r="AA494" s="466">
        <v>4.8</v>
      </c>
      <c r="AB494" s="466">
        <v>0.2</v>
      </c>
      <c r="AC494" s="466">
        <v>7.1</v>
      </c>
      <c r="AD494" s="466">
        <v>0.3</v>
      </c>
      <c r="AE494" s="466">
        <v>0.47</v>
      </c>
      <c r="AF494" s="468">
        <v>0.49</v>
      </c>
      <c r="AG494" s="466">
        <v>0.6</v>
      </c>
      <c r="AH494" s="468">
        <v>0.63</v>
      </c>
      <c r="AI494" s="466">
        <v>0.85</v>
      </c>
      <c r="AJ494" s="466">
        <v>-14</v>
      </c>
      <c r="AK494" s="466">
        <v>4</v>
      </c>
      <c r="AL494" s="524">
        <v>21</v>
      </c>
      <c r="AM494" s="524">
        <v>21</v>
      </c>
    </row>
    <row r="495" spans="1:39" ht="25" customHeight="1" outlineLevel="1">
      <c r="A495" s="476" t="s">
        <v>1196</v>
      </c>
      <c r="B495" s="466">
        <v>20</v>
      </c>
      <c r="C495" s="466">
        <v>-36</v>
      </c>
      <c r="D495" s="466">
        <v>-38</v>
      </c>
      <c r="E495" s="466">
        <v>25</v>
      </c>
      <c r="F495" s="466">
        <v>17</v>
      </c>
      <c r="G495" s="468">
        <v>29</v>
      </c>
      <c r="H495" s="468">
        <v>20</v>
      </c>
      <c r="I495" s="466">
        <v>7990</v>
      </c>
      <c r="J495" s="466">
        <v>6980</v>
      </c>
      <c r="K495" s="472">
        <f t="shared" si="7"/>
        <v>7490</v>
      </c>
      <c r="L495" s="521">
        <v>666</v>
      </c>
      <c r="M495" s="521">
        <v>666</v>
      </c>
      <c r="N495" s="472">
        <v>666</v>
      </c>
      <c r="O495" s="472">
        <v>666</v>
      </c>
      <c r="P495" s="466">
        <v>12</v>
      </c>
      <c r="Q495" s="468">
        <v>17</v>
      </c>
      <c r="R495" s="466">
        <v>80</v>
      </c>
      <c r="S495" s="468">
        <v>113</v>
      </c>
      <c r="T495" s="466">
        <v>410</v>
      </c>
      <c r="U495" s="468">
        <v>540</v>
      </c>
      <c r="V495" s="468">
        <v>0.9</v>
      </c>
      <c r="W495" s="466">
        <v>610</v>
      </c>
      <c r="X495" s="468">
        <v>720</v>
      </c>
      <c r="Y495" s="466">
        <v>180</v>
      </c>
      <c r="Z495" s="468">
        <v>200</v>
      </c>
      <c r="AA495" s="466">
        <v>4.2</v>
      </c>
      <c r="AB495" s="466">
        <v>0.3</v>
      </c>
      <c r="AC495" s="466">
        <v>6</v>
      </c>
      <c r="AD495" s="466">
        <v>0.4</v>
      </c>
      <c r="AE495" s="466">
        <v>0.37</v>
      </c>
      <c r="AF495" s="468">
        <v>0.39</v>
      </c>
      <c r="AG495" s="466">
        <v>0.48</v>
      </c>
      <c r="AH495" s="468">
        <v>0.5</v>
      </c>
      <c r="AI495" s="466">
        <v>0.69</v>
      </c>
      <c r="AJ495" s="466">
        <v>-13</v>
      </c>
      <c r="AK495" s="466">
        <v>4.5999999999999996</v>
      </c>
      <c r="AL495" s="524">
        <v>20</v>
      </c>
      <c r="AM495" s="524">
        <v>20</v>
      </c>
    </row>
    <row r="496" spans="1:39" ht="25" customHeight="1" outlineLevel="1">
      <c r="A496" s="476" t="s">
        <v>1197</v>
      </c>
      <c r="B496" s="466">
        <v>65</v>
      </c>
      <c r="C496" s="466">
        <v>-26</v>
      </c>
      <c r="D496" s="466">
        <v>-28</v>
      </c>
      <c r="E496" s="466">
        <v>29</v>
      </c>
      <c r="F496" s="466">
        <v>23</v>
      </c>
      <c r="G496" s="468">
        <v>33</v>
      </c>
      <c r="H496" s="468">
        <v>26</v>
      </c>
      <c r="I496" s="466">
        <v>4640</v>
      </c>
      <c r="J496" s="466">
        <v>4570</v>
      </c>
      <c r="K496" s="472">
        <f t="shared" si="7"/>
        <v>4140</v>
      </c>
      <c r="L496" s="521">
        <v>666</v>
      </c>
      <c r="M496" s="521">
        <v>666</v>
      </c>
      <c r="N496" s="472">
        <v>666</v>
      </c>
      <c r="O496" s="472">
        <v>666</v>
      </c>
      <c r="P496" s="466">
        <v>23</v>
      </c>
      <c r="Q496" s="468">
        <v>30</v>
      </c>
      <c r="R496" s="466">
        <v>96</v>
      </c>
      <c r="S496" s="468">
        <v>125</v>
      </c>
      <c r="T496" s="466">
        <v>910</v>
      </c>
      <c r="U496" s="468">
        <v>1080</v>
      </c>
      <c r="V496" s="468">
        <v>1.1000000000000001</v>
      </c>
      <c r="W496" s="466">
        <v>1075</v>
      </c>
      <c r="X496" s="468">
        <v>1200</v>
      </c>
      <c r="Y496" s="466">
        <v>160</v>
      </c>
      <c r="Z496" s="468">
        <v>170</v>
      </c>
      <c r="AA496" s="466">
        <v>2.4</v>
      </c>
      <c r="AB496" s="466">
        <v>0.4</v>
      </c>
      <c r="AC496" s="466">
        <v>3.4</v>
      </c>
      <c r="AD496" s="466">
        <v>0.6</v>
      </c>
      <c r="AE496" s="466">
        <v>0.31</v>
      </c>
      <c r="AF496" s="468">
        <v>0.33</v>
      </c>
      <c r="AG496" s="466">
        <v>0.4</v>
      </c>
      <c r="AH496" s="468">
        <v>0.42</v>
      </c>
      <c r="AI496" s="466">
        <v>0.64</v>
      </c>
      <c r="AJ496" s="466">
        <v>-8</v>
      </c>
      <c r="AK496" s="466">
        <v>2.8</v>
      </c>
      <c r="AL496" s="524">
        <v>26</v>
      </c>
      <c r="AM496" s="524">
        <v>26</v>
      </c>
    </row>
    <row r="497" spans="1:39" ht="25" customHeight="1" outlineLevel="1">
      <c r="A497" s="476" t="s">
        <v>1198</v>
      </c>
      <c r="B497" s="466">
        <v>420</v>
      </c>
      <c r="C497" s="466">
        <v>-27</v>
      </c>
      <c r="D497" s="466">
        <v>-29</v>
      </c>
      <c r="E497" s="466">
        <v>27</v>
      </c>
      <c r="F497" s="466">
        <v>22</v>
      </c>
      <c r="G497" s="468">
        <v>31</v>
      </c>
      <c r="H497" s="468">
        <v>25</v>
      </c>
      <c r="I497" s="466">
        <v>5180</v>
      </c>
      <c r="J497" s="466">
        <v>4470</v>
      </c>
      <c r="K497" s="472">
        <f t="shared" si="7"/>
        <v>4680</v>
      </c>
      <c r="L497" s="521">
        <v>666</v>
      </c>
      <c r="M497" s="521">
        <v>666</v>
      </c>
      <c r="N497" s="472">
        <v>666</v>
      </c>
      <c r="O497" s="472">
        <v>666</v>
      </c>
      <c r="P497" s="466">
        <v>23</v>
      </c>
      <c r="Q497" s="468">
        <v>29</v>
      </c>
      <c r="R497" s="466">
        <v>91</v>
      </c>
      <c r="S497" s="468">
        <v>117</v>
      </c>
      <c r="T497" s="466">
        <v>790</v>
      </c>
      <c r="U497" s="468">
        <v>950</v>
      </c>
      <c r="V497" s="468">
        <v>1</v>
      </c>
      <c r="W497" s="466">
        <v>1025</v>
      </c>
      <c r="X497" s="468">
        <v>1150</v>
      </c>
      <c r="Y497" s="466">
        <v>160</v>
      </c>
      <c r="AA497" s="466">
        <v>3.2</v>
      </c>
      <c r="AB497" s="466">
        <v>0.6</v>
      </c>
      <c r="AC497" s="466">
        <v>4.5999999999999996</v>
      </c>
      <c r="AD497" s="466">
        <v>0.9</v>
      </c>
      <c r="AE497" s="466">
        <v>0.27</v>
      </c>
      <c r="AF497" s="468">
        <v>0.28000000000000003</v>
      </c>
      <c r="AG497" s="466">
        <v>0.35</v>
      </c>
      <c r="AH497" s="468">
        <v>0.37</v>
      </c>
      <c r="AI497" s="466">
        <v>0.55000000000000004</v>
      </c>
      <c r="AJ497" s="466">
        <v>-8</v>
      </c>
      <c r="AK497" s="466">
        <v>3.5</v>
      </c>
      <c r="AL497" s="524">
        <v>25</v>
      </c>
      <c r="AM497" s="524">
        <v>25</v>
      </c>
    </row>
    <row r="498" spans="1:39" ht="25" customHeight="1" outlineLevel="1">
      <c r="A498" s="476" t="s">
        <v>1199</v>
      </c>
      <c r="B498" s="466">
        <v>25</v>
      </c>
      <c r="C498" s="466">
        <v>-26</v>
      </c>
      <c r="D498" s="466">
        <v>-28</v>
      </c>
      <c r="E498" s="466">
        <v>28</v>
      </c>
      <c r="F498" s="466">
        <v>21</v>
      </c>
      <c r="G498" s="468">
        <v>32</v>
      </c>
      <c r="H498" s="468">
        <v>24</v>
      </c>
      <c r="I498" s="466">
        <v>5400</v>
      </c>
      <c r="J498" s="466">
        <v>3800</v>
      </c>
      <c r="K498" s="472">
        <f t="shared" si="7"/>
        <v>4900</v>
      </c>
      <c r="L498" s="521">
        <v>666</v>
      </c>
      <c r="M498" s="521">
        <v>666</v>
      </c>
      <c r="N498" s="472">
        <v>666</v>
      </c>
      <c r="O498" s="472">
        <v>666</v>
      </c>
      <c r="P498" s="466">
        <v>18</v>
      </c>
      <c r="Q498" s="468">
        <v>23</v>
      </c>
      <c r="R498" s="466">
        <v>102</v>
      </c>
      <c r="S498" s="468">
        <v>133</v>
      </c>
      <c r="T498" s="466">
        <v>640</v>
      </c>
      <c r="U498" s="468">
        <v>790</v>
      </c>
      <c r="V498" s="468">
        <v>0.9</v>
      </c>
      <c r="W498" s="466">
        <v>900</v>
      </c>
      <c r="X498" s="468">
        <v>1040</v>
      </c>
      <c r="Y498" s="466">
        <v>180</v>
      </c>
      <c r="Z498" s="468">
        <v>200</v>
      </c>
      <c r="AA498" s="466">
        <v>3.1</v>
      </c>
      <c r="AB498" s="466">
        <v>0.6</v>
      </c>
      <c r="AC498" s="466">
        <v>4.3</v>
      </c>
      <c r="AD498" s="466">
        <v>0.8</v>
      </c>
      <c r="AE498" s="466">
        <v>0.37</v>
      </c>
      <c r="AF498" s="468">
        <v>0.39</v>
      </c>
      <c r="AG498" s="466">
        <v>0.48</v>
      </c>
      <c r="AH498" s="468">
        <v>0.5</v>
      </c>
      <c r="AI498" s="466">
        <v>0.73</v>
      </c>
      <c r="AJ498" s="466">
        <v>-9</v>
      </c>
      <c r="AK498" s="466">
        <v>3.5</v>
      </c>
      <c r="AL498" s="524">
        <v>24</v>
      </c>
      <c r="AM498" s="524">
        <v>24</v>
      </c>
    </row>
    <row r="499" spans="1:39" ht="25" customHeight="1" outlineLevel="1">
      <c r="A499" s="476" t="s">
        <v>1200</v>
      </c>
      <c r="B499" s="466">
        <v>55</v>
      </c>
      <c r="C499" s="466">
        <v>-24</v>
      </c>
      <c r="D499" s="466">
        <v>-26</v>
      </c>
      <c r="E499" s="466">
        <v>28</v>
      </c>
      <c r="F499" s="466">
        <v>22</v>
      </c>
      <c r="G499" s="468">
        <v>32</v>
      </c>
      <c r="H499" s="468">
        <v>25</v>
      </c>
      <c r="I499" s="466">
        <v>5160</v>
      </c>
      <c r="J499" s="466">
        <v>4240</v>
      </c>
      <c r="K499" s="472">
        <f t="shared" si="7"/>
        <v>4660</v>
      </c>
      <c r="L499" s="521">
        <v>666</v>
      </c>
      <c r="M499" s="521">
        <v>666</v>
      </c>
      <c r="N499" s="472">
        <v>666</v>
      </c>
      <c r="O499" s="472">
        <v>666</v>
      </c>
      <c r="P499" s="466">
        <v>18</v>
      </c>
      <c r="Q499" s="468">
        <v>23</v>
      </c>
      <c r="R499" s="466">
        <v>102</v>
      </c>
      <c r="S499" s="468">
        <v>133</v>
      </c>
      <c r="T499" s="466">
        <v>675</v>
      </c>
      <c r="U499" s="468">
        <v>830</v>
      </c>
      <c r="V499" s="468">
        <v>1</v>
      </c>
      <c r="W499" s="466">
        <v>965</v>
      </c>
      <c r="X499" s="468">
        <v>1110</v>
      </c>
      <c r="Y499" s="466">
        <v>180</v>
      </c>
      <c r="Z499" s="468">
        <v>190</v>
      </c>
      <c r="AA499" s="466">
        <v>3.2</v>
      </c>
      <c r="AB499" s="466">
        <v>0.6</v>
      </c>
      <c r="AC499" s="466">
        <v>4.5</v>
      </c>
      <c r="AD499" s="466">
        <v>0.9</v>
      </c>
      <c r="AE499" s="466">
        <v>0.39</v>
      </c>
      <c r="AF499" s="468">
        <v>0.41</v>
      </c>
      <c r="AG499" s="466">
        <v>0.5</v>
      </c>
      <c r="AH499" s="468">
        <v>0.53</v>
      </c>
      <c r="AI499" s="466">
        <v>0.75</v>
      </c>
      <c r="AJ499" s="466">
        <v>-8</v>
      </c>
      <c r="AK499" s="466">
        <v>4.3</v>
      </c>
      <c r="AL499" s="524">
        <v>25</v>
      </c>
      <c r="AM499" s="524">
        <v>25</v>
      </c>
    </row>
    <row r="500" spans="1:39" ht="25" customHeight="1" outlineLevel="1">
      <c r="A500" s="476" t="s">
        <v>1201</v>
      </c>
      <c r="B500" s="466">
        <v>165</v>
      </c>
      <c r="C500" s="466">
        <v>-30</v>
      </c>
      <c r="D500" s="466">
        <v>-32</v>
      </c>
      <c r="E500" s="466">
        <v>29</v>
      </c>
      <c r="F500" s="466">
        <v>22</v>
      </c>
      <c r="G500" s="468">
        <v>33</v>
      </c>
      <c r="H500" s="468">
        <v>25</v>
      </c>
      <c r="I500" s="466">
        <v>5500</v>
      </c>
      <c r="J500" s="466">
        <v>4260</v>
      </c>
      <c r="K500" s="472">
        <f t="shared" si="7"/>
        <v>5000</v>
      </c>
      <c r="L500" s="521">
        <v>666</v>
      </c>
      <c r="M500" s="521">
        <v>666</v>
      </c>
      <c r="N500" s="472">
        <v>666</v>
      </c>
      <c r="O500" s="472">
        <v>666</v>
      </c>
      <c r="P500" s="466">
        <v>23</v>
      </c>
      <c r="Q500" s="468">
        <v>30</v>
      </c>
      <c r="R500" s="466">
        <v>96</v>
      </c>
      <c r="S500" s="468">
        <v>125</v>
      </c>
      <c r="T500" s="466">
        <v>720</v>
      </c>
      <c r="U500" s="468">
        <v>870</v>
      </c>
      <c r="V500" s="468">
        <v>1</v>
      </c>
      <c r="W500" s="466">
        <v>930</v>
      </c>
      <c r="X500" s="468">
        <v>1040</v>
      </c>
      <c r="Y500" s="466">
        <v>160</v>
      </c>
      <c r="Z500" s="468">
        <v>170</v>
      </c>
      <c r="AA500" s="466">
        <v>3.4</v>
      </c>
      <c r="AB500" s="466">
        <v>0.4</v>
      </c>
      <c r="AC500" s="466">
        <v>4.7</v>
      </c>
      <c r="AD500" s="466">
        <v>0.6</v>
      </c>
      <c r="AE500" s="466">
        <v>0.27</v>
      </c>
      <c r="AF500" s="468">
        <v>0.28000000000000003</v>
      </c>
      <c r="AG500" s="466">
        <v>0.35</v>
      </c>
      <c r="AH500" s="468">
        <v>0.37</v>
      </c>
      <c r="AI500" s="466">
        <v>0.53</v>
      </c>
      <c r="AJ500" s="466">
        <v>-10</v>
      </c>
      <c r="AK500" s="466">
        <v>2.1</v>
      </c>
      <c r="AL500" s="524">
        <v>25</v>
      </c>
      <c r="AM500" s="524">
        <v>25</v>
      </c>
    </row>
    <row r="501" spans="1:39" ht="25" customHeight="1" outlineLevel="1">
      <c r="A501" s="476" t="s">
        <v>1202</v>
      </c>
      <c r="B501" s="466">
        <v>155</v>
      </c>
      <c r="C501" s="466">
        <v>-28</v>
      </c>
      <c r="D501" s="466">
        <v>-30</v>
      </c>
      <c r="E501" s="466">
        <v>29</v>
      </c>
      <c r="F501" s="466">
        <v>22</v>
      </c>
      <c r="G501" s="468">
        <v>33</v>
      </c>
      <c r="H501" s="468">
        <v>25</v>
      </c>
      <c r="I501" s="466">
        <v>4700</v>
      </c>
      <c r="J501" s="466">
        <v>3790</v>
      </c>
      <c r="K501" s="472">
        <f t="shared" si="7"/>
        <v>4200</v>
      </c>
      <c r="L501" s="521">
        <v>666</v>
      </c>
      <c r="M501" s="521">
        <v>666</v>
      </c>
      <c r="N501" s="472">
        <v>666</v>
      </c>
      <c r="O501" s="472">
        <v>666</v>
      </c>
      <c r="P501" s="466">
        <v>23</v>
      </c>
      <c r="Q501" s="468">
        <v>29</v>
      </c>
      <c r="R501" s="466">
        <v>96</v>
      </c>
      <c r="S501" s="468">
        <v>123</v>
      </c>
      <c r="T501" s="466">
        <v>850</v>
      </c>
      <c r="U501" s="468">
        <v>1000</v>
      </c>
      <c r="V501" s="468">
        <v>1.1000000000000001</v>
      </c>
      <c r="W501" s="466">
        <v>1100</v>
      </c>
      <c r="X501" s="468">
        <v>1220</v>
      </c>
      <c r="Y501" s="466">
        <v>160</v>
      </c>
      <c r="AA501" s="466">
        <v>2.1</v>
      </c>
      <c r="AB501" s="466">
        <v>0.6</v>
      </c>
      <c r="AC501" s="466">
        <v>3.1</v>
      </c>
      <c r="AD501" s="466">
        <v>0.9</v>
      </c>
      <c r="AE501" s="466">
        <v>0.25</v>
      </c>
      <c r="AF501" s="468">
        <v>0.26</v>
      </c>
      <c r="AG501" s="466">
        <v>0.32</v>
      </c>
      <c r="AH501" s="468">
        <v>0.34</v>
      </c>
      <c r="AI501" s="466">
        <v>0.5</v>
      </c>
      <c r="AJ501" s="466">
        <v>-8</v>
      </c>
      <c r="AK501" s="466">
        <v>2.9</v>
      </c>
      <c r="AL501" s="524">
        <v>25</v>
      </c>
      <c r="AM501" s="524">
        <v>25</v>
      </c>
    </row>
    <row r="502" spans="1:39" ht="25" customHeight="1" outlineLevel="1">
      <c r="A502" s="476" t="s">
        <v>1203</v>
      </c>
      <c r="B502" s="466">
        <v>30</v>
      </c>
      <c r="C502" s="466">
        <v>-24</v>
      </c>
      <c r="D502" s="466">
        <v>-26</v>
      </c>
      <c r="E502" s="466">
        <v>29</v>
      </c>
      <c r="F502" s="466">
        <v>23</v>
      </c>
      <c r="G502" s="468">
        <v>33</v>
      </c>
      <c r="H502" s="468">
        <v>26</v>
      </c>
      <c r="I502" s="466">
        <v>4420</v>
      </c>
      <c r="J502" s="466">
        <v>3610</v>
      </c>
      <c r="K502" s="472">
        <f t="shared" si="7"/>
        <v>3920</v>
      </c>
      <c r="L502" s="521">
        <v>666</v>
      </c>
      <c r="M502" s="521">
        <v>666</v>
      </c>
      <c r="N502" s="472">
        <v>666</v>
      </c>
      <c r="O502" s="472">
        <v>666</v>
      </c>
      <c r="P502" s="466">
        <v>23</v>
      </c>
      <c r="Q502" s="468">
        <v>30</v>
      </c>
      <c r="R502" s="466">
        <v>91</v>
      </c>
      <c r="S502" s="468">
        <v>118</v>
      </c>
      <c r="T502" s="466">
        <v>800</v>
      </c>
      <c r="U502" s="468">
        <v>960</v>
      </c>
      <c r="V502" s="468">
        <v>1</v>
      </c>
      <c r="W502" s="466">
        <v>950</v>
      </c>
      <c r="X502" s="468">
        <v>1070</v>
      </c>
      <c r="Y502" s="466">
        <v>180</v>
      </c>
      <c r="Z502" s="468">
        <v>190</v>
      </c>
      <c r="AA502" s="466">
        <v>2.2999999999999998</v>
      </c>
      <c r="AB502" s="466">
        <v>0.4</v>
      </c>
      <c r="AC502" s="466">
        <v>3.4</v>
      </c>
      <c r="AD502" s="466">
        <v>0.6</v>
      </c>
      <c r="AE502" s="466">
        <v>0.33</v>
      </c>
      <c r="AF502" s="468">
        <v>0.35</v>
      </c>
      <c r="AG502" s="466">
        <v>0.42</v>
      </c>
      <c r="AH502" s="468">
        <v>0.44</v>
      </c>
      <c r="AI502" s="466">
        <v>0.65</v>
      </c>
      <c r="AJ502" s="466">
        <v>-8</v>
      </c>
      <c r="AK502" s="466">
        <v>3.5</v>
      </c>
      <c r="AL502" s="524">
        <v>26</v>
      </c>
      <c r="AM502" s="524">
        <v>26</v>
      </c>
    </row>
    <row r="503" spans="1:39" ht="25" customHeight="1" outlineLevel="1">
      <c r="A503" s="476" t="s">
        <v>1204</v>
      </c>
      <c r="B503" s="466">
        <v>100</v>
      </c>
      <c r="C503" s="466">
        <v>-26</v>
      </c>
      <c r="D503" s="466">
        <v>-29</v>
      </c>
      <c r="E503" s="466">
        <v>28</v>
      </c>
      <c r="F503" s="466">
        <v>22</v>
      </c>
      <c r="G503" s="468">
        <v>32</v>
      </c>
      <c r="H503" s="468">
        <v>25</v>
      </c>
      <c r="I503" s="466">
        <v>5200</v>
      </c>
      <c r="J503" s="466">
        <v>4280</v>
      </c>
      <c r="K503" s="472">
        <f t="shared" si="7"/>
        <v>4700</v>
      </c>
      <c r="L503" s="521">
        <v>666</v>
      </c>
      <c r="M503" s="521">
        <v>666</v>
      </c>
      <c r="N503" s="472">
        <v>666</v>
      </c>
      <c r="O503" s="472">
        <v>666</v>
      </c>
      <c r="P503" s="466">
        <v>20</v>
      </c>
      <c r="Q503" s="468">
        <v>26</v>
      </c>
      <c r="R503" s="466">
        <v>102</v>
      </c>
      <c r="S503" s="468">
        <v>133</v>
      </c>
      <c r="T503" s="466">
        <v>980</v>
      </c>
      <c r="U503" s="468">
        <v>1180</v>
      </c>
      <c r="V503" s="468">
        <v>1.2</v>
      </c>
      <c r="W503" s="466">
        <v>1225</v>
      </c>
      <c r="X503" s="468">
        <v>1370</v>
      </c>
      <c r="Y503" s="466">
        <v>200</v>
      </c>
      <c r="Z503" s="468">
        <v>210</v>
      </c>
      <c r="AA503" s="466">
        <v>3.7</v>
      </c>
      <c r="AB503" s="466">
        <v>0.6</v>
      </c>
      <c r="AC503" s="466">
        <v>5.0999999999999996</v>
      </c>
      <c r="AD503" s="466">
        <v>0.8</v>
      </c>
      <c r="AE503" s="466">
        <v>0.32</v>
      </c>
      <c r="AF503" s="468">
        <v>0.34</v>
      </c>
      <c r="AG503" s="466">
        <v>0.41</v>
      </c>
      <c r="AH503" s="468">
        <v>0.43</v>
      </c>
      <c r="AI503" s="466">
        <v>0.64</v>
      </c>
      <c r="AJ503" s="466">
        <v>-9</v>
      </c>
      <c r="AK503" s="466">
        <v>3</v>
      </c>
      <c r="AL503" s="524">
        <v>25</v>
      </c>
      <c r="AM503" s="524">
        <v>25</v>
      </c>
    </row>
    <row r="504" spans="1:39" ht="25" customHeight="1" outlineLevel="1">
      <c r="A504" s="476" t="s">
        <v>1205</v>
      </c>
      <c r="B504" s="466">
        <v>15</v>
      </c>
      <c r="C504" s="466">
        <v>-25</v>
      </c>
      <c r="D504" s="466">
        <v>-28</v>
      </c>
      <c r="E504" s="466">
        <v>29</v>
      </c>
      <c r="F504" s="466">
        <v>23</v>
      </c>
      <c r="G504" s="468">
        <v>33</v>
      </c>
      <c r="H504" s="468">
        <v>26</v>
      </c>
      <c r="I504" s="466">
        <v>4900</v>
      </c>
      <c r="J504" s="466">
        <v>4030</v>
      </c>
      <c r="K504" s="472">
        <f t="shared" si="7"/>
        <v>4400</v>
      </c>
      <c r="L504" s="521">
        <v>666</v>
      </c>
      <c r="M504" s="521">
        <v>666</v>
      </c>
      <c r="N504" s="472">
        <v>666</v>
      </c>
      <c r="O504" s="472">
        <v>666</v>
      </c>
      <c r="P504" s="466">
        <v>20</v>
      </c>
      <c r="Q504" s="468">
        <v>26</v>
      </c>
      <c r="R504" s="466">
        <v>102</v>
      </c>
      <c r="S504" s="468">
        <v>134</v>
      </c>
      <c r="T504" s="466">
        <v>800</v>
      </c>
      <c r="U504" s="468">
        <v>960</v>
      </c>
      <c r="V504" s="468">
        <v>1</v>
      </c>
      <c r="W504" s="466">
        <v>1025</v>
      </c>
      <c r="X504" s="468">
        <v>1150</v>
      </c>
      <c r="Y504" s="466">
        <v>160</v>
      </c>
      <c r="AA504" s="466">
        <v>2.9</v>
      </c>
      <c r="AB504" s="466">
        <v>0.4</v>
      </c>
      <c r="AC504" s="466">
        <v>4.0999999999999996</v>
      </c>
      <c r="AD504" s="466">
        <v>0.6</v>
      </c>
      <c r="AE504" s="466">
        <v>0.34</v>
      </c>
      <c r="AF504" s="468">
        <v>0.36</v>
      </c>
      <c r="AG504" s="466">
        <v>0.43</v>
      </c>
      <c r="AH504" s="468">
        <v>0.45</v>
      </c>
      <c r="AI504" s="466">
        <v>0.66</v>
      </c>
      <c r="AJ504" s="466">
        <v>-9</v>
      </c>
      <c r="AK504" s="466">
        <v>3</v>
      </c>
      <c r="AL504" s="524">
        <v>26</v>
      </c>
      <c r="AM504" s="524">
        <v>26</v>
      </c>
    </row>
    <row r="505" spans="1:39" ht="25" customHeight="1" outlineLevel="1">
      <c r="A505" s="476" t="s">
        <v>1206</v>
      </c>
      <c r="B505" s="466">
        <v>215</v>
      </c>
      <c r="C505" s="466">
        <v>-26</v>
      </c>
      <c r="D505" s="466">
        <v>-28</v>
      </c>
      <c r="E505" s="466">
        <v>29</v>
      </c>
      <c r="F505" s="466">
        <v>23</v>
      </c>
      <c r="G505" s="468">
        <v>33</v>
      </c>
      <c r="H505" s="468">
        <v>26</v>
      </c>
      <c r="I505" s="466">
        <v>4730</v>
      </c>
      <c r="J505" s="466">
        <v>3880</v>
      </c>
      <c r="K505" s="472">
        <f t="shared" si="7"/>
        <v>4230</v>
      </c>
      <c r="L505" s="521">
        <v>666</v>
      </c>
      <c r="M505" s="521">
        <v>666</v>
      </c>
      <c r="N505" s="472">
        <v>666</v>
      </c>
      <c r="O505" s="472">
        <v>666</v>
      </c>
      <c r="P505" s="466">
        <v>23</v>
      </c>
      <c r="Q505" s="468">
        <v>29</v>
      </c>
      <c r="R505" s="466">
        <v>96</v>
      </c>
      <c r="S505" s="468">
        <v>123</v>
      </c>
      <c r="T505" s="466">
        <v>860</v>
      </c>
      <c r="U505" s="468">
        <v>1010</v>
      </c>
      <c r="V505" s="468">
        <v>1.1000000000000001</v>
      </c>
      <c r="W505" s="466">
        <v>1125</v>
      </c>
      <c r="X505" s="468">
        <v>1250</v>
      </c>
      <c r="Y505" s="466">
        <v>160</v>
      </c>
      <c r="AA505" s="466">
        <v>2.2999999999999998</v>
      </c>
      <c r="AB505" s="466">
        <v>0.4</v>
      </c>
      <c r="AC505" s="466">
        <v>3.4</v>
      </c>
      <c r="AD505" s="466">
        <v>0.6</v>
      </c>
      <c r="AE505" s="466">
        <v>0.27</v>
      </c>
      <c r="AF505" s="468">
        <v>0.28000000000000003</v>
      </c>
      <c r="AG505" s="466">
        <v>0.35</v>
      </c>
      <c r="AH505" s="468">
        <v>0.37</v>
      </c>
      <c r="AI505" s="466">
        <v>0.55000000000000004</v>
      </c>
      <c r="AJ505" s="466">
        <v>-8</v>
      </c>
      <c r="AK505" s="466">
        <v>3.5</v>
      </c>
      <c r="AL505" s="524">
        <v>26</v>
      </c>
      <c r="AM505" s="524">
        <v>26</v>
      </c>
    </row>
    <row r="506" spans="1:39" ht="25" customHeight="1" outlineLevel="1">
      <c r="A506" s="476" t="s">
        <v>1207</v>
      </c>
      <c r="B506" s="466">
        <v>325</v>
      </c>
      <c r="C506" s="466">
        <v>-33</v>
      </c>
      <c r="D506" s="466">
        <v>-36</v>
      </c>
      <c r="E506" s="466">
        <v>29</v>
      </c>
      <c r="F506" s="466">
        <v>21</v>
      </c>
      <c r="G506" s="468">
        <v>33</v>
      </c>
      <c r="H506" s="468">
        <v>24</v>
      </c>
      <c r="I506" s="466">
        <v>6200</v>
      </c>
      <c r="J506" s="466">
        <v>5240</v>
      </c>
      <c r="K506" s="472">
        <f t="shared" si="7"/>
        <v>5700</v>
      </c>
      <c r="L506" s="521">
        <v>666</v>
      </c>
      <c r="M506" s="521">
        <v>666</v>
      </c>
      <c r="N506" s="472">
        <v>666</v>
      </c>
      <c r="O506" s="472">
        <v>666</v>
      </c>
      <c r="P506" s="466">
        <v>20</v>
      </c>
      <c r="Q506" s="468">
        <v>26</v>
      </c>
      <c r="R506" s="466">
        <v>86</v>
      </c>
      <c r="S506" s="468">
        <v>112</v>
      </c>
      <c r="T506" s="466">
        <v>640</v>
      </c>
      <c r="U506" s="468">
        <v>770</v>
      </c>
      <c r="V506" s="468">
        <v>0.8</v>
      </c>
      <c r="W506" s="466">
        <v>900</v>
      </c>
      <c r="X506" s="468">
        <v>1000</v>
      </c>
      <c r="Y506" s="466">
        <v>100</v>
      </c>
      <c r="Z506" s="468">
        <v>110</v>
      </c>
      <c r="AA506" s="466">
        <v>3.3</v>
      </c>
      <c r="AB506" s="466">
        <v>0.3</v>
      </c>
      <c r="AC506" s="466">
        <v>4.4000000000000004</v>
      </c>
      <c r="AD506" s="466">
        <v>0.4</v>
      </c>
      <c r="AE506" s="466">
        <v>0.25</v>
      </c>
      <c r="AF506" s="468">
        <v>0.26</v>
      </c>
      <c r="AG506" s="466">
        <v>0.32</v>
      </c>
      <c r="AH506" s="468">
        <v>0.34</v>
      </c>
      <c r="AI506" s="466">
        <v>0.47</v>
      </c>
      <c r="AJ506" s="466">
        <v>-11</v>
      </c>
      <c r="AK506" s="466">
        <v>3.6</v>
      </c>
      <c r="AL506" s="524">
        <v>24</v>
      </c>
      <c r="AM506" s="524">
        <v>24</v>
      </c>
    </row>
    <row r="507" spans="1:39" ht="25" customHeight="1" outlineLevel="1">
      <c r="A507" s="476" t="s">
        <v>1208</v>
      </c>
      <c r="B507" s="466">
        <v>180</v>
      </c>
      <c r="C507" s="466">
        <v>-30</v>
      </c>
      <c r="D507" s="466">
        <v>-32</v>
      </c>
      <c r="E507" s="466">
        <v>29</v>
      </c>
      <c r="F507" s="466">
        <v>22</v>
      </c>
      <c r="G507" s="468">
        <v>33</v>
      </c>
      <c r="H507" s="468">
        <v>25</v>
      </c>
      <c r="I507" s="466">
        <v>5280</v>
      </c>
      <c r="J507" s="466">
        <v>4350</v>
      </c>
      <c r="K507" s="472">
        <f t="shared" si="7"/>
        <v>4780</v>
      </c>
      <c r="L507" s="521">
        <v>666</v>
      </c>
      <c r="M507" s="521">
        <v>666</v>
      </c>
      <c r="N507" s="472">
        <v>666</v>
      </c>
      <c r="O507" s="472">
        <v>666</v>
      </c>
      <c r="P507" s="466">
        <v>23</v>
      </c>
      <c r="Q507" s="468">
        <v>30</v>
      </c>
      <c r="R507" s="466">
        <v>96</v>
      </c>
      <c r="S507" s="468">
        <v>124</v>
      </c>
      <c r="T507" s="466">
        <v>700</v>
      </c>
      <c r="U507" s="468">
        <v>830</v>
      </c>
      <c r="V507" s="468">
        <v>0.9</v>
      </c>
      <c r="W507" s="466">
        <v>900</v>
      </c>
      <c r="X507" s="468">
        <v>990</v>
      </c>
      <c r="Y507" s="466">
        <v>100</v>
      </c>
      <c r="Z507" s="468">
        <v>110</v>
      </c>
      <c r="AA507" s="466">
        <v>2.4</v>
      </c>
      <c r="AB507" s="466">
        <v>0.4</v>
      </c>
      <c r="AC507" s="466">
        <v>3.4</v>
      </c>
      <c r="AD507" s="466">
        <v>0.6</v>
      </c>
      <c r="AE507" s="466">
        <v>0.24</v>
      </c>
      <c r="AF507" s="468">
        <v>0.25</v>
      </c>
      <c r="AG507" s="466">
        <v>0.31</v>
      </c>
      <c r="AH507" s="468">
        <v>0.33</v>
      </c>
      <c r="AI507" s="466">
        <v>0.49</v>
      </c>
      <c r="AJ507" s="466">
        <v>-9</v>
      </c>
      <c r="AK507" s="466">
        <v>2.2000000000000002</v>
      </c>
      <c r="AL507" s="524">
        <v>25</v>
      </c>
      <c r="AM507" s="524">
        <v>25</v>
      </c>
    </row>
    <row r="508" spans="1:39" ht="25" customHeight="1" outlineLevel="1">
      <c r="A508" s="476" t="s">
        <v>1209</v>
      </c>
      <c r="B508" s="466">
        <v>50</v>
      </c>
      <c r="C508" s="466">
        <v>-26</v>
      </c>
      <c r="D508" s="466">
        <v>-28</v>
      </c>
      <c r="E508" s="466">
        <v>30</v>
      </c>
      <c r="F508" s="466">
        <v>23</v>
      </c>
      <c r="G508" s="468">
        <v>33</v>
      </c>
      <c r="H508" s="468">
        <v>26</v>
      </c>
      <c r="I508" s="466">
        <v>4610</v>
      </c>
      <c r="J508" s="466">
        <v>3700</v>
      </c>
      <c r="K508" s="472">
        <f t="shared" si="7"/>
        <v>4110</v>
      </c>
      <c r="L508" s="521">
        <v>666</v>
      </c>
      <c r="M508" s="521">
        <v>666</v>
      </c>
      <c r="N508" s="472">
        <v>666</v>
      </c>
      <c r="O508" s="472">
        <v>666</v>
      </c>
      <c r="P508" s="466">
        <v>23</v>
      </c>
      <c r="Q508" s="468">
        <v>30</v>
      </c>
      <c r="R508" s="466">
        <v>91</v>
      </c>
      <c r="S508" s="468">
        <v>118</v>
      </c>
      <c r="T508" s="466">
        <v>790</v>
      </c>
      <c r="U508" s="468">
        <v>930</v>
      </c>
      <c r="V508" s="468">
        <v>1</v>
      </c>
      <c r="W508" s="466">
        <v>975</v>
      </c>
      <c r="X508" s="468">
        <v>1080</v>
      </c>
      <c r="Y508" s="466">
        <v>160</v>
      </c>
      <c r="AA508" s="466">
        <v>2.4</v>
      </c>
      <c r="AB508" s="466">
        <v>0.4</v>
      </c>
      <c r="AC508" s="466">
        <v>3.3</v>
      </c>
      <c r="AD508" s="466">
        <v>0.6</v>
      </c>
      <c r="AE508" s="466">
        <v>0.31</v>
      </c>
      <c r="AF508" s="468">
        <v>0.33</v>
      </c>
      <c r="AG508" s="466">
        <v>0.4</v>
      </c>
      <c r="AH508" s="468">
        <v>0.42</v>
      </c>
      <c r="AI508" s="466">
        <v>0.64</v>
      </c>
      <c r="AJ508" s="466">
        <v>-8</v>
      </c>
      <c r="AK508" s="466">
        <v>3.2</v>
      </c>
      <c r="AL508" s="524">
        <v>26</v>
      </c>
      <c r="AM508" s="524">
        <v>26</v>
      </c>
    </row>
    <row r="509" spans="1:39" ht="25" customHeight="1" outlineLevel="1">
      <c r="A509" s="476" t="s">
        <v>1210</v>
      </c>
      <c r="B509" s="466">
        <v>5</v>
      </c>
      <c r="C509" s="466">
        <v>-24</v>
      </c>
      <c r="D509" s="466">
        <v>-26</v>
      </c>
      <c r="E509" s="466">
        <v>24</v>
      </c>
      <c r="F509" s="466">
        <v>20</v>
      </c>
      <c r="G509" s="468">
        <v>28</v>
      </c>
      <c r="H509" s="468">
        <v>23</v>
      </c>
      <c r="I509" s="466">
        <v>5510</v>
      </c>
      <c r="J509" s="466">
        <v>4580</v>
      </c>
      <c r="K509" s="472">
        <f t="shared" si="7"/>
        <v>5010</v>
      </c>
      <c r="L509" s="521">
        <v>666</v>
      </c>
      <c r="M509" s="521">
        <v>666</v>
      </c>
      <c r="N509" s="472">
        <v>666</v>
      </c>
      <c r="O509" s="472">
        <v>666</v>
      </c>
      <c r="P509" s="466">
        <v>18</v>
      </c>
      <c r="Q509" s="468">
        <v>23</v>
      </c>
      <c r="R509" s="466">
        <v>91</v>
      </c>
      <c r="S509" s="468">
        <v>119</v>
      </c>
      <c r="T509" s="466">
        <v>640</v>
      </c>
      <c r="U509" s="468">
        <v>800</v>
      </c>
      <c r="V509" s="468">
        <v>1</v>
      </c>
      <c r="W509" s="466">
        <v>1050</v>
      </c>
      <c r="X509" s="468">
        <v>1200</v>
      </c>
      <c r="Y509" s="466">
        <v>220</v>
      </c>
      <c r="Z509" s="468">
        <v>250</v>
      </c>
      <c r="AA509" s="466">
        <v>3.7</v>
      </c>
      <c r="AB509" s="466">
        <v>0.4</v>
      </c>
      <c r="AC509" s="466">
        <v>5.3</v>
      </c>
      <c r="AD509" s="466">
        <v>0.6</v>
      </c>
      <c r="AE509" s="466">
        <v>0.43</v>
      </c>
      <c r="AF509" s="468">
        <v>0.45</v>
      </c>
      <c r="AG509" s="466">
        <v>0.55000000000000004</v>
      </c>
      <c r="AH509" s="468">
        <v>0.57999999999999996</v>
      </c>
      <c r="AI509" s="466">
        <v>0.82</v>
      </c>
      <c r="AJ509" s="466">
        <v>-8</v>
      </c>
      <c r="AK509" s="466">
        <v>6</v>
      </c>
      <c r="AL509" s="524">
        <v>23</v>
      </c>
      <c r="AM509" s="524">
        <v>23</v>
      </c>
    </row>
    <row r="510" spans="1:39" ht="25" customHeight="1" outlineLevel="1">
      <c r="A510" s="476" t="s">
        <v>1211</v>
      </c>
      <c r="B510" s="466">
        <v>90</v>
      </c>
      <c r="C510" s="466">
        <v>-24</v>
      </c>
      <c r="D510" s="466">
        <v>-26</v>
      </c>
      <c r="E510" s="466">
        <v>26</v>
      </c>
      <c r="F510" s="466">
        <v>21</v>
      </c>
      <c r="G510" s="468">
        <v>30</v>
      </c>
      <c r="H510" s="468">
        <v>24</v>
      </c>
      <c r="I510" s="466">
        <v>5370</v>
      </c>
      <c r="J510" s="466">
        <v>4440</v>
      </c>
      <c r="K510" s="472">
        <f t="shared" si="7"/>
        <v>4870</v>
      </c>
      <c r="L510" s="521">
        <v>666</v>
      </c>
      <c r="M510" s="521">
        <v>666</v>
      </c>
      <c r="N510" s="472">
        <v>666</v>
      </c>
      <c r="O510" s="472">
        <v>666</v>
      </c>
      <c r="P510" s="466">
        <v>18</v>
      </c>
      <c r="Q510" s="468">
        <v>23</v>
      </c>
      <c r="R510" s="466">
        <v>91</v>
      </c>
      <c r="S510" s="468">
        <v>119</v>
      </c>
      <c r="T510" s="466">
        <v>610</v>
      </c>
      <c r="U510" s="468">
        <v>760</v>
      </c>
      <c r="V510" s="468">
        <v>0.9</v>
      </c>
      <c r="W510" s="466">
        <v>920</v>
      </c>
      <c r="X510" s="468">
        <v>1050</v>
      </c>
      <c r="Y510" s="466">
        <v>220</v>
      </c>
      <c r="Z510" s="468">
        <v>240</v>
      </c>
      <c r="AA510" s="466">
        <v>4.0999999999999996</v>
      </c>
      <c r="AB510" s="466">
        <v>0.4</v>
      </c>
      <c r="AC510" s="466">
        <v>6</v>
      </c>
      <c r="AD510" s="466">
        <v>0.6</v>
      </c>
      <c r="AE510" s="466">
        <v>0.41</v>
      </c>
      <c r="AF510" s="468">
        <v>0.43</v>
      </c>
      <c r="AG510" s="466">
        <v>0.52</v>
      </c>
      <c r="AH510" s="468">
        <v>0.55000000000000004</v>
      </c>
      <c r="AI510" s="466">
        <v>0.77</v>
      </c>
      <c r="AJ510" s="466">
        <v>-8</v>
      </c>
      <c r="AK510" s="466">
        <v>5.9</v>
      </c>
      <c r="AL510" s="524">
        <v>24</v>
      </c>
      <c r="AM510" s="524">
        <v>24</v>
      </c>
    </row>
    <row r="511" spans="1:39" ht="25" customHeight="1" outlineLevel="1">
      <c r="A511" s="476" t="s">
        <v>1212</v>
      </c>
      <c r="B511" s="466">
        <v>225</v>
      </c>
      <c r="C511" s="466">
        <v>-29</v>
      </c>
      <c r="D511" s="466">
        <v>-32</v>
      </c>
      <c r="E511" s="466">
        <v>29</v>
      </c>
      <c r="F511" s="466">
        <v>22</v>
      </c>
      <c r="G511" s="468">
        <v>33</v>
      </c>
      <c r="H511" s="468">
        <v>25</v>
      </c>
      <c r="I511" s="466">
        <v>5320</v>
      </c>
      <c r="J511" s="466">
        <v>4390</v>
      </c>
      <c r="K511" s="472">
        <f t="shared" si="7"/>
        <v>4820</v>
      </c>
      <c r="L511" s="521">
        <v>666</v>
      </c>
      <c r="M511" s="521">
        <v>666</v>
      </c>
      <c r="N511" s="472">
        <v>666</v>
      </c>
      <c r="O511" s="472">
        <v>666</v>
      </c>
      <c r="P511" s="466">
        <v>24</v>
      </c>
      <c r="Q511" s="468">
        <v>31</v>
      </c>
      <c r="R511" s="466">
        <v>102</v>
      </c>
      <c r="S511" s="468">
        <v>132</v>
      </c>
      <c r="T511" s="466">
        <v>790</v>
      </c>
      <c r="U511" s="468">
        <v>940</v>
      </c>
      <c r="V511" s="468">
        <v>0.9</v>
      </c>
      <c r="W511" s="466">
        <v>1000</v>
      </c>
      <c r="X511" s="468">
        <v>1110</v>
      </c>
      <c r="Y511" s="466">
        <v>160</v>
      </c>
      <c r="Z511" s="468">
        <v>170</v>
      </c>
      <c r="AA511" s="466">
        <v>2.6</v>
      </c>
      <c r="AB511" s="466">
        <v>0.4</v>
      </c>
      <c r="AC511" s="466">
        <v>3.6</v>
      </c>
      <c r="AD511" s="466">
        <v>0.6</v>
      </c>
      <c r="AE511" s="466">
        <v>0.23</v>
      </c>
      <c r="AF511" s="468">
        <v>0.24</v>
      </c>
      <c r="AG511" s="466">
        <v>0.3</v>
      </c>
      <c r="AH511" s="468">
        <v>0.32</v>
      </c>
      <c r="AI511" s="466">
        <v>0.47</v>
      </c>
      <c r="AJ511" s="466">
        <v>-10</v>
      </c>
      <c r="AK511" s="466">
        <v>2.2000000000000002</v>
      </c>
      <c r="AL511" s="524">
        <v>25</v>
      </c>
      <c r="AM511" s="524">
        <v>25</v>
      </c>
    </row>
    <row r="512" spans="1:39" ht="25" customHeight="1" outlineLevel="1">
      <c r="A512" s="476" t="s">
        <v>1213</v>
      </c>
      <c r="B512" s="466">
        <v>10</v>
      </c>
      <c r="C512" s="466">
        <v>-25</v>
      </c>
      <c r="D512" s="466">
        <v>-28</v>
      </c>
      <c r="E512" s="466">
        <v>28</v>
      </c>
      <c r="F512" s="466">
        <v>22</v>
      </c>
      <c r="G512" s="468">
        <v>32</v>
      </c>
      <c r="H512" s="468">
        <v>25</v>
      </c>
      <c r="I512" s="466">
        <v>5090</v>
      </c>
      <c r="J512" s="466">
        <v>4170</v>
      </c>
      <c r="K512" s="472">
        <f t="shared" si="7"/>
        <v>4590</v>
      </c>
      <c r="L512" s="521">
        <v>666</v>
      </c>
      <c r="M512" s="521">
        <v>666</v>
      </c>
      <c r="N512" s="472">
        <v>666</v>
      </c>
      <c r="O512" s="472">
        <v>666</v>
      </c>
      <c r="P512" s="466">
        <v>20</v>
      </c>
      <c r="Q512" s="468">
        <v>26</v>
      </c>
      <c r="R512" s="466">
        <v>102</v>
      </c>
      <c r="S512" s="468">
        <v>133</v>
      </c>
      <c r="T512" s="466">
        <v>880</v>
      </c>
      <c r="U512" s="468">
        <v>1070</v>
      </c>
      <c r="V512" s="468">
        <v>1.1000000000000001</v>
      </c>
      <c r="W512" s="466">
        <v>1090</v>
      </c>
      <c r="X512" s="468">
        <v>1230</v>
      </c>
      <c r="Y512" s="466">
        <v>180</v>
      </c>
      <c r="Z512" s="468">
        <v>190</v>
      </c>
      <c r="AA512" s="466">
        <v>2.9</v>
      </c>
      <c r="AB512" s="466">
        <v>0.6</v>
      </c>
      <c r="AC512" s="466">
        <v>4</v>
      </c>
      <c r="AD512" s="466">
        <v>0.8</v>
      </c>
      <c r="AE512" s="466">
        <v>0.37</v>
      </c>
      <c r="AF512" s="468">
        <v>0.39</v>
      </c>
      <c r="AG512" s="466">
        <v>0.47</v>
      </c>
      <c r="AH512" s="468">
        <v>0.49</v>
      </c>
      <c r="AI512" s="466">
        <v>0.73</v>
      </c>
      <c r="AJ512" s="466">
        <v>-9</v>
      </c>
      <c r="AK512" s="466">
        <v>4</v>
      </c>
      <c r="AL512" s="524">
        <v>25</v>
      </c>
      <c r="AM512" s="524">
        <v>25</v>
      </c>
    </row>
    <row r="513" spans="1:40" ht="25" customHeight="1" outlineLevel="1">
      <c r="A513" s="476" t="s">
        <v>1214</v>
      </c>
      <c r="B513" s="466">
        <v>25</v>
      </c>
      <c r="C513" s="466">
        <v>-24</v>
      </c>
      <c r="D513" s="466">
        <v>-26</v>
      </c>
      <c r="E513" s="466">
        <v>30</v>
      </c>
      <c r="F513" s="466">
        <v>23</v>
      </c>
      <c r="G513" s="468">
        <v>34</v>
      </c>
      <c r="H513" s="468">
        <v>26</v>
      </c>
      <c r="I513" s="466">
        <v>4440</v>
      </c>
      <c r="J513" s="466">
        <v>3630</v>
      </c>
      <c r="K513" s="472">
        <f t="shared" si="7"/>
        <v>3940</v>
      </c>
      <c r="L513" s="484">
        <v>290.7</v>
      </c>
      <c r="M513" s="484">
        <v>493.1</v>
      </c>
      <c r="N513" s="472">
        <v>666</v>
      </c>
      <c r="O513" s="472">
        <v>666</v>
      </c>
      <c r="P513" s="466">
        <v>23</v>
      </c>
      <c r="Q513" s="468">
        <v>30</v>
      </c>
      <c r="R513" s="466">
        <v>91</v>
      </c>
      <c r="S513" s="468">
        <v>118</v>
      </c>
      <c r="T513" s="466">
        <v>780</v>
      </c>
      <c r="U513" s="468">
        <v>930</v>
      </c>
      <c r="V513" s="468">
        <v>1</v>
      </c>
      <c r="W513" s="466">
        <v>950</v>
      </c>
      <c r="X513" s="468">
        <v>1070</v>
      </c>
      <c r="Y513" s="466">
        <v>180</v>
      </c>
      <c r="Z513" s="468">
        <v>190</v>
      </c>
      <c r="AA513" s="466">
        <v>2.2999999999999998</v>
      </c>
      <c r="AB513" s="466">
        <v>0.4</v>
      </c>
      <c r="AC513" s="466">
        <v>3.4</v>
      </c>
      <c r="AD513" s="466">
        <v>0.6</v>
      </c>
      <c r="AE513" s="466">
        <v>0.33</v>
      </c>
      <c r="AF513" s="468">
        <v>0.35</v>
      </c>
      <c r="AG513" s="466">
        <v>0.42</v>
      </c>
      <c r="AH513" s="468">
        <v>0.44</v>
      </c>
      <c r="AI513" s="466">
        <v>0.65</v>
      </c>
      <c r="AJ513" s="466">
        <v>-8</v>
      </c>
      <c r="AK513" s="466">
        <v>3.5</v>
      </c>
      <c r="AL513" s="524">
        <v>26</v>
      </c>
      <c r="AM513" s="524">
        <v>26</v>
      </c>
      <c r="AN513" s="752">
        <v>55.85</v>
      </c>
    </row>
    <row r="514" spans="1:40" ht="25" customHeight="1" outlineLevel="1">
      <c r="A514" s="476" t="s">
        <v>1215</v>
      </c>
      <c r="B514" s="466">
        <v>25</v>
      </c>
      <c r="C514" s="466">
        <v>-24</v>
      </c>
      <c r="D514" s="466">
        <v>-26</v>
      </c>
      <c r="E514" s="466">
        <v>30</v>
      </c>
      <c r="F514" s="466">
        <v>23</v>
      </c>
      <c r="G514" s="468">
        <v>34</v>
      </c>
      <c r="H514" s="468">
        <v>26</v>
      </c>
      <c r="I514" s="466">
        <v>4400</v>
      </c>
      <c r="J514" s="466">
        <v>3590</v>
      </c>
      <c r="K514" s="472">
        <f t="shared" si="7"/>
        <v>3900</v>
      </c>
      <c r="L514" s="484">
        <v>290.7</v>
      </c>
      <c r="M514" s="484">
        <v>493.1</v>
      </c>
      <c r="N514" s="472">
        <v>666</v>
      </c>
      <c r="O514" s="472">
        <v>666</v>
      </c>
      <c r="P514" s="466">
        <v>23</v>
      </c>
      <c r="Q514" s="468">
        <v>30</v>
      </c>
      <c r="R514" s="466">
        <v>91</v>
      </c>
      <c r="S514" s="468">
        <v>118</v>
      </c>
      <c r="T514" s="466">
        <v>760</v>
      </c>
      <c r="U514" s="468">
        <v>910</v>
      </c>
      <c r="V514" s="468">
        <v>1</v>
      </c>
      <c r="W514" s="466">
        <v>940</v>
      </c>
      <c r="X514" s="468">
        <v>1060</v>
      </c>
      <c r="Y514" s="466">
        <v>180</v>
      </c>
      <c r="Z514" s="468">
        <v>190</v>
      </c>
      <c r="AA514" s="466">
        <v>2.4</v>
      </c>
      <c r="AB514" s="466">
        <v>0.4</v>
      </c>
      <c r="AC514" s="466">
        <v>3.3</v>
      </c>
      <c r="AD514" s="466">
        <v>0.6</v>
      </c>
      <c r="AE514" s="466">
        <v>0.34</v>
      </c>
      <c r="AF514" s="468">
        <v>0.36</v>
      </c>
      <c r="AG514" s="466">
        <v>0.44</v>
      </c>
      <c r="AH514" s="468">
        <v>0.46</v>
      </c>
      <c r="AI514" s="466">
        <v>0.69</v>
      </c>
      <c r="AJ514" s="466">
        <v>-8</v>
      </c>
      <c r="AK514" s="466">
        <v>4</v>
      </c>
      <c r="AL514" s="524">
        <v>26</v>
      </c>
      <c r="AM514" s="524">
        <v>26</v>
      </c>
      <c r="AN514" s="752">
        <v>55.85</v>
      </c>
    </row>
    <row r="515" spans="1:40" ht="25" customHeight="1" outlineLevel="1">
      <c r="A515" s="476" t="s">
        <v>1216</v>
      </c>
      <c r="B515" s="466">
        <v>35</v>
      </c>
      <c r="C515" s="466">
        <v>-24</v>
      </c>
      <c r="D515" s="466">
        <v>-26</v>
      </c>
      <c r="E515" s="466">
        <v>29</v>
      </c>
      <c r="F515" s="466">
        <v>23</v>
      </c>
      <c r="G515" s="468">
        <v>33</v>
      </c>
      <c r="H515" s="468">
        <v>26</v>
      </c>
      <c r="I515" s="466">
        <v>4500</v>
      </c>
      <c r="J515" s="466">
        <v>3680</v>
      </c>
      <c r="K515" s="472">
        <f t="shared" ref="K515:K577" si="8">I515-500</f>
        <v>4000</v>
      </c>
      <c r="L515" s="484">
        <v>290.7</v>
      </c>
      <c r="M515" s="484">
        <v>493.1</v>
      </c>
      <c r="N515" s="472">
        <v>666</v>
      </c>
      <c r="O515" s="472">
        <v>666</v>
      </c>
      <c r="P515" s="466">
        <v>23</v>
      </c>
      <c r="Q515" s="468">
        <v>30</v>
      </c>
      <c r="R515" s="466">
        <v>96</v>
      </c>
      <c r="S515" s="468">
        <v>125</v>
      </c>
      <c r="T515" s="466">
        <v>830</v>
      </c>
      <c r="U515" s="468">
        <v>990</v>
      </c>
      <c r="V515" s="468">
        <v>1</v>
      </c>
      <c r="W515" s="466">
        <v>1025</v>
      </c>
      <c r="X515" s="468">
        <v>1160</v>
      </c>
      <c r="Y515" s="466">
        <v>160</v>
      </c>
      <c r="Z515" s="468">
        <v>170</v>
      </c>
      <c r="AA515" s="466">
        <v>2.6</v>
      </c>
      <c r="AB515" s="466">
        <v>0.4</v>
      </c>
      <c r="AC515" s="466">
        <v>3.9</v>
      </c>
      <c r="AD515" s="466">
        <v>0.6</v>
      </c>
      <c r="AE515" s="466">
        <v>0.33</v>
      </c>
      <c r="AF515" s="468">
        <v>0.35</v>
      </c>
      <c r="AG515" s="466">
        <v>0.42</v>
      </c>
      <c r="AH515" s="468">
        <v>0.44</v>
      </c>
      <c r="AI515" s="466">
        <v>0.65</v>
      </c>
      <c r="AJ515" s="466">
        <v>-8</v>
      </c>
      <c r="AK515" s="466">
        <v>3.5</v>
      </c>
      <c r="AL515" s="524">
        <v>26</v>
      </c>
      <c r="AM515" s="524">
        <v>26</v>
      </c>
      <c r="AN515" s="752">
        <v>55.85</v>
      </c>
    </row>
    <row r="516" spans="1:40" ht="25" customHeight="1" outlineLevel="1">
      <c r="A516" s="476" t="s">
        <v>1217</v>
      </c>
      <c r="B516" s="466">
        <v>20</v>
      </c>
      <c r="C516" s="466">
        <v>-23</v>
      </c>
      <c r="D516" s="466">
        <v>-26</v>
      </c>
      <c r="E516" s="466">
        <v>30</v>
      </c>
      <c r="F516" s="466">
        <v>23</v>
      </c>
      <c r="G516" s="468">
        <v>34</v>
      </c>
      <c r="H516" s="468">
        <v>26</v>
      </c>
      <c r="I516" s="466">
        <v>4200</v>
      </c>
      <c r="J516" s="466">
        <v>3410</v>
      </c>
      <c r="K516" s="472">
        <f t="shared" si="8"/>
        <v>3700</v>
      </c>
      <c r="L516" s="484">
        <v>290.7</v>
      </c>
      <c r="M516" s="484">
        <v>493.1</v>
      </c>
      <c r="N516" s="472">
        <v>666</v>
      </c>
      <c r="O516" s="472">
        <v>666</v>
      </c>
      <c r="P516" s="466">
        <v>23</v>
      </c>
      <c r="Q516" s="468">
        <v>30</v>
      </c>
      <c r="R516" s="466">
        <v>96</v>
      </c>
      <c r="S516" s="468">
        <v>125</v>
      </c>
      <c r="T516" s="466">
        <v>830</v>
      </c>
      <c r="U516" s="468">
        <v>990</v>
      </c>
      <c r="V516" s="468">
        <v>1</v>
      </c>
      <c r="W516" s="466">
        <v>1025</v>
      </c>
      <c r="X516" s="468">
        <v>1160</v>
      </c>
      <c r="Y516" s="466">
        <v>180</v>
      </c>
      <c r="Z516" s="468">
        <v>190</v>
      </c>
      <c r="AA516" s="466">
        <v>2.6</v>
      </c>
      <c r="AB516" s="466">
        <v>0.4</v>
      </c>
      <c r="AC516" s="466">
        <v>4</v>
      </c>
      <c r="AD516" s="466">
        <v>0.6</v>
      </c>
      <c r="AE516" s="466">
        <v>0.34</v>
      </c>
      <c r="AF516" s="468">
        <v>0.36</v>
      </c>
      <c r="AG516" s="466">
        <v>0.44</v>
      </c>
      <c r="AH516" s="468">
        <v>0.46</v>
      </c>
      <c r="AI516" s="466">
        <v>0.69</v>
      </c>
      <c r="AJ516" s="466">
        <v>-8</v>
      </c>
      <c r="AK516" s="466">
        <v>3.5</v>
      </c>
      <c r="AL516" s="524">
        <v>26</v>
      </c>
      <c r="AM516" s="524">
        <v>26</v>
      </c>
      <c r="AN516" s="752">
        <v>55.85</v>
      </c>
    </row>
    <row r="517" spans="1:40" ht="25" customHeight="1" outlineLevel="1">
      <c r="A517" s="476" t="s">
        <v>1218</v>
      </c>
      <c r="B517" s="466">
        <v>25</v>
      </c>
      <c r="C517" s="466">
        <v>-23</v>
      </c>
      <c r="D517" s="466">
        <v>-26</v>
      </c>
      <c r="E517" s="466">
        <v>30</v>
      </c>
      <c r="F517" s="466">
        <v>23</v>
      </c>
      <c r="G517" s="468">
        <v>34</v>
      </c>
      <c r="H517" s="468">
        <v>26</v>
      </c>
      <c r="I517" s="466">
        <v>4470</v>
      </c>
      <c r="J517" s="466">
        <v>3650</v>
      </c>
      <c r="K517" s="472">
        <f t="shared" si="8"/>
        <v>3970</v>
      </c>
      <c r="L517" s="484">
        <v>290.7</v>
      </c>
      <c r="M517" s="484">
        <v>493.1</v>
      </c>
      <c r="N517" s="472">
        <v>666</v>
      </c>
      <c r="O517" s="472">
        <v>666</v>
      </c>
      <c r="P517" s="466">
        <v>23</v>
      </c>
      <c r="Q517" s="468">
        <v>30</v>
      </c>
      <c r="R517" s="466">
        <v>96</v>
      </c>
      <c r="S517" s="468">
        <v>125</v>
      </c>
      <c r="T517" s="466">
        <v>830</v>
      </c>
      <c r="U517" s="468">
        <v>990</v>
      </c>
      <c r="V517" s="468">
        <v>1</v>
      </c>
      <c r="W517" s="466">
        <v>1025</v>
      </c>
      <c r="X517" s="468">
        <v>1150</v>
      </c>
      <c r="Y517" s="466">
        <v>180</v>
      </c>
      <c r="Z517" s="468">
        <v>190</v>
      </c>
      <c r="AA517" s="466">
        <v>2.7</v>
      </c>
      <c r="AB517" s="466">
        <v>0.4</v>
      </c>
      <c r="AC517" s="466">
        <v>4</v>
      </c>
      <c r="AD517" s="466">
        <v>0.6</v>
      </c>
      <c r="AE517" s="466">
        <v>0.34</v>
      </c>
      <c r="AF517" s="468">
        <v>0.36</v>
      </c>
      <c r="AG517" s="466">
        <v>0.44</v>
      </c>
      <c r="AH517" s="468">
        <v>0.46</v>
      </c>
      <c r="AI517" s="466">
        <v>0.69</v>
      </c>
      <c r="AJ517" s="466">
        <v>-8</v>
      </c>
      <c r="AK517" s="466">
        <v>3.5</v>
      </c>
      <c r="AL517" s="524">
        <v>26</v>
      </c>
      <c r="AM517" s="524">
        <v>26</v>
      </c>
      <c r="AN517" s="752">
        <v>55.85</v>
      </c>
    </row>
    <row r="518" spans="1:40" ht="25" customHeight="1" outlineLevel="1">
      <c r="A518" s="476" t="s">
        <v>1219</v>
      </c>
      <c r="B518" s="466">
        <v>20</v>
      </c>
      <c r="C518" s="466">
        <v>-24</v>
      </c>
      <c r="D518" s="466">
        <v>-26</v>
      </c>
      <c r="E518" s="466">
        <v>30</v>
      </c>
      <c r="F518" s="466">
        <v>23</v>
      </c>
      <c r="G518" s="468">
        <v>34</v>
      </c>
      <c r="H518" s="468">
        <v>26</v>
      </c>
      <c r="I518" s="466">
        <v>4470</v>
      </c>
      <c r="J518" s="466">
        <v>3650</v>
      </c>
      <c r="K518" s="472">
        <f t="shared" si="8"/>
        <v>3970</v>
      </c>
      <c r="L518" s="484">
        <v>290.7</v>
      </c>
      <c r="M518" s="484">
        <v>493.1</v>
      </c>
      <c r="N518" s="472">
        <v>666</v>
      </c>
      <c r="O518" s="472">
        <v>666</v>
      </c>
      <c r="P518" s="466">
        <v>23</v>
      </c>
      <c r="Q518" s="468">
        <v>30</v>
      </c>
      <c r="R518" s="466">
        <v>96</v>
      </c>
      <c r="S518" s="468">
        <v>125</v>
      </c>
      <c r="T518" s="466">
        <v>830</v>
      </c>
      <c r="U518" s="468">
        <v>990</v>
      </c>
      <c r="V518" s="468">
        <v>1</v>
      </c>
      <c r="W518" s="466">
        <v>1025</v>
      </c>
      <c r="X518" s="468">
        <v>1150</v>
      </c>
      <c r="Y518" s="466">
        <v>160</v>
      </c>
      <c r="Z518" s="468">
        <v>170</v>
      </c>
      <c r="AA518" s="466">
        <v>2.6</v>
      </c>
      <c r="AB518" s="466">
        <v>0.4</v>
      </c>
      <c r="AC518" s="466">
        <v>3.9</v>
      </c>
      <c r="AD518" s="466">
        <v>0.6</v>
      </c>
      <c r="AE518" s="466">
        <v>0.33</v>
      </c>
      <c r="AF518" s="468">
        <v>0.35</v>
      </c>
      <c r="AG518" s="466">
        <v>0.42</v>
      </c>
      <c r="AH518" s="468">
        <v>0.44</v>
      </c>
      <c r="AI518" s="466">
        <v>0.65</v>
      </c>
      <c r="AJ518" s="466">
        <v>-8</v>
      </c>
      <c r="AK518" s="466">
        <v>3.5</v>
      </c>
      <c r="AL518" s="524">
        <v>26</v>
      </c>
      <c r="AM518" s="524">
        <v>26</v>
      </c>
      <c r="AN518" s="752">
        <v>55.85</v>
      </c>
    </row>
    <row r="519" spans="1:40" ht="25" customHeight="1" outlineLevel="1">
      <c r="A519" s="476" t="s">
        <v>1220</v>
      </c>
      <c r="B519" s="466">
        <v>105</v>
      </c>
      <c r="C519" s="466">
        <v>-23</v>
      </c>
      <c r="D519" s="466">
        <v>-26</v>
      </c>
      <c r="E519" s="466">
        <v>30</v>
      </c>
      <c r="F519" s="466">
        <v>23</v>
      </c>
      <c r="G519" s="468">
        <v>34</v>
      </c>
      <c r="H519" s="468">
        <v>26</v>
      </c>
      <c r="I519" s="466">
        <v>4300</v>
      </c>
      <c r="J519" s="466">
        <v>3500</v>
      </c>
      <c r="K519" s="472">
        <f t="shared" si="8"/>
        <v>3800</v>
      </c>
      <c r="L519" s="521">
        <v>666</v>
      </c>
      <c r="M519" s="521">
        <v>666</v>
      </c>
      <c r="N519" s="472">
        <v>666</v>
      </c>
      <c r="O519" s="472">
        <v>666</v>
      </c>
      <c r="P519" s="466">
        <v>23</v>
      </c>
      <c r="Q519" s="468">
        <v>30</v>
      </c>
      <c r="R519" s="466">
        <v>96</v>
      </c>
      <c r="S519" s="468">
        <v>125</v>
      </c>
      <c r="T519" s="466">
        <v>820</v>
      </c>
      <c r="U519" s="468">
        <v>980</v>
      </c>
      <c r="V519" s="468">
        <v>1</v>
      </c>
      <c r="W519" s="466">
        <v>1025</v>
      </c>
      <c r="X519" s="468">
        <v>1160</v>
      </c>
      <c r="Y519" s="466">
        <v>180</v>
      </c>
      <c r="Z519" s="468">
        <v>190</v>
      </c>
      <c r="AA519" s="466">
        <v>2.8</v>
      </c>
      <c r="AB519" s="466">
        <v>0.4</v>
      </c>
      <c r="AC519" s="466">
        <v>4.2</v>
      </c>
      <c r="AD519" s="466">
        <v>0.6</v>
      </c>
      <c r="AE519" s="466">
        <v>0.34</v>
      </c>
      <c r="AF519" s="468">
        <v>0.36</v>
      </c>
      <c r="AG519" s="466">
        <v>0.44</v>
      </c>
      <c r="AH519" s="468">
        <v>0.46</v>
      </c>
      <c r="AI519" s="466">
        <v>0.69</v>
      </c>
      <c r="AJ519" s="466">
        <v>-8</v>
      </c>
      <c r="AK519" s="466">
        <v>3.5</v>
      </c>
      <c r="AL519" s="524">
        <v>26</v>
      </c>
      <c r="AM519" s="524">
        <v>26</v>
      </c>
    </row>
    <row r="520" spans="1:40" ht="25" customHeight="1" outlineLevel="1">
      <c r="A520" s="476" t="s">
        <v>1221</v>
      </c>
      <c r="B520" s="466">
        <v>25</v>
      </c>
      <c r="C520" s="466">
        <v>-24</v>
      </c>
      <c r="D520" s="466">
        <v>-26</v>
      </c>
      <c r="E520" s="466">
        <v>30</v>
      </c>
      <c r="F520" s="466">
        <v>23</v>
      </c>
      <c r="G520" s="468">
        <v>34</v>
      </c>
      <c r="H520" s="468">
        <v>26</v>
      </c>
      <c r="I520" s="466">
        <v>4430</v>
      </c>
      <c r="J520" s="466">
        <v>3620</v>
      </c>
      <c r="K520" s="472">
        <f t="shared" si="8"/>
        <v>3930</v>
      </c>
      <c r="L520" s="521">
        <v>666</v>
      </c>
      <c r="M520" s="521">
        <v>666</v>
      </c>
      <c r="N520" s="472">
        <v>666</v>
      </c>
      <c r="O520" s="472">
        <v>666</v>
      </c>
      <c r="P520" s="466">
        <v>23</v>
      </c>
      <c r="Q520" s="468">
        <v>30</v>
      </c>
      <c r="R520" s="466">
        <v>96</v>
      </c>
      <c r="S520" s="468">
        <v>125</v>
      </c>
      <c r="T520" s="466">
        <v>800</v>
      </c>
      <c r="U520" s="468">
        <v>960</v>
      </c>
      <c r="V520" s="468">
        <v>1</v>
      </c>
      <c r="W520" s="466">
        <v>960</v>
      </c>
      <c r="X520" s="468">
        <v>1080</v>
      </c>
      <c r="Y520" s="466">
        <v>180</v>
      </c>
      <c r="Z520" s="468">
        <v>190</v>
      </c>
      <c r="AA520" s="466">
        <v>2.4</v>
      </c>
      <c r="AB520" s="466">
        <v>0.4</v>
      </c>
      <c r="AC520" s="466">
        <v>3.5</v>
      </c>
      <c r="AD520" s="466">
        <v>0.6</v>
      </c>
      <c r="AE520" s="466">
        <v>0.33</v>
      </c>
      <c r="AF520" s="468">
        <v>0.35</v>
      </c>
      <c r="AG520" s="466">
        <v>0.42</v>
      </c>
      <c r="AH520" s="468">
        <v>0.44</v>
      </c>
      <c r="AI520" s="466">
        <v>0.65</v>
      </c>
      <c r="AJ520" s="466">
        <v>-8</v>
      </c>
      <c r="AK520" s="466">
        <v>3.5</v>
      </c>
      <c r="AL520" s="524">
        <v>26</v>
      </c>
      <c r="AM520" s="524">
        <v>26</v>
      </c>
    </row>
    <row r="521" spans="1:40" ht="25" customHeight="1" outlineLevel="1">
      <c r="A521" s="476" t="s">
        <v>1222</v>
      </c>
      <c r="B521" s="466">
        <v>35</v>
      </c>
      <c r="C521" s="466">
        <v>-24</v>
      </c>
      <c r="D521" s="466">
        <v>-26</v>
      </c>
      <c r="E521" s="466">
        <v>29</v>
      </c>
      <c r="F521" s="466">
        <v>23</v>
      </c>
      <c r="G521" s="468">
        <v>33</v>
      </c>
      <c r="H521" s="468">
        <v>26</v>
      </c>
      <c r="I521" s="466">
        <v>4460</v>
      </c>
      <c r="J521" s="466">
        <v>3640</v>
      </c>
      <c r="K521" s="472">
        <f t="shared" si="8"/>
        <v>3960</v>
      </c>
      <c r="L521" s="521">
        <v>666</v>
      </c>
      <c r="M521" s="521">
        <v>666</v>
      </c>
      <c r="N521" s="472">
        <v>666</v>
      </c>
      <c r="O521" s="472">
        <v>666</v>
      </c>
      <c r="P521" s="466">
        <v>23</v>
      </c>
      <c r="Q521" s="468">
        <v>30</v>
      </c>
      <c r="R521" s="466">
        <v>96</v>
      </c>
      <c r="S521" s="468">
        <v>125</v>
      </c>
      <c r="T521" s="466">
        <v>780</v>
      </c>
      <c r="U521" s="468">
        <v>940</v>
      </c>
      <c r="V521" s="468">
        <v>1</v>
      </c>
      <c r="W521" s="466">
        <v>960</v>
      </c>
      <c r="X521" s="468">
        <v>1080</v>
      </c>
      <c r="Y521" s="466">
        <v>180</v>
      </c>
      <c r="Z521" s="468">
        <v>190</v>
      </c>
      <c r="AA521" s="466">
        <v>2.2999999999999998</v>
      </c>
      <c r="AB521" s="466">
        <v>0.4</v>
      </c>
      <c r="AC521" s="466">
        <v>3.4</v>
      </c>
      <c r="AD521" s="466">
        <v>0.6</v>
      </c>
      <c r="AE521" s="466">
        <v>0.33</v>
      </c>
      <c r="AF521" s="468">
        <v>0.35</v>
      </c>
      <c r="AG521" s="466">
        <v>0.42</v>
      </c>
      <c r="AH521" s="468">
        <v>0.44</v>
      </c>
      <c r="AI521" s="466">
        <v>0.65</v>
      </c>
      <c r="AJ521" s="466">
        <v>-8</v>
      </c>
      <c r="AK521" s="466">
        <v>3.3</v>
      </c>
      <c r="AL521" s="524">
        <v>26</v>
      </c>
      <c r="AM521" s="524">
        <v>26</v>
      </c>
    </row>
    <row r="522" spans="1:40" ht="25" customHeight="1" outlineLevel="1">
      <c r="A522" s="476" t="s">
        <v>1223</v>
      </c>
      <c r="B522" s="466">
        <v>15</v>
      </c>
      <c r="C522" s="466">
        <v>-23</v>
      </c>
      <c r="D522" s="466">
        <v>-26</v>
      </c>
      <c r="E522" s="466">
        <v>30</v>
      </c>
      <c r="F522" s="466">
        <v>23</v>
      </c>
      <c r="G522" s="468">
        <v>34</v>
      </c>
      <c r="H522" s="468">
        <v>26</v>
      </c>
      <c r="I522" s="466">
        <v>4400</v>
      </c>
      <c r="J522" s="466">
        <v>3590</v>
      </c>
      <c r="K522" s="472">
        <f t="shared" si="8"/>
        <v>3900</v>
      </c>
      <c r="L522" s="521">
        <v>666</v>
      </c>
      <c r="M522" s="521">
        <v>666</v>
      </c>
      <c r="N522" s="472">
        <v>666</v>
      </c>
      <c r="O522" s="472">
        <v>666</v>
      </c>
      <c r="P522" s="466">
        <v>23</v>
      </c>
      <c r="Q522" s="468">
        <v>30</v>
      </c>
      <c r="R522" s="466">
        <v>96</v>
      </c>
      <c r="S522" s="468">
        <v>125</v>
      </c>
      <c r="T522" s="466">
        <v>810</v>
      </c>
      <c r="U522" s="468">
        <v>970</v>
      </c>
      <c r="V522" s="468">
        <v>1</v>
      </c>
      <c r="W522" s="466">
        <v>1050</v>
      </c>
      <c r="X522" s="468">
        <v>1180</v>
      </c>
      <c r="Y522" s="466">
        <v>160</v>
      </c>
      <c r="Z522" s="468">
        <v>170</v>
      </c>
      <c r="AA522" s="466">
        <v>2.5</v>
      </c>
      <c r="AB522" s="466">
        <v>0.4</v>
      </c>
      <c r="AC522" s="466">
        <v>3.8</v>
      </c>
      <c r="AD522" s="466">
        <v>0.6</v>
      </c>
      <c r="AE522" s="466">
        <v>0.34</v>
      </c>
      <c r="AF522" s="468">
        <v>0.36</v>
      </c>
      <c r="AG522" s="466">
        <v>0.44</v>
      </c>
      <c r="AH522" s="468">
        <v>0.46</v>
      </c>
      <c r="AI522" s="466">
        <v>0.69</v>
      </c>
      <c r="AJ522" s="466">
        <v>-8</v>
      </c>
      <c r="AK522" s="466">
        <v>4</v>
      </c>
      <c r="AL522" s="524">
        <v>26</v>
      </c>
      <c r="AM522" s="524">
        <v>26</v>
      </c>
    </row>
    <row r="523" spans="1:40" ht="25" customHeight="1" outlineLevel="1">
      <c r="A523" s="476" t="s">
        <v>1224</v>
      </c>
      <c r="B523" s="466">
        <v>45</v>
      </c>
      <c r="C523" s="466">
        <v>-23</v>
      </c>
      <c r="D523" s="466">
        <v>-26</v>
      </c>
      <c r="E523" s="466">
        <v>30</v>
      </c>
      <c r="F523" s="466">
        <v>23</v>
      </c>
      <c r="G523" s="468">
        <v>34</v>
      </c>
      <c r="H523" s="468">
        <v>26</v>
      </c>
      <c r="I523" s="466">
        <v>4270</v>
      </c>
      <c r="J523" s="466">
        <v>3470</v>
      </c>
      <c r="K523" s="472">
        <f t="shared" si="8"/>
        <v>3770</v>
      </c>
      <c r="L523" s="521">
        <v>666</v>
      </c>
      <c r="M523" s="521">
        <v>666</v>
      </c>
      <c r="N523" s="472">
        <v>666</v>
      </c>
      <c r="O523" s="472">
        <v>666</v>
      </c>
      <c r="P523" s="466">
        <v>23</v>
      </c>
      <c r="Q523" s="468">
        <v>30</v>
      </c>
      <c r="R523" s="466">
        <v>96</v>
      </c>
      <c r="S523" s="468">
        <v>125</v>
      </c>
      <c r="T523" s="466">
        <v>790</v>
      </c>
      <c r="U523" s="468">
        <v>940</v>
      </c>
      <c r="V523" s="468">
        <v>1</v>
      </c>
      <c r="W523" s="466">
        <v>950</v>
      </c>
      <c r="X523" s="468">
        <v>1070</v>
      </c>
      <c r="Y523" s="466">
        <v>160</v>
      </c>
      <c r="Z523" s="468">
        <v>170</v>
      </c>
      <c r="AA523" s="466">
        <v>2.5</v>
      </c>
      <c r="AB523" s="466">
        <v>0.4</v>
      </c>
      <c r="AC523" s="466">
        <v>3.7</v>
      </c>
      <c r="AD523" s="466">
        <v>0.6</v>
      </c>
      <c r="AE523" s="466">
        <v>0.34</v>
      </c>
      <c r="AF523" s="468">
        <v>0.36</v>
      </c>
      <c r="AG523" s="466">
        <v>0.44</v>
      </c>
      <c r="AH523" s="468">
        <v>0.46</v>
      </c>
      <c r="AI523" s="466">
        <v>0.69</v>
      </c>
      <c r="AJ523" s="466">
        <v>-8</v>
      </c>
      <c r="AK523" s="466">
        <v>3.5</v>
      </c>
      <c r="AL523" s="524">
        <v>26</v>
      </c>
      <c r="AM523" s="524">
        <v>26</v>
      </c>
    </row>
    <row r="524" spans="1:40" ht="25" customHeight="1" outlineLevel="1">
      <c r="A524" s="476" t="s">
        <v>1225</v>
      </c>
      <c r="B524" s="466">
        <v>20</v>
      </c>
      <c r="C524" s="466">
        <v>-23</v>
      </c>
      <c r="D524" s="466">
        <v>-26</v>
      </c>
      <c r="E524" s="466">
        <v>30</v>
      </c>
      <c r="F524" s="466">
        <v>23</v>
      </c>
      <c r="G524" s="468">
        <v>34</v>
      </c>
      <c r="H524" s="468">
        <v>26</v>
      </c>
      <c r="I524" s="466">
        <v>4200</v>
      </c>
      <c r="J524" s="466">
        <v>3410</v>
      </c>
      <c r="K524" s="472">
        <f t="shared" si="8"/>
        <v>3700</v>
      </c>
      <c r="L524" s="521">
        <v>666</v>
      </c>
      <c r="M524" s="521">
        <v>666</v>
      </c>
      <c r="N524" s="472">
        <v>666</v>
      </c>
      <c r="O524" s="472">
        <v>666</v>
      </c>
      <c r="P524" s="466">
        <v>23</v>
      </c>
      <c r="Q524" s="468">
        <v>30</v>
      </c>
      <c r="R524" s="466">
        <v>91</v>
      </c>
      <c r="S524" s="468">
        <v>118</v>
      </c>
      <c r="T524" s="466">
        <v>780</v>
      </c>
      <c r="U524" s="468">
        <v>930</v>
      </c>
      <c r="V524" s="468">
        <v>1</v>
      </c>
      <c r="W524" s="466">
        <v>1025</v>
      </c>
      <c r="X524" s="468">
        <v>1160</v>
      </c>
      <c r="Y524" s="466">
        <v>180</v>
      </c>
      <c r="Z524" s="468">
        <v>190</v>
      </c>
      <c r="AA524" s="466">
        <v>2.5</v>
      </c>
      <c r="AB524" s="466">
        <v>0.4</v>
      </c>
      <c r="AC524" s="466">
        <v>3.8</v>
      </c>
      <c r="AD524" s="466">
        <v>0.6</v>
      </c>
      <c r="AE524" s="466">
        <v>0.34</v>
      </c>
      <c r="AF524" s="468">
        <v>0.36</v>
      </c>
      <c r="AG524" s="466">
        <v>0.44</v>
      </c>
      <c r="AH524" s="468">
        <v>0.46</v>
      </c>
      <c r="AI524" s="466">
        <v>0.69</v>
      </c>
      <c r="AJ524" s="466">
        <v>-8</v>
      </c>
      <c r="AK524" s="466">
        <v>3.5</v>
      </c>
      <c r="AL524" s="524">
        <v>26</v>
      </c>
      <c r="AM524" s="524">
        <v>26</v>
      </c>
    </row>
    <row r="525" spans="1:40" ht="25" customHeight="1" outlineLevel="1">
      <c r="A525" s="476" t="s">
        <v>1226</v>
      </c>
      <c r="B525" s="466">
        <v>15</v>
      </c>
      <c r="C525" s="466">
        <v>-25</v>
      </c>
      <c r="D525" s="466">
        <v>-28</v>
      </c>
      <c r="E525" s="466">
        <v>29</v>
      </c>
      <c r="F525" s="466">
        <v>23</v>
      </c>
      <c r="G525" s="468">
        <v>33</v>
      </c>
      <c r="H525" s="468">
        <v>26</v>
      </c>
      <c r="I525" s="466">
        <v>4900</v>
      </c>
      <c r="J525" s="466">
        <v>3980</v>
      </c>
      <c r="K525" s="472">
        <f t="shared" si="8"/>
        <v>4400</v>
      </c>
      <c r="L525" s="521">
        <v>666</v>
      </c>
      <c r="M525" s="521">
        <v>666</v>
      </c>
      <c r="N525" s="472">
        <v>666</v>
      </c>
      <c r="O525" s="472">
        <v>666</v>
      </c>
      <c r="P525" s="466">
        <v>20</v>
      </c>
      <c r="Q525" s="468">
        <v>26</v>
      </c>
      <c r="R525" s="466">
        <v>107</v>
      </c>
      <c r="S525" s="468">
        <v>140</v>
      </c>
      <c r="T525" s="466">
        <v>860</v>
      </c>
      <c r="U525" s="468">
        <v>1030</v>
      </c>
      <c r="V525" s="468">
        <v>1.1000000000000001</v>
      </c>
      <c r="W525" s="466">
        <v>1025</v>
      </c>
      <c r="X525" s="468">
        <v>1150</v>
      </c>
      <c r="Y525" s="466">
        <v>160</v>
      </c>
      <c r="Z525" s="468">
        <v>170</v>
      </c>
      <c r="AA525" s="466">
        <v>2.8</v>
      </c>
      <c r="AB525" s="466">
        <v>0.4</v>
      </c>
      <c r="AC525" s="466">
        <v>4</v>
      </c>
      <c r="AD525" s="466">
        <v>0.6</v>
      </c>
      <c r="AE525" s="466">
        <v>0.33</v>
      </c>
      <c r="AF525" s="468">
        <v>0.35</v>
      </c>
      <c r="AG525" s="466">
        <v>0.42</v>
      </c>
      <c r="AH525" s="468">
        <v>0.44</v>
      </c>
      <c r="AI525" s="466">
        <v>0.65</v>
      </c>
      <c r="AJ525" s="466">
        <v>-9</v>
      </c>
      <c r="AK525" s="466">
        <v>3.5</v>
      </c>
      <c r="AL525" s="524">
        <v>26</v>
      </c>
      <c r="AM525" s="524">
        <v>26</v>
      </c>
    </row>
    <row r="526" spans="1:40" ht="25" customHeight="1" outlineLevel="1">
      <c r="A526" s="476" t="s">
        <v>1227</v>
      </c>
      <c r="B526" s="466">
        <v>545</v>
      </c>
      <c r="C526" s="466">
        <v>-39</v>
      </c>
      <c r="D526" s="466">
        <v>-41</v>
      </c>
      <c r="E526" s="466">
        <v>23</v>
      </c>
      <c r="F526" s="466">
        <v>19</v>
      </c>
      <c r="G526" s="468">
        <v>27</v>
      </c>
      <c r="H526" s="468">
        <v>22</v>
      </c>
      <c r="I526" s="466">
        <v>8100</v>
      </c>
      <c r="J526" s="466">
        <v>7080</v>
      </c>
      <c r="K526" s="472">
        <f t="shared" si="8"/>
        <v>7600</v>
      </c>
      <c r="L526" s="521">
        <v>666</v>
      </c>
      <c r="M526" s="521">
        <v>666</v>
      </c>
      <c r="N526" s="472">
        <v>666</v>
      </c>
      <c r="O526" s="472">
        <v>666</v>
      </c>
      <c r="P526" s="466">
        <v>15</v>
      </c>
      <c r="Q526" s="468">
        <v>20</v>
      </c>
      <c r="R526" s="466">
        <v>70</v>
      </c>
      <c r="S526" s="468">
        <v>93</v>
      </c>
      <c r="T526" s="466">
        <v>500</v>
      </c>
      <c r="U526" s="468">
        <v>640</v>
      </c>
      <c r="V526" s="468">
        <v>1</v>
      </c>
      <c r="W526" s="466">
        <v>825</v>
      </c>
      <c r="X526" s="468">
        <v>960</v>
      </c>
      <c r="Y526" s="466">
        <v>140</v>
      </c>
      <c r="Z526" s="468">
        <v>160</v>
      </c>
      <c r="AA526" s="466">
        <v>3.5</v>
      </c>
      <c r="AB526" s="466">
        <v>0.3</v>
      </c>
      <c r="AC526" s="466">
        <v>4.5999999999999996</v>
      </c>
      <c r="AD526" s="466">
        <v>0.4</v>
      </c>
      <c r="AE526" s="466">
        <v>0.28999999999999998</v>
      </c>
      <c r="AF526" s="468">
        <v>0.3</v>
      </c>
      <c r="AG526" s="466">
        <v>0.37</v>
      </c>
      <c r="AH526" s="468">
        <v>0.39</v>
      </c>
      <c r="AI526" s="466">
        <v>0.55000000000000004</v>
      </c>
      <c r="AJ526" s="466">
        <v>-14</v>
      </c>
      <c r="AK526" s="466">
        <v>3.7</v>
      </c>
      <c r="AL526" s="524">
        <v>22</v>
      </c>
      <c r="AM526" s="524">
        <v>22</v>
      </c>
    </row>
    <row r="527" spans="1:40" ht="25" customHeight="1" outlineLevel="1">
      <c r="A527" s="476" t="s">
        <v>1228</v>
      </c>
      <c r="B527" s="466">
        <v>305</v>
      </c>
      <c r="C527" s="466">
        <v>-33</v>
      </c>
      <c r="D527" s="466">
        <v>-36</v>
      </c>
      <c r="E527" s="466">
        <v>29</v>
      </c>
      <c r="F527" s="466">
        <v>21</v>
      </c>
      <c r="G527" s="468">
        <v>33</v>
      </c>
      <c r="H527" s="468">
        <v>24</v>
      </c>
      <c r="I527" s="466">
        <v>6050</v>
      </c>
      <c r="J527" s="466">
        <v>5100</v>
      </c>
      <c r="K527" s="472">
        <f t="shared" si="8"/>
        <v>5550</v>
      </c>
      <c r="L527" s="521">
        <v>666</v>
      </c>
      <c r="M527" s="521">
        <v>666</v>
      </c>
      <c r="N527" s="472">
        <v>666</v>
      </c>
      <c r="O527" s="472">
        <v>666</v>
      </c>
      <c r="P527" s="466">
        <v>20</v>
      </c>
      <c r="Q527" s="468">
        <v>26</v>
      </c>
      <c r="R527" s="466">
        <v>91</v>
      </c>
      <c r="S527" s="468">
        <v>119</v>
      </c>
      <c r="T527" s="466">
        <v>650</v>
      </c>
      <c r="U527" s="468">
        <v>780</v>
      </c>
      <c r="V527" s="468">
        <v>0.8</v>
      </c>
      <c r="W527" s="466">
        <v>875</v>
      </c>
      <c r="X527" s="468">
        <v>970</v>
      </c>
      <c r="Y527" s="466">
        <v>100</v>
      </c>
      <c r="Z527" s="468">
        <v>110</v>
      </c>
      <c r="AA527" s="466">
        <v>3.2</v>
      </c>
      <c r="AB527" s="466">
        <v>0.3</v>
      </c>
      <c r="AC527" s="466">
        <v>4.3</v>
      </c>
      <c r="AD527" s="466">
        <v>0.4</v>
      </c>
      <c r="AE527" s="466">
        <v>0.27</v>
      </c>
      <c r="AF527" s="468">
        <v>0.28000000000000003</v>
      </c>
      <c r="AG527" s="466">
        <v>0.35</v>
      </c>
      <c r="AH527" s="468">
        <v>0.37</v>
      </c>
      <c r="AI527" s="466">
        <v>0.53</v>
      </c>
      <c r="AJ527" s="466">
        <v>-11</v>
      </c>
      <c r="AK527" s="466">
        <v>3.5</v>
      </c>
      <c r="AL527" s="524">
        <v>24</v>
      </c>
      <c r="AM527" s="524">
        <v>24</v>
      </c>
    </row>
    <row r="528" spans="1:40" ht="25" customHeight="1" outlineLevel="1">
      <c r="A528" s="476" t="s">
        <v>1229</v>
      </c>
      <c r="B528" s="466">
        <v>5</v>
      </c>
      <c r="C528" s="466">
        <v>-21</v>
      </c>
      <c r="D528" s="466">
        <v>-24</v>
      </c>
      <c r="E528" s="466">
        <v>25</v>
      </c>
      <c r="F528" s="466">
        <v>19</v>
      </c>
      <c r="G528" s="468">
        <v>29</v>
      </c>
      <c r="H528" s="468">
        <v>23</v>
      </c>
      <c r="I528" s="466">
        <v>5400</v>
      </c>
      <c r="J528" s="466">
        <v>4470</v>
      </c>
      <c r="K528" s="472">
        <f t="shared" si="8"/>
        <v>4900</v>
      </c>
      <c r="L528" s="521">
        <v>666</v>
      </c>
      <c r="M528" s="521">
        <v>666</v>
      </c>
      <c r="N528" s="472">
        <v>666</v>
      </c>
      <c r="O528" s="472">
        <v>666</v>
      </c>
      <c r="P528" s="466">
        <v>16</v>
      </c>
      <c r="Q528" s="468">
        <v>21</v>
      </c>
      <c r="R528" s="466">
        <v>107</v>
      </c>
      <c r="S528" s="468">
        <v>139</v>
      </c>
      <c r="T528" s="466">
        <v>1000</v>
      </c>
      <c r="U528" s="468">
        <v>1260</v>
      </c>
      <c r="V528" s="468">
        <v>1.3</v>
      </c>
      <c r="W528" s="466">
        <v>1300</v>
      </c>
      <c r="X528" s="468">
        <v>1480</v>
      </c>
      <c r="Y528" s="466">
        <v>300</v>
      </c>
      <c r="Z528" s="468">
        <v>330</v>
      </c>
      <c r="AA528" s="466">
        <v>3.8</v>
      </c>
      <c r="AB528" s="466">
        <v>0.6</v>
      </c>
      <c r="AC528" s="466">
        <v>5.5</v>
      </c>
      <c r="AD528" s="466">
        <v>0.9</v>
      </c>
      <c r="AE528" s="466">
        <v>0.49</v>
      </c>
      <c r="AF528" s="468">
        <v>0.51</v>
      </c>
      <c r="AG528" s="466">
        <v>0.63</v>
      </c>
      <c r="AH528" s="468">
        <v>0.66</v>
      </c>
      <c r="AI528" s="466">
        <v>0.95</v>
      </c>
      <c r="AJ528" s="466">
        <v>-7</v>
      </c>
      <c r="AK528" s="466">
        <v>5.0999999999999996</v>
      </c>
      <c r="AL528" s="524">
        <v>23</v>
      </c>
      <c r="AM528" s="524">
        <v>23</v>
      </c>
    </row>
    <row r="529" spans="1:39" ht="25" customHeight="1" outlineLevel="1">
      <c r="A529" s="476" t="s">
        <v>1230</v>
      </c>
      <c r="B529" s="466">
        <v>25</v>
      </c>
      <c r="C529" s="466">
        <v>-24</v>
      </c>
      <c r="D529" s="466">
        <v>-26</v>
      </c>
      <c r="E529" s="466">
        <v>29</v>
      </c>
      <c r="F529" s="466">
        <v>23</v>
      </c>
      <c r="G529" s="468">
        <v>33</v>
      </c>
      <c r="H529" s="468">
        <v>26</v>
      </c>
      <c r="I529" s="466">
        <v>4480</v>
      </c>
      <c r="J529" s="466">
        <v>3660</v>
      </c>
      <c r="K529" s="472">
        <f t="shared" si="8"/>
        <v>3980</v>
      </c>
      <c r="L529" s="521">
        <v>666</v>
      </c>
      <c r="M529" s="521">
        <v>666</v>
      </c>
      <c r="N529" s="472">
        <v>666</v>
      </c>
      <c r="O529" s="472">
        <v>666</v>
      </c>
      <c r="P529" s="466">
        <v>23</v>
      </c>
      <c r="Q529" s="468">
        <v>30</v>
      </c>
      <c r="R529" s="466">
        <v>96</v>
      </c>
      <c r="S529" s="468">
        <v>124</v>
      </c>
      <c r="T529" s="466">
        <v>780</v>
      </c>
      <c r="U529" s="468">
        <v>940</v>
      </c>
      <c r="V529" s="468">
        <v>1</v>
      </c>
      <c r="W529" s="466">
        <v>950</v>
      </c>
      <c r="X529" s="468">
        <v>1070</v>
      </c>
      <c r="Y529" s="466">
        <v>180</v>
      </c>
      <c r="Z529" s="468">
        <v>190</v>
      </c>
      <c r="AA529" s="466">
        <v>2.2999999999999998</v>
      </c>
      <c r="AB529" s="466">
        <v>0.4</v>
      </c>
      <c r="AC529" s="466">
        <v>3.4</v>
      </c>
      <c r="AD529" s="466">
        <v>0.6</v>
      </c>
      <c r="AE529" s="466">
        <v>0.33</v>
      </c>
      <c r="AF529" s="468">
        <v>0.35</v>
      </c>
      <c r="AG529" s="466">
        <v>0.42</v>
      </c>
      <c r="AH529" s="468">
        <v>0.44</v>
      </c>
      <c r="AI529" s="466">
        <v>0.65</v>
      </c>
      <c r="AJ529" s="466">
        <v>-8</v>
      </c>
      <c r="AK529" s="466">
        <v>3.3</v>
      </c>
      <c r="AL529" s="524">
        <v>26</v>
      </c>
      <c r="AM529" s="524">
        <v>26</v>
      </c>
    </row>
    <row r="530" spans="1:39" ht="25" customHeight="1" outlineLevel="1">
      <c r="A530" s="476" t="s">
        <v>1231</v>
      </c>
      <c r="B530" s="466">
        <v>145</v>
      </c>
      <c r="C530" s="466">
        <v>-26</v>
      </c>
      <c r="D530" s="466">
        <v>-28</v>
      </c>
      <c r="E530" s="466">
        <v>29</v>
      </c>
      <c r="F530" s="466">
        <v>23</v>
      </c>
      <c r="G530" s="468">
        <v>33</v>
      </c>
      <c r="H530" s="468">
        <v>26</v>
      </c>
      <c r="I530" s="466">
        <v>5100</v>
      </c>
      <c r="J530" s="466">
        <v>4180</v>
      </c>
      <c r="K530" s="472">
        <f t="shared" si="8"/>
        <v>4600</v>
      </c>
      <c r="L530" s="521">
        <v>666</v>
      </c>
      <c r="M530" s="521">
        <v>666</v>
      </c>
      <c r="N530" s="472">
        <v>666</v>
      </c>
      <c r="O530" s="472">
        <v>666</v>
      </c>
      <c r="P530" s="466">
        <v>21</v>
      </c>
      <c r="Q530" s="468">
        <v>27</v>
      </c>
      <c r="R530" s="466">
        <v>107</v>
      </c>
      <c r="S530" s="468">
        <v>139</v>
      </c>
      <c r="T530" s="466">
        <v>890</v>
      </c>
      <c r="U530" s="468">
        <v>1060</v>
      </c>
      <c r="V530" s="468">
        <v>1.1000000000000001</v>
      </c>
      <c r="W530" s="466">
        <v>1150</v>
      </c>
      <c r="X530" s="468">
        <v>1280</v>
      </c>
      <c r="Y530" s="466">
        <v>180</v>
      </c>
      <c r="AA530" s="466">
        <v>2.8</v>
      </c>
      <c r="AB530" s="466">
        <v>0.6</v>
      </c>
      <c r="AC530" s="466">
        <v>4.0999999999999996</v>
      </c>
      <c r="AD530" s="466">
        <v>0.9</v>
      </c>
      <c r="AE530" s="466">
        <v>0.27</v>
      </c>
      <c r="AF530" s="468">
        <v>0.28000000000000003</v>
      </c>
      <c r="AG530" s="466">
        <v>0.35</v>
      </c>
      <c r="AH530" s="468">
        <v>0.37</v>
      </c>
      <c r="AI530" s="466">
        <v>0.55000000000000004</v>
      </c>
      <c r="AJ530" s="466">
        <v>-9</v>
      </c>
      <c r="AK530" s="466">
        <v>3.2</v>
      </c>
      <c r="AL530" s="524">
        <v>26</v>
      </c>
      <c r="AM530" s="524">
        <v>26</v>
      </c>
    </row>
    <row r="531" spans="1:39" ht="25" customHeight="1" outlineLevel="1">
      <c r="A531" s="476" t="s">
        <v>1232</v>
      </c>
      <c r="B531" s="466">
        <v>20</v>
      </c>
      <c r="C531" s="466">
        <v>-28</v>
      </c>
      <c r="D531" s="466">
        <v>-30</v>
      </c>
      <c r="E531" s="466">
        <v>25</v>
      </c>
      <c r="F531" s="466">
        <v>19</v>
      </c>
      <c r="G531" s="468">
        <v>29</v>
      </c>
      <c r="H531" s="468">
        <v>22</v>
      </c>
      <c r="I531" s="466">
        <v>6060</v>
      </c>
      <c r="J531" s="466">
        <v>5110</v>
      </c>
      <c r="K531" s="472">
        <f t="shared" si="8"/>
        <v>5560</v>
      </c>
      <c r="L531" s="521">
        <v>666</v>
      </c>
      <c r="M531" s="521">
        <v>666</v>
      </c>
      <c r="N531" s="472">
        <v>666</v>
      </c>
      <c r="O531" s="472">
        <v>666</v>
      </c>
      <c r="P531" s="466">
        <v>15</v>
      </c>
      <c r="Q531" s="468">
        <v>20</v>
      </c>
      <c r="R531" s="466">
        <v>106</v>
      </c>
      <c r="S531" s="468">
        <v>139</v>
      </c>
      <c r="T531" s="466">
        <v>730</v>
      </c>
      <c r="U531" s="468">
        <v>940</v>
      </c>
      <c r="V531" s="468">
        <v>1.1000000000000001</v>
      </c>
      <c r="W531" s="466">
        <v>1125</v>
      </c>
      <c r="X531" s="468">
        <v>1280</v>
      </c>
      <c r="Y531" s="466">
        <v>300</v>
      </c>
      <c r="Z531" s="468">
        <v>330</v>
      </c>
      <c r="AA531" s="466">
        <v>4.0999999999999996</v>
      </c>
      <c r="AB531" s="466">
        <v>0.4</v>
      </c>
      <c r="AC531" s="466">
        <v>5.8</v>
      </c>
      <c r="AD531" s="466">
        <v>0.6</v>
      </c>
      <c r="AE531" s="466">
        <v>0.42</v>
      </c>
      <c r="AF531" s="468">
        <v>0.44</v>
      </c>
      <c r="AG531" s="466">
        <v>0.54</v>
      </c>
      <c r="AH531" s="468">
        <v>0.56999999999999995</v>
      </c>
      <c r="AI531" s="466">
        <v>0.8</v>
      </c>
      <c r="AJ531" s="466">
        <v>-9</v>
      </c>
      <c r="AK531" s="466">
        <v>4</v>
      </c>
      <c r="AL531" s="524">
        <v>22</v>
      </c>
      <c r="AM531" s="524">
        <v>22</v>
      </c>
    </row>
    <row r="532" spans="1:39" ht="25" customHeight="1" outlineLevel="1">
      <c r="A532" s="476" t="s">
        <v>1233</v>
      </c>
      <c r="B532" s="466">
        <v>5</v>
      </c>
      <c r="C532" s="466">
        <v>-36</v>
      </c>
      <c r="D532" s="466">
        <v>-38</v>
      </c>
      <c r="E532" s="466">
        <v>23</v>
      </c>
      <c r="F532" s="466">
        <v>16</v>
      </c>
      <c r="G532" s="468">
        <v>29</v>
      </c>
      <c r="H532" s="468">
        <v>21</v>
      </c>
      <c r="I532" s="466">
        <v>9200</v>
      </c>
      <c r="J532" s="466">
        <v>8150</v>
      </c>
      <c r="K532" s="472">
        <f t="shared" si="8"/>
        <v>8700</v>
      </c>
      <c r="L532" s="521">
        <v>666</v>
      </c>
      <c r="M532" s="521">
        <v>666</v>
      </c>
      <c r="N532" s="472">
        <v>666</v>
      </c>
      <c r="O532" s="472">
        <v>666</v>
      </c>
      <c r="P532" s="466">
        <v>7</v>
      </c>
      <c r="Q532" s="468">
        <v>10</v>
      </c>
      <c r="R532" s="466">
        <v>54</v>
      </c>
      <c r="S532" s="468">
        <v>79</v>
      </c>
      <c r="T532" s="466">
        <v>210</v>
      </c>
      <c r="U532" s="468">
        <v>300</v>
      </c>
      <c r="V532" s="468">
        <v>0.9</v>
      </c>
      <c r="W532" s="466">
        <v>375</v>
      </c>
      <c r="X532" s="468">
        <v>460</v>
      </c>
      <c r="Y532" s="466">
        <v>240</v>
      </c>
      <c r="Z532" s="468">
        <v>280</v>
      </c>
      <c r="AA532" s="466">
        <v>4.5</v>
      </c>
      <c r="AB532" s="466">
        <v>0.2</v>
      </c>
      <c r="AC532" s="466">
        <v>6.5</v>
      </c>
      <c r="AD532" s="466">
        <v>0.3</v>
      </c>
      <c r="AE532" s="466">
        <v>0.47</v>
      </c>
      <c r="AF532" s="468">
        <v>0.49</v>
      </c>
      <c r="AG532" s="466">
        <v>0.6</v>
      </c>
      <c r="AH532" s="468">
        <v>0.63</v>
      </c>
      <c r="AI532" s="466">
        <v>0.85</v>
      </c>
      <c r="AJ532" s="466">
        <v>-16</v>
      </c>
      <c r="AK532" s="466">
        <v>5.4</v>
      </c>
      <c r="AL532" s="524">
        <v>21</v>
      </c>
      <c r="AM532" s="524">
        <v>21</v>
      </c>
    </row>
    <row r="533" spans="1:39" ht="25" customHeight="1" outlineLevel="1">
      <c r="A533" s="476" t="s">
        <v>1234</v>
      </c>
      <c r="B533" s="466">
        <v>35</v>
      </c>
      <c r="C533" s="466">
        <v>-25</v>
      </c>
      <c r="D533" s="466">
        <v>-28</v>
      </c>
      <c r="E533" s="466">
        <v>28</v>
      </c>
      <c r="F533" s="466">
        <v>23</v>
      </c>
      <c r="G533" s="468">
        <v>32</v>
      </c>
      <c r="H533" s="468">
        <v>26</v>
      </c>
      <c r="I533" s="466">
        <v>5130</v>
      </c>
      <c r="J533" s="466">
        <v>4210</v>
      </c>
      <c r="K533" s="472">
        <f t="shared" si="8"/>
        <v>4630</v>
      </c>
      <c r="L533" s="521">
        <v>666</v>
      </c>
      <c r="M533" s="521">
        <v>666</v>
      </c>
      <c r="N533" s="472">
        <v>666</v>
      </c>
      <c r="O533" s="472">
        <v>666</v>
      </c>
      <c r="P533" s="466">
        <v>20</v>
      </c>
      <c r="Q533" s="468">
        <v>26</v>
      </c>
      <c r="R533" s="466">
        <v>102</v>
      </c>
      <c r="S533" s="468">
        <v>133</v>
      </c>
      <c r="T533" s="466">
        <v>940</v>
      </c>
      <c r="U533" s="468">
        <v>1130</v>
      </c>
      <c r="V533" s="468">
        <v>1.2</v>
      </c>
      <c r="W533" s="466">
        <v>1200</v>
      </c>
      <c r="X533" s="468">
        <v>1340</v>
      </c>
      <c r="Y533" s="466">
        <v>200</v>
      </c>
      <c r="Z533" s="468">
        <v>210</v>
      </c>
      <c r="AA533" s="466">
        <v>3.4</v>
      </c>
      <c r="AB533" s="466">
        <v>0.6</v>
      </c>
      <c r="AC533" s="466">
        <v>4.7</v>
      </c>
      <c r="AD533" s="466">
        <v>0.8</v>
      </c>
      <c r="AE533" s="466">
        <v>0.32</v>
      </c>
      <c r="AF533" s="468">
        <v>0.34</v>
      </c>
      <c r="AG533" s="466">
        <v>0.41</v>
      </c>
      <c r="AH533" s="468">
        <v>0.43</v>
      </c>
      <c r="AI533" s="466">
        <v>0.64</v>
      </c>
      <c r="AJ533" s="466">
        <v>-8</v>
      </c>
      <c r="AK533" s="466">
        <v>4</v>
      </c>
      <c r="AL533" s="524">
        <v>26</v>
      </c>
      <c r="AM533" s="524">
        <v>26</v>
      </c>
    </row>
    <row r="534" spans="1:39" ht="25" customHeight="1" outlineLevel="1">
      <c r="A534" s="476" t="s">
        <v>1235</v>
      </c>
      <c r="B534" s="466">
        <v>50</v>
      </c>
      <c r="C534" s="466">
        <v>-25</v>
      </c>
      <c r="D534" s="466">
        <v>-28</v>
      </c>
      <c r="E534" s="466">
        <v>28</v>
      </c>
      <c r="F534" s="466">
        <v>22</v>
      </c>
      <c r="G534" s="468">
        <v>32</v>
      </c>
      <c r="H534" s="468">
        <v>25</v>
      </c>
      <c r="I534" s="466">
        <v>5050</v>
      </c>
      <c r="J534" s="466">
        <v>4130</v>
      </c>
      <c r="K534" s="472">
        <f t="shared" si="8"/>
        <v>4550</v>
      </c>
      <c r="L534" s="521">
        <v>666</v>
      </c>
      <c r="M534" s="521">
        <v>666</v>
      </c>
      <c r="N534" s="472">
        <v>666</v>
      </c>
      <c r="O534" s="472">
        <v>666</v>
      </c>
      <c r="P534" s="466">
        <v>20</v>
      </c>
      <c r="Q534" s="468">
        <v>26</v>
      </c>
      <c r="R534" s="466">
        <v>107</v>
      </c>
      <c r="S534" s="468">
        <v>140</v>
      </c>
      <c r="T534" s="466">
        <v>920</v>
      </c>
      <c r="U534" s="468">
        <v>1110</v>
      </c>
      <c r="V534" s="468">
        <v>1.1000000000000001</v>
      </c>
      <c r="W534" s="466">
        <v>1200</v>
      </c>
      <c r="X534" s="468">
        <v>1340</v>
      </c>
      <c r="Y534" s="466">
        <v>160</v>
      </c>
      <c r="Z534" s="468">
        <v>170</v>
      </c>
      <c r="AA534" s="466">
        <v>3.3</v>
      </c>
      <c r="AB534" s="466">
        <v>0.6</v>
      </c>
      <c r="AC534" s="466">
        <v>4.5999999999999996</v>
      </c>
      <c r="AD534" s="466">
        <v>0.8</v>
      </c>
      <c r="AE534" s="466">
        <v>0.32</v>
      </c>
      <c r="AF534" s="468">
        <v>0.34</v>
      </c>
      <c r="AG534" s="466">
        <v>0.41</v>
      </c>
      <c r="AH534" s="468">
        <v>0.43</v>
      </c>
      <c r="AI534" s="466">
        <v>0.64</v>
      </c>
      <c r="AJ534" s="466">
        <v>-8</v>
      </c>
      <c r="AK534" s="466">
        <v>4</v>
      </c>
      <c r="AL534" s="524">
        <v>25</v>
      </c>
      <c r="AM534" s="524">
        <v>25</v>
      </c>
    </row>
    <row r="535" spans="1:39" ht="25" customHeight="1" outlineLevel="1">
      <c r="A535" s="476" t="s">
        <v>1160</v>
      </c>
      <c r="B535" s="466">
        <v>120</v>
      </c>
      <c r="C535" s="466">
        <v>-25</v>
      </c>
      <c r="D535" s="466">
        <v>-28</v>
      </c>
      <c r="E535" s="466">
        <v>28</v>
      </c>
      <c r="F535" s="466">
        <v>22</v>
      </c>
      <c r="G535" s="468">
        <v>32</v>
      </c>
      <c r="H535" s="468">
        <v>25</v>
      </c>
      <c r="I535" s="466">
        <v>5080</v>
      </c>
      <c r="J535" s="466">
        <v>4160</v>
      </c>
      <c r="K535" s="472">
        <f t="shared" si="8"/>
        <v>4580</v>
      </c>
      <c r="L535" s="521">
        <v>666</v>
      </c>
      <c r="M535" s="521">
        <v>666</v>
      </c>
      <c r="N535" s="472">
        <v>666</v>
      </c>
      <c r="O535" s="472">
        <v>666</v>
      </c>
      <c r="P535" s="466">
        <v>20</v>
      </c>
      <c r="Q535" s="468">
        <v>26</v>
      </c>
      <c r="R535" s="466">
        <v>107</v>
      </c>
      <c r="S535" s="468">
        <v>140</v>
      </c>
      <c r="T535" s="466">
        <v>925</v>
      </c>
      <c r="U535" s="468">
        <v>1110</v>
      </c>
      <c r="V535" s="468">
        <v>1.1000000000000001</v>
      </c>
      <c r="W535" s="466">
        <v>1210</v>
      </c>
      <c r="X535" s="468">
        <v>1350</v>
      </c>
      <c r="Y535" s="466">
        <v>200</v>
      </c>
      <c r="Z535" s="468">
        <v>210</v>
      </c>
      <c r="AA535" s="466">
        <v>3.6</v>
      </c>
      <c r="AB535" s="466">
        <v>0.6</v>
      </c>
      <c r="AC535" s="466">
        <v>5</v>
      </c>
      <c r="AD535" s="466">
        <v>0.8</v>
      </c>
      <c r="AE535" s="466">
        <v>0.32</v>
      </c>
      <c r="AF535" s="468">
        <v>0.34</v>
      </c>
      <c r="AG535" s="466">
        <v>0.41</v>
      </c>
      <c r="AH535" s="468">
        <v>0.43</v>
      </c>
      <c r="AI535" s="466">
        <v>0.64</v>
      </c>
      <c r="AJ535" s="466">
        <v>-8</v>
      </c>
      <c r="AK535" s="466">
        <v>3.5</v>
      </c>
      <c r="AL535" s="524">
        <v>25</v>
      </c>
      <c r="AM535" s="524">
        <v>25</v>
      </c>
    </row>
    <row r="536" spans="1:39" ht="25" customHeight="1" outlineLevel="1">
      <c r="A536" s="476" t="s">
        <v>1236</v>
      </c>
      <c r="B536" s="466">
        <v>115</v>
      </c>
      <c r="C536" s="466">
        <v>-25</v>
      </c>
      <c r="D536" s="466">
        <v>-28</v>
      </c>
      <c r="E536" s="466">
        <v>28</v>
      </c>
      <c r="F536" s="466">
        <v>23</v>
      </c>
      <c r="G536" s="468">
        <v>32</v>
      </c>
      <c r="H536" s="468">
        <v>26</v>
      </c>
      <c r="I536" s="466">
        <v>5100</v>
      </c>
      <c r="J536" s="466">
        <v>4180</v>
      </c>
      <c r="K536" s="472">
        <f t="shared" si="8"/>
        <v>4600</v>
      </c>
      <c r="L536" s="521">
        <v>666</v>
      </c>
      <c r="M536" s="521">
        <v>666</v>
      </c>
      <c r="N536" s="472">
        <v>666</v>
      </c>
      <c r="O536" s="472">
        <v>666</v>
      </c>
      <c r="P536" s="466">
        <v>20</v>
      </c>
      <c r="Q536" s="468">
        <v>26</v>
      </c>
      <c r="R536" s="466">
        <v>107</v>
      </c>
      <c r="S536" s="468">
        <v>140</v>
      </c>
      <c r="T536" s="466">
        <v>940</v>
      </c>
      <c r="U536" s="468">
        <v>1130</v>
      </c>
      <c r="V536" s="468">
        <v>1.2</v>
      </c>
      <c r="W536" s="466">
        <v>1200</v>
      </c>
      <c r="X536" s="468">
        <v>1340</v>
      </c>
      <c r="Y536" s="466">
        <v>180</v>
      </c>
      <c r="Z536" s="468">
        <v>190</v>
      </c>
      <c r="AA536" s="466">
        <v>3.7</v>
      </c>
      <c r="AB536" s="466">
        <v>0.6</v>
      </c>
      <c r="AC536" s="466">
        <v>5.0999999999999996</v>
      </c>
      <c r="AD536" s="466">
        <v>0.8</v>
      </c>
      <c r="AE536" s="466">
        <v>0.32</v>
      </c>
      <c r="AF536" s="468">
        <v>0.34</v>
      </c>
      <c r="AG536" s="466">
        <v>0.41</v>
      </c>
      <c r="AH536" s="468">
        <v>0.43</v>
      </c>
      <c r="AI536" s="466">
        <v>0.64</v>
      </c>
      <c r="AJ536" s="466">
        <v>-8</v>
      </c>
      <c r="AK536" s="466">
        <v>3.5</v>
      </c>
      <c r="AL536" s="524">
        <v>26</v>
      </c>
      <c r="AM536" s="524">
        <v>26</v>
      </c>
    </row>
    <row r="537" spans="1:39" ht="25" customHeight="1" outlineLevel="1">
      <c r="A537" s="476" t="s">
        <v>1237</v>
      </c>
      <c r="B537" s="466">
        <v>10</v>
      </c>
      <c r="C537" s="466">
        <v>-25</v>
      </c>
      <c r="D537" s="466">
        <v>-28</v>
      </c>
      <c r="E537" s="466">
        <v>28</v>
      </c>
      <c r="F537" s="466">
        <v>23</v>
      </c>
      <c r="G537" s="468">
        <v>32</v>
      </c>
      <c r="H537" s="468">
        <v>26</v>
      </c>
      <c r="I537" s="466">
        <v>5070</v>
      </c>
      <c r="J537" s="466">
        <v>4150</v>
      </c>
      <c r="K537" s="472">
        <f t="shared" si="8"/>
        <v>4570</v>
      </c>
      <c r="L537" s="521">
        <v>666</v>
      </c>
      <c r="M537" s="521">
        <v>666</v>
      </c>
      <c r="N537" s="472">
        <v>666</v>
      </c>
      <c r="O537" s="472">
        <v>666</v>
      </c>
      <c r="P537" s="466">
        <v>20</v>
      </c>
      <c r="Q537" s="468">
        <v>26</v>
      </c>
      <c r="R537" s="466">
        <v>107</v>
      </c>
      <c r="S537" s="468">
        <v>140</v>
      </c>
      <c r="T537" s="466">
        <v>930</v>
      </c>
      <c r="U537" s="468">
        <v>1120</v>
      </c>
      <c r="V537" s="468">
        <v>1.2</v>
      </c>
      <c r="W537" s="466">
        <v>1200</v>
      </c>
      <c r="X537" s="468">
        <v>1340</v>
      </c>
      <c r="Y537" s="466">
        <v>200</v>
      </c>
      <c r="Z537" s="468">
        <v>210</v>
      </c>
      <c r="AA537" s="466">
        <v>3.1</v>
      </c>
      <c r="AB537" s="466">
        <v>0.6</v>
      </c>
      <c r="AC537" s="466">
        <v>4.2</v>
      </c>
      <c r="AD537" s="466">
        <v>0.8</v>
      </c>
      <c r="AE537" s="466">
        <v>0.32</v>
      </c>
      <c r="AF537" s="468">
        <v>0.34</v>
      </c>
      <c r="AG537" s="466">
        <v>0.41</v>
      </c>
      <c r="AH537" s="468">
        <v>0.43</v>
      </c>
      <c r="AI537" s="466">
        <v>0.64</v>
      </c>
      <c r="AJ537" s="466">
        <v>-8</v>
      </c>
      <c r="AK537" s="466">
        <v>3.5</v>
      </c>
      <c r="AL537" s="524">
        <v>26</v>
      </c>
      <c r="AM537" s="524">
        <v>26</v>
      </c>
    </row>
    <row r="538" spans="1:39" ht="25" customHeight="1" outlineLevel="1">
      <c r="A538" s="476" t="s">
        <v>1018</v>
      </c>
      <c r="B538" s="466">
        <v>150</v>
      </c>
      <c r="C538" s="466">
        <v>-25</v>
      </c>
      <c r="D538" s="466">
        <v>-27</v>
      </c>
      <c r="E538" s="466">
        <v>29</v>
      </c>
      <c r="F538" s="466">
        <v>22</v>
      </c>
      <c r="G538" s="468">
        <v>33</v>
      </c>
      <c r="H538" s="468">
        <v>25</v>
      </c>
      <c r="I538" s="466">
        <v>4700</v>
      </c>
      <c r="J538" s="466">
        <v>3860</v>
      </c>
      <c r="K538" s="472">
        <f t="shared" si="8"/>
        <v>4200</v>
      </c>
      <c r="L538" s="521">
        <v>666</v>
      </c>
      <c r="M538" s="521">
        <v>666</v>
      </c>
      <c r="N538" s="472">
        <v>666</v>
      </c>
      <c r="O538" s="472">
        <v>666</v>
      </c>
      <c r="P538" s="466">
        <v>23</v>
      </c>
      <c r="Q538" s="468">
        <v>30</v>
      </c>
      <c r="R538" s="466">
        <v>96</v>
      </c>
      <c r="S538" s="468">
        <v>124</v>
      </c>
      <c r="T538" s="466">
        <v>870</v>
      </c>
      <c r="U538" s="468">
        <v>1030</v>
      </c>
      <c r="V538" s="468">
        <v>1.1000000000000001</v>
      </c>
      <c r="W538" s="466">
        <v>1060</v>
      </c>
      <c r="X538" s="468">
        <v>1170</v>
      </c>
      <c r="Y538" s="466">
        <v>160</v>
      </c>
      <c r="AA538" s="466">
        <v>2.4</v>
      </c>
      <c r="AB538" s="466">
        <v>0.6</v>
      </c>
      <c r="AC538" s="466">
        <v>3.5</v>
      </c>
      <c r="AD538" s="466">
        <v>0.9</v>
      </c>
      <c r="AE538" s="466">
        <v>0.25</v>
      </c>
      <c r="AF538" s="468">
        <v>0.26</v>
      </c>
      <c r="AG538" s="466">
        <v>0.32</v>
      </c>
      <c r="AH538" s="468">
        <v>0.34</v>
      </c>
      <c r="AI538" s="466">
        <v>0.5</v>
      </c>
      <c r="AJ538" s="466">
        <v>-9</v>
      </c>
      <c r="AK538" s="466">
        <v>3.5</v>
      </c>
      <c r="AL538" s="524">
        <v>25</v>
      </c>
      <c r="AM538" s="524">
        <v>25</v>
      </c>
    </row>
    <row r="539" spans="1:39" ht="25" customHeight="1" outlineLevel="1">
      <c r="A539" s="476" t="s">
        <v>1238</v>
      </c>
      <c r="B539" s="466">
        <v>30</v>
      </c>
      <c r="C539" s="466">
        <v>-25</v>
      </c>
      <c r="D539" s="466">
        <v>-27</v>
      </c>
      <c r="E539" s="466">
        <v>26</v>
      </c>
      <c r="F539" s="466">
        <v>20</v>
      </c>
      <c r="G539" s="468">
        <v>30</v>
      </c>
      <c r="H539" s="468">
        <v>23</v>
      </c>
      <c r="I539" s="466">
        <v>5300</v>
      </c>
      <c r="J539" s="466">
        <v>4370</v>
      </c>
      <c r="K539" s="472">
        <f t="shared" si="8"/>
        <v>4800</v>
      </c>
      <c r="L539" s="521">
        <v>666</v>
      </c>
      <c r="M539" s="521">
        <v>666</v>
      </c>
      <c r="N539" s="472">
        <v>666</v>
      </c>
      <c r="O539" s="472">
        <v>666</v>
      </c>
      <c r="P539" s="466">
        <v>18</v>
      </c>
      <c r="Q539" s="468">
        <v>23</v>
      </c>
      <c r="R539" s="466">
        <v>91</v>
      </c>
      <c r="S539" s="468">
        <v>119</v>
      </c>
      <c r="T539" s="466">
        <v>640</v>
      </c>
      <c r="U539" s="468">
        <v>800</v>
      </c>
      <c r="V539" s="468">
        <v>0.9</v>
      </c>
      <c r="W539" s="466">
        <v>890</v>
      </c>
      <c r="X539" s="468">
        <v>1020</v>
      </c>
      <c r="Y539" s="466">
        <v>200</v>
      </c>
      <c r="Z539" s="468">
        <v>220</v>
      </c>
      <c r="AA539" s="466">
        <v>3.8</v>
      </c>
      <c r="AB539" s="466">
        <v>0.4</v>
      </c>
      <c r="AC539" s="466">
        <v>5.5</v>
      </c>
      <c r="AD539" s="466">
        <v>0.6</v>
      </c>
      <c r="AE539" s="466">
        <v>0.41</v>
      </c>
      <c r="AF539" s="468">
        <v>0.43</v>
      </c>
      <c r="AG539" s="466">
        <v>0.52</v>
      </c>
      <c r="AH539" s="468">
        <v>0.55000000000000004</v>
      </c>
      <c r="AI539" s="466">
        <v>0.77</v>
      </c>
      <c r="AJ539" s="466">
        <v>-8</v>
      </c>
      <c r="AK539" s="466">
        <v>5</v>
      </c>
      <c r="AL539" s="524">
        <v>23</v>
      </c>
      <c r="AM539" s="524">
        <v>23</v>
      </c>
    </row>
    <row r="540" spans="1:39" ht="25" customHeight="1" outlineLevel="1">
      <c r="A540" s="476" t="s">
        <v>1239</v>
      </c>
      <c r="B540" s="466">
        <v>55</v>
      </c>
      <c r="C540" s="466">
        <v>-25</v>
      </c>
      <c r="D540" s="466">
        <v>-27</v>
      </c>
      <c r="E540" s="466">
        <v>26</v>
      </c>
      <c r="F540" s="466">
        <v>21</v>
      </c>
      <c r="G540" s="468">
        <v>30</v>
      </c>
      <c r="H540" s="468">
        <v>24</v>
      </c>
      <c r="I540" s="466">
        <v>5380</v>
      </c>
      <c r="J540" s="466">
        <v>4450</v>
      </c>
      <c r="K540" s="472">
        <f t="shared" si="8"/>
        <v>4880</v>
      </c>
      <c r="L540" s="521">
        <v>666</v>
      </c>
      <c r="M540" s="521">
        <v>666</v>
      </c>
      <c r="N540" s="472">
        <v>666</v>
      </c>
      <c r="O540" s="472">
        <v>666</v>
      </c>
      <c r="P540" s="466">
        <v>18</v>
      </c>
      <c r="Q540" s="468">
        <v>23</v>
      </c>
      <c r="R540" s="466">
        <v>91</v>
      </c>
      <c r="S540" s="468">
        <v>119</v>
      </c>
      <c r="T540" s="466">
        <v>660</v>
      </c>
      <c r="U540" s="468">
        <v>820</v>
      </c>
      <c r="V540" s="468">
        <v>0.9</v>
      </c>
      <c r="W540" s="466">
        <v>900</v>
      </c>
      <c r="X540" s="468">
        <v>1040</v>
      </c>
      <c r="Y540" s="466">
        <v>180</v>
      </c>
      <c r="Z540" s="468">
        <v>190</v>
      </c>
      <c r="AA540" s="466">
        <v>3.5</v>
      </c>
      <c r="AB540" s="466">
        <v>0.6</v>
      </c>
      <c r="AC540" s="466">
        <v>5</v>
      </c>
      <c r="AD540" s="466">
        <v>0.9</v>
      </c>
      <c r="AE540" s="466">
        <v>0.39</v>
      </c>
      <c r="AF540" s="468">
        <v>0.41</v>
      </c>
      <c r="AG540" s="466">
        <v>0.5</v>
      </c>
      <c r="AH540" s="468">
        <v>0.53</v>
      </c>
      <c r="AI540" s="466">
        <v>0.75</v>
      </c>
      <c r="AJ540" s="466">
        <v>-8</v>
      </c>
      <c r="AK540" s="466">
        <v>4</v>
      </c>
      <c r="AL540" s="524">
        <v>24</v>
      </c>
      <c r="AM540" s="524">
        <v>24</v>
      </c>
    </row>
    <row r="541" spans="1:39" ht="25" customHeight="1" outlineLevel="1">
      <c r="A541" s="476" t="s">
        <v>1240</v>
      </c>
      <c r="B541" s="466">
        <v>100</v>
      </c>
      <c r="C541" s="466">
        <v>-31</v>
      </c>
      <c r="D541" s="466">
        <v>-33</v>
      </c>
      <c r="E541" s="466">
        <v>28</v>
      </c>
      <c r="F541" s="466">
        <v>21</v>
      </c>
      <c r="G541" s="468">
        <v>32</v>
      </c>
      <c r="H541" s="468">
        <v>24</v>
      </c>
      <c r="I541" s="466">
        <v>5750</v>
      </c>
      <c r="J541" s="466">
        <v>4810</v>
      </c>
      <c r="K541" s="472">
        <f t="shared" si="8"/>
        <v>5250</v>
      </c>
      <c r="L541" s="521">
        <v>666</v>
      </c>
      <c r="M541" s="521">
        <v>666</v>
      </c>
      <c r="N541" s="472">
        <v>666</v>
      </c>
      <c r="O541" s="472">
        <v>666</v>
      </c>
      <c r="P541" s="466">
        <v>22</v>
      </c>
      <c r="Q541" s="468">
        <v>29</v>
      </c>
      <c r="R541" s="466">
        <v>91</v>
      </c>
      <c r="S541" s="468">
        <v>119</v>
      </c>
      <c r="T541" s="466">
        <v>590</v>
      </c>
      <c r="U541" s="468">
        <v>720</v>
      </c>
      <c r="V541" s="468">
        <v>0.8</v>
      </c>
      <c r="W541" s="466">
        <v>910</v>
      </c>
      <c r="X541" s="468">
        <v>1030</v>
      </c>
      <c r="Y541" s="466">
        <v>140</v>
      </c>
      <c r="Z541" s="468">
        <v>150</v>
      </c>
      <c r="AA541" s="466">
        <v>3.5</v>
      </c>
      <c r="AB541" s="466">
        <v>0.3</v>
      </c>
      <c r="AC541" s="466">
        <v>5</v>
      </c>
      <c r="AD541" s="466">
        <v>0.4</v>
      </c>
      <c r="AE541" s="466">
        <v>0.27</v>
      </c>
      <c r="AF541" s="468">
        <v>0.28000000000000003</v>
      </c>
      <c r="AG541" s="466">
        <v>0.35</v>
      </c>
      <c r="AH541" s="468">
        <v>0.37</v>
      </c>
      <c r="AI541" s="466">
        <v>0.53</v>
      </c>
      <c r="AJ541" s="466">
        <v>-11</v>
      </c>
      <c r="AK541" s="466">
        <v>3.8</v>
      </c>
      <c r="AL541" s="524">
        <v>24</v>
      </c>
      <c r="AM541" s="524">
        <v>24</v>
      </c>
    </row>
    <row r="542" spans="1:39" ht="25" customHeight="1" outlineLevel="1">
      <c r="A542" s="476" t="s">
        <v>1241</v>
      </c>
      <c r="B542" s="466">
        <v>160</v>
      </c>
      <c r="C542" s="466">
        <v>-25</v>
      </c>
      <c r="D542" s="466">
        <v>-27</v>
      </c>
      <c r="E542" s="466">
        <v>29</v>
      </c>
      <c r="F542" s="466">
        <v>23</v>
      </c>
      <c r="G542" s="468">
        <v>33</v>
      </c>
      <c r="H542" s="468">
        <v>26</v>
      </c>
      <c r="I542" s="466">
        <v>4850</v>
      </c>
      <c r="J542" s="466">
        <v>3990</v>
      </c>
      <c r="K542" s="472">
        <f t="shared" si="8"/>
        <v>4350</v>
      </c>
      <c r="L542" s="521">
        <v>666</v>
      </c>
      <c r="M542" s="521">
        <v>666</v>
      </c>
      <c r="N542" s="472">
        <v>666</v>
      </c>
      <c r="O542" s="472">
        <v>666</v>
      </c>
      <c r="P542" s="466">
        <v>23</v>
      </c>
      <c r="Q542" s="468">
        <v>29</v>
      </c>
      <c r="R542" s="466">
        <v>91</v>
      </c>
      <c r="S542" s="468">
        <v>116</v>
      </c>
      <c r="T542" s="466">
        <v>900</v>
      </c>
      <c r="U542" s="468">
        <v>1060</v>
      </c>
      <c r="V542" s="468">
        <v>1.1000000000000001</v>
      </c>
      <c r="W542" s="466">
        <v>1125</v>
      </c>
      <c r="X542" s="468">
        <v>1250</v>
      </c>
      <c r="Y542" s="466">
        <v>160</v>
      </c>
      <c r="AA542" s="466">
        <v>2</v>
      </c>
      <c r="AB542" s="466">
        <v>0.4</v>
      </c>
      <c r="AC542" s="466">
        <v>2.9</v>
      </c>
      <c r="AD542" s="466">
        <v>0.6</v>
      </c>
      <c r="AE542" s="466">
        <v>0.27</v>
      </c>
      <c r="AF542" s="468">
        <v>0.28000000000000003</v>
      </c>
      <c r="AG542" s="466">
        <v>0.35</v>
      </c>
      <c r="AH542" s="468">
        <v>0.37</v>
      </c>
      <c r="AI542" s="466">
        <v>0.55000000000000004</v>
      </c>
      <c r="AJ542" s="466">
        <v>-8</v>
      </c>
      <c r="AK542" s="466">
        <v>3</v>
      </c>
      <c r="AL542" s="524">
        <v>26</v>
      </c>
      <c r="AM542" s="524">
        <v>26</v>
      </c>
    </row>
    <row r="543" spans="1:39" ht="25" customHeight="1" outlineLevel="1">
      <c r="A543" s="476" t="s">
        <v>1242</v>
      </c>
      <c r="B543" s="466">
        <v>25</v>
      </c>
      <c r="C543" s="466">
        <v>-24</v>
      </c>
      <c r="D543" s="466">
        <v>-26</v>
      </c>
      <c r="E543" s="466">
        <v>29</v>
      </c>
      <c r="F543" s="466">
        <v>23</v>
      </c>
      <c r="G543" s="468">
        <v>33</v>
      </c>
      <c r="H543" s="468">
        <v>26</v>
      </c>
      <c r="I543" s="466">
        <v>4550</v>
      </c>
      <c r="J543" s="466">
        <v>3720</v>
      </c>
      <c r="K543" s="472">
        <f t="shared" si="8"/>
        <v>4050</v>
      </c>
      <c r="L543" s="521">
        <v>666</v>
      </c>
      <c r="M543" s="521">
        <v>666</v>
      </c>
      <c r="N543" s="472">
        <v>666</v>
      </c>
      <c r="O543" s="472">
        <v>666</v>
      </c>
      <c r="P543" s="466">
        <v>23</v>
      </c>
      <c r="Q543" s="468">
        <v>30</v>
      </c>
      <c r="R543" s="466">
        <v>96</v>
      </c>
      <c r="S543" s="468">
        <v>125</v>
      </c>
      <c r="T543" s="466">
        <v>840</v>
      </c>
      <c r="U543" s="468">
        <v>1000</v>
      </c>
      <c r="V543" s="468">
        <v>1.1000000000000001</v>
      </c>
      <c r="W543" s="466">
        <v>1050</v>
      </c>
      <c r="X543" s="468">
        <v>1180</v>
      </c>
      <c r="Y543" s="466">
        <v>160</v>
      </c>
      <c r="Z543" s="468">
        <v>170</v>
      </c>
      <c r="AA543" s="466">
        <v>2.6</v>
      </c>
      <c r="AB543" s="466">
        <v>0.4</v>
      </c>
      <c r="AC543" s="466">
        <v>3.8</v>
      </c>
      <c r="AD543" s="466">
        <v>0.6</v>
      </c>
      <c r="AE543" s="466">
        <v>0.31</v>
      </c>
      <c r="AF543" s="468">
        <v>0.33</v>
      </c>
      <c r="AG543" s="466">
        <v>0.4</v>
      </c>
      <c r="AH543" s="468">
        <v>0.42</v>
      </c>
      <c r="AI543" s="466">
        <v>0.64</v>
      </c>
      <c r="AJ543" s="466">
        <v>-8</v>
      </c>
      <c r="AK543" s="466">
        <v>3.3</v>
      </c>
      <c r="AL543" s="524">
        <v>26</v>
      </c>
      <c r="AM543" s="524">
        <v>26</v>
      </c>
    </row>
    <row r="544" spans="1:39" ht="25" customHeight="1" outlineLevel="1">
      <c r="A544" s="476" t="s">
        <v>1243</v>
      </c>
      <c r="B544" s="466">
        <v>300</v>
      </c>
      <c r="C544" s="466">
        <v>-33</v>
      </c>
      <c r="D544" s="466">
        <v>-36</v>
      </c>
      <c r="E544" s="466">
        <v>29</v>
      </c>
      <c r="F544" s="466">
        <v>21</v>
      </c>
      <c r="G544" s="468">
        <v>33</v>
      </c>
      <c r="H544" s="468">
        <v>24</v>
      </c>
      <c r="I544" s="466">
        <v>6050</v>
      </c>
      <c r="J544" s="466">
        <v>5100</v>
      </c>
      <c r="K544" s="472">
        <f t="shared" si="8"/>
        <v>5550</v>
      </c>
      <c r="L544" s="521">
        <v>666</v>
      </c>
      <c r="M544" s="521">
        <v>666</v>
      </c>
      <c r="N544" s="472">
        <v>666</v>
      </c>
      <c r="O544" s="472">
        <v>666</v>
      </c>
      <c r="P544" s="466">
        <v>20</v>
      </c>
      <c r="Q544" s="468">
        <v>26</v>
      </c>
      <c r="R544" s="466">
        <v>91</v>
      </c>
      <c r="S544" s="468">
        <v>119</v>
      </c>
      <c r="T544" s="466">
        <v>650</v>
      </c>
      <c r="U544" s="468">
        <v>780</v>
      </c>
      <c r="V544" s="468">
        <v>0.8</v>
      </c>
      <c r="W544" s="466">
        <v>900</v>
      </c>
      <c r="X544" s="468">
        <v>1000</v>
      </c>
      <c r="Y544" s="466">
        <v>100</v>
      </c>
      <c r="Z544" s="468">
        <v>110</v>
      </c>
      <c r="AA544" s="466">
        <v>3.1</v>
      </c>
      <c r="AB544" s="466">
        <v>0.3</v>
      </c>
      <c r="AC544" s="466">
        <v>4.2</v>
      </c>
      <c r="AD544" s="466">
        <v>0.4</v>
      </c>
      <c r="AE544" s="466">
        <v>0.27</v>
      </c>
      <c r="AF544" s="468">
        <v>0.28000000000000003</v>
      </c>
      <c r="AG544" s="466">
        <v>0.35</v>
      </c>
      <c r="AH544" s="468">
        <v>0.37</v>
      </c>
      <c r="AI544" s="466">
        <v>0.53</v>
      </c>
      <c r="AJ544" s="466">
        <v>-11</v>
      </c>
      <c r="AK544" s="466">
        <v>3.5</v>
      </c>
      <c r="AL544" s="524">
        <v>24</v>
      </c>
      <c r="AM544" s="524">
        <v>24</v>
      </c>
    </row>
    <row r="545" spans="1:39" ht="25" customHeight="1" outlineLevel="1">
      <c r="A545" s="476" t="s">
        <v>1244</v>
      </c>
      <c r="B545" s="466">
        <v>10</v>
      </c>
      <c r="C545" s="466">
        <v>-30</v>
      </c>
      <c r="D545" s="466">
        <v>-32</v>
      </c>
      <c r="E545" s="466">
        <v>28</v>
      </c>
      <c r="F545" s="466">
        <v>22</v>
      </c>
      <c r="G545" s="468">
        <v>32</v>
      </c>
      <c r="H545" s="468">
        <v>25</v>
      </c>
      <c r="I545" s="466">
        <v>5700</v>
      </c>
      <c r="J545" s="466">
        <v>4760</v>
      </c>
      <c r="K545" s="472">
        <f t="shared" si="8"/>
        <v>5200</v>
      </c>
      <c r="L545" s="521">
        <v>666</v>
      </c>
      <c r="M545" s="521">
        <v>666</v>
      </c>
      <c r="N545" s="472">
        <v>666</v>
      </c>
      <c r="O545" s="472">
        <v>666</v>
      </c>
      <c r="P545" s="466">
        <v>18</v>
      </c>
      <c r="Q545" s="468">
        <v>23</v>
      </c>
      <c r="R545" s="466">
        <v>86</v>
      </c>
      <c r="S545" s="468">
        <v>112</v>
      </c>
      <c r="T545" s="466">
        <v>710</v>
      </c>
      <c r="U545" s="468">
        <v>860</v>
      </c>
      <c r="V545" s="468">
        <v>1</v>
      </c>
      <c r="W545" s="466">
        <v>975</v>
      </c>
      <c r="X545" s="468">
        <v>1090</v>
      </c>
      <c r="Y545" s="466">
        <v>140</v>
      </c>
      <c r="Z545" s="468">
        <v>150</v>
      </c>
      <c r="AA545" s="466">
        <v>2.7</v>
      </c>
      <c r="AB545" s="466">
        <v>0.4</v>
      </c>
      <c r="AC545" s="466">
        <v>3.7</v>
      </c>
      <c r="AD545" s="466">
        <v>0.6</v>
      </c>
      <c r="AE545" s="466">
        <v>0.28000000000000003</v>
      </c>
      <c r="AF545" s="468">
        <v>0.28999999999999998</v>
      </c>
      <c r="AG545" s="466">
        <v>0.36</v>
      </c>
      <c r="AH545" s="468">
        <v>0.38</v>
      </c>
      <c r="AI545" s="466">
        <v>0.54</v>
      </c>
      <c r="AJ545" s="466">
        <v>-10</v>
      </c>
      <c r="AK545" s="466">
        <v>4.2</v>
      </c>
      <c r="AL545" s="524">
        <v>25</v>
      </c>
      <c r="AM545" s="524">
        <v>25</v>
      </c>
    </row>
    <row r="546" spans="1:39" ht="25" customHeight="1" outlineLevel="1">
      <c r="A546" s="476" t="s">
        <v>1245</v>
      </c>
      <c r="B546" s="466">
        <v>5</v>
      </c>
      <c r="C546" s="466">
        <v>-31</v>
      </c>
      <c r="D546" s="466">
        <v>-33</v>
      </c>
      <c r="E546" s="466">
        <v>28</v>
      </c>
      <c r="F546" s="466">
        <v>21</v>
      </c>
      <c r="G546" s="468">
        <v>32</v>
      </c>
      <c r="H546" s="468">
        <v>24</v>
      </c>
      <c r="I546" s="466">
        <v>5700</v>
      </c>
      <c r="J546" s="466">
        <v>4760</v>
      </c>
      <c r="K546" s="472">
        <f t="shared" si="8"/>
        <v>5200</v>
      </c>
      <c r="L546" s="521">
        <v>666</v>
      </c>
      <c r="M546" s="521">
        <v>666</v>
      </c>
      <c r="N546" s="472">
        <v>666</v>
      </c>
      <c r="O546" s="472">
        <v>666</v>
      </c>
      <c r="P546" s="466">
        <v>18</v>
      </c>
      <c r="Q546" s="468">
        <v>23</v>
      </c>
      <c r="R546" s="466">
        <v>86</v>
      </c>
      <c r="S546" s="468">
        <v>112</v>
      </c>
      <c r="T546" s="466">
        <v>690</v>
      </c>
      <c r="U546" s="468">
        <v>840</v>
      </c>
      <c r="V546" s="468">
        <v>1</v>
      </c>
      <c r="W546" s="466">
        <v>925</v>
      </c>
      <c r="X546" s="468">
        <v>1040</v>
      </c>
      <c r="Y546" s="466">
        <v>160</v>
      </c>
      <c r="Z546" s="468">
        <v>180</v>
      </c>
      <c r="AA546" s="466">
        <v>2.7</v>
      </c>
      <c r="AB546" s="466">
        <v>0.4</v>
      </c>
      <c r="AC546" s="466">
        <v>3.7</v>
      </c>
      <c r="AD546" s="466">
        <v>0.6</v>
      </c>
      <c r="AE546" s="466">
        <v>0.3</v>
      </c>
      <c r="AF546" s="468">
        <v>0.32</v>
      </c>
      <c r="AG546" s="466">
        <v>0.38</v>
      </c>
      <c r="AH546" s="468">
        <v>0.4</v>
      </c>
      <c r="AI546" s="466">
        <v>0.56000000000000005</v>
      </c>
      <c r="AJ546" s="466">
        <v>-10</v>
      </c>
      <c r="AK546" s="466">
        <v>4.2</v>
      </c>
      <c r="AL546" s="524">
        <v>24</v>
      </c>
      <c r="AM546" s="524">
        <v>24</v>
      </c>
    </row>
    <row r="547" spans="1:39" ht="25" customHeight="1" outlineLevel="1">
      <c r="A547" s="476" t="s">
        <v>1246</v>
      </c>
      <c r="B547" s="466">
        <v>135</v>
      </c>
      <c r="C547" s="466">
        <v>-30</v>
      </c>
      <c r="D547" s="466">
        <v>-32</v>
      </c>
      <c r="E547" s="466">
        <v>28</v>
      </c>
      <c r="F547" s="466">
        <v>22</v>
      </c>
      <c r="G547" s="468">
        <v>32</v>
      </c>
      <c r="H547" s="468">
        <v>25</v>
      </c>
      <c r="I547" s="466">
        <v>5650</v>
      </c>
      <c r="J547" s="466">
        <v>4710</v>
      </c>
      <c r="K547" s="472">
        <f t="shared" si="8"/>
        <v>5150</v>
      </c>
      <c r="L547" s="521">
        <v>666</v>
      </c>
      <c r="M547" s="521">
        <v>666</v>
      </c>
      <c r="N547" s="472">
        <v>666</v>
      </c>
      <c r="O547" s="472">
        <v>666</v>
      </c>
      <c r="P547" s="466">
        <v>18</v>
      </c>
      <c r="Q547" s="468">
        <v>23</v>
      </c>
      <c r="R547" s="466">
        <v>86</v>
      </c>
      <c r="S547" s="468">
        <v>112</v>
      </c>
      <c r="T547" s="466">
        <v>710</v>
      </c>
      <c r="U547" s="468">
        <v>860</v>
      </c>
      <c r="V547" s="468">
        <v>1</v>
      </c>
      <c r="W547" s="466">
        <v>925</v>
      </c>
      <c r="X547" s="468">
        <v>1040</v>
      </c>
      <c r="Y547" s="466">
        <v>160</v>
      </c>
      <c r="Z547" s="468">
        <v>170</v>
      </c>
      <c r="AA547" s="466">
        <v>3.1</v>
      </c>
      <c r="AB547" s="466">
        <v>0.4</v>
      </c>
      <c r="AC547" s="466">
        <v>4.2</v>
      </c>
      <c r="AD547" s="466">
        <v>0.5</v>
      </c>
      <c r="AE547" s="466">
        <v>0.27</v>
      </c>
      <c r="AF547" s="468">
        <v>0.28000000000000003</v>
      </c>
      <c r="AG547" s="466">
        <v>0.35</v>
      </c>
      <c r="AH547" s="468">
        <v>0.37</v>
      </c>
      <c r="AI547" s="466">
        <v>0.53</v>
      </c>
      <c r="AJ547" s="466">
        <v>-10</v>
      </c>
      <c r="AK547" s="466">
        <v>4.2</v>
      </c>
      <c r="AL547" s="524">
        <v>25</v>
      </c>
      <c r="AM547" s="524">
        <v>25</v>
      </c>
    </row>
    <row r="548" spans="1:39" ht="25" customHeight="1" outlineLevel="1">
      <c r="A548" s="476" t="s">
        <v>1247</v>
      </c>
      <c r="B548" s="466">
        <v>140</v>
      </c>
      <c r="C548" s="466">
        <v>-30</v>
      </c>
      <c r="D548" s="466">
        <v>-32</v>
      </c>
      <c r="E548" s="466">
        <v>28</v>
      </c>
      <c r="F548" s="466">
        <v>22</v>
      </c>
      <c r="G548" s="468">
        <v>32</v>
      </c>
      <c r="H548" s="468">
        <v>25</v>
      </c>
      <c r="I548" s="466">
        <v>5650</v>
      </c>
      <c r="J548" s="466">
        <v>4710</v>
      </c>
      <c r="K548" s="472">
        <f t="shared" si="8"/>
        <v>5150</v>
      </c>
      <c r="L548" s="521">
        <v>666</v>
      </c>
      <c r="M548" s="521">
        <v>666</v>
      </c>
      <c r="N548" s="472">
        <v>666</v>
      </c>
      <c r="O548" s="472">
        <v>666</v>
      </c>
      <c r="P548" s="466">
        <v>18</v>
      </c>
      <c r="Q548" s="468">
        <v>23</v>
      </c>
      <c r="R548" s="466">
        <v>86</v>
      </c>
      <c r="S548" s="468">
        <v>112</v>
      </c>
      <c r="T548" s="466">
        <v>690</v>
      </c>
      <c r="U548" s="468">
        <v>840</v>
      </c>
      <c r="V548" s="468">
        <v>1</v>
      </c>
      <c r="W548" s="466">
        <v>925</v>
      </c>
      <c r="X548" s="468">
        <v>1040</v>
      </c>
      <c r="Y548" s="466">
        <v>160</v>
      </c>
      <c r="Z548" s="468">
        <v>170</v>
      </c>
      <c r="AA548" s="466">
        <v>3.1</v>
      </c>
      <c r="AB548" s="466">
        <v>0.4</v>
      </c>
      <c r="AC548" s="466">
        <v>4.2</v>
      </c>
      <c r="AD548" s="466">
        <v>0.5</v>
      </c>
      <c r="AE548" s="466">
        <v>0.27</v>
      </c>
      <c r="AF548" s="468">
        <v>0.28000000000000003</v>
      </c>
      <c r="AG548" s="466">
        <v>0.35</v>
      </c>
      <c r="AH548" s="468">
        <v>0.37</v>
      </c>
      <c r="AI548" s="466">
        <v>0.53</v>
      </c>
      <c r="AJ548" s="466">
        <v>-10</v>
      </c>
      <c r="AK548" s="466">
        <v>4.2</v>
      </c>
      <c r="AL548" s="524">
        <v>25</v>
      </c>
      <c r="AM548" s="524">
        <v>25</v>
      </c>
    </row>
    <row r="549" spans="1:39" ht="25" customHeight="1" outlineLevel="1">
      <c r="A549" s="476" t="s">
        <v>1248</v>
      </c>
      <c r="B549" s="466">
        <v>360</v>
      </c>
      <c r="C549" s="466">
        <v>-28</v>
      </c>
      <c r="D549" s="466">
        <v>-30</v>
      </c>
      <c r="E549" s="466">
        <v>28</v>
      </c>
      <c r="F549" s="466">
        <v>22</v>
      </c>
      <c r="G549" s="468">
        <v>32</v>
      </c>
      <c r="H549" s="468">
        <v>25</v>
      </c>
      <c r="I549" s="466">
        <v>5390</v>
      </c>
      <c r="J549" s="466">
        <v>4470</v>
      </c>
      <c r="K549" s="472">
        <f t="shared" si="8"/>
        <v>4890</v>
      </c>
      <c r="L549" s="521">
        <v>666</v>
      </c>
      <c r="M549" s="521">
        <v>666</v>
      </c>
      <c r="N549" s="472">
        <v>666</v>
      </c>
      <c r="O549" s="472">
        <v>666</v>
      </c>
      <c r="P549" s="466">
        <v>23</v>
      </c>
      <c r="Q549" s="468">
        <v>30</v>
      </c>
      <c r="R549" s="466">
        <v>96</v>
      </c>
      <c r="S549" s="468">
        <v>124</v>
      </c>
      <c r="T549" s="466">
        <v>820</v>
      </c>
      <c r="U549" s="468">
        <v>970</v>
      </c>
      <c r="V549" s="468">
        <v>1.1000000000000001</v>
      </c>
      <c r="W549" s="466">
        <v>1170</v>
      </c>
      <c r="X549" s="468">
        <v>1290</v>
      </c>
      <c r="Y549" s="466">
        <v>140</v>
      </c>
      <c r="AA549" s="466">
        <v>3.4</v>
      </c>
      <c r="AB549" s="466">
        <v>0.4</v>
      </c>
      <c r="AC549" s="466">
        <v>4.5999999999999996</v>
      </c>
      <c r="AD549" s="466">
        <v>0.6</v>
      </c>
      <c r="AE549" s="466">
        <v>0.27</v>
      </c>
      <c r="AF549" s="468">
        <v>0.28000000000000003</v>
      </c>
      <c r="AG549" s="466">
        <v>0.35</v>
      </c>
      <c r="AH549" s="468">
        <v>0.37</v>
      </c>
      <c r="AI549" s="466">
        <v>0.55000000000000004</v>
      </c>
      <c r="AJ549" s="466">
        <v>-9</v>
      </c>
      <c r="AK549" s="466">
        <v>2.2000000000000002</v>
      </c>
      <c r="AL549" s="524">
        <v>25</v>
      </c>
      <c r="AM549" s="524">
        <v>25</v>
      </c>
    </row>
    <row r="550" spans="1:39" ht="25" customHeight="1" outlineLevel="1">
      <c r="A550" s="476" t="s">
        <v>1249</v>
      </c>
      <c r="B550" s="466">
        <v>35</v>
      </c>
      <c r="C550" s="466">
        <v>-25</v>
      </c>
      <c r="D550" s="466">
        <v>-27</v>
      </c>
      <c r="E550" s="466">
        <v>29</v>
      </c>
      <c r="F550" s="466">
        <v>23</v>
      </c>
      <c r="G550" s="468">
        <v>33</v>
      </c>
      <c r="H550" s="468">
        <v>26</v>
      </c>
      <c r="I550" s="466">
        <v>4500</v>
      </c>
      <c r="J550" s="466">
        <v>3680</v>
      </c>
      <c r="K550" s="472">
        <f t="shared" si="8"/>
        <v>4000</v>
      </c>
      <c r="L550" s="521">
        <v>666</v>
      </c>
      <c r="M550" s="521">
        <v>666</v>
      </c>
      <c r="N550" s="472">
        <v>666</v>
      </c>
      <c r="O550" s="472">
        <v>666</v>
      </c>
      <c r="P550" s="466">
        <v>23</v>
      </c>
      <c r="Q550" s="468">
        <v>30</v>
      </c>
      <c r="R550" s="466">
        <v>96</v>
      </c>
      <c r="S550" s="468">
        <v>125</v>
      </c>
      <c r="T550" s="466">
        <v>820</v>
      </c>
      <c r="U550" s="468">
        <v>980</v>
      </c>
      <c r="V550" s="468">
        <v>1</v>
      </c>
      <c r="W550" s="466">
        <v>1025</v>
      </c>
      <c r="X550" s="468">
        <v>1160</v>
      </c>
      <c r="Y550" s="466">
        <v>160</v>
      </c>
      <c r="Z550" s="468">
        <v>170</v>
      </c>
      <c r="AA550" s="466">
        <v>2.4</v>
      </c>
      <c r="AB550" s="466">
        <v>0.4</v>
      </c>
      <c r="AC550" s="466">
        <v>3.5</v>
      </c>
      <c r="AD550" s="466">
        <v>0.6</v>
      </c>
      <c r="AE550" s="466">
        <v>0.28999999999999998</v>
      </c>
      <c r="AF550" s="468">
        <v>0.3</v>
      </c>
      <c r="AG550" s="466">
        <v>0.37</v>
      </c>
      <c r="AH550" s="468">
        <v>0.39</v>
      </c>
      <c r="AI550" s="466">
        <v>0.57999999999999996</v>
      </c>
      <c r="AJ550" s="466">
        <v>-8</v>
      </c>
      <c r="AK550" s="466">
        <v>3.3</v>
      </c>
      <c r="AL550" s="524">
        <v>26</v>
      </c>
      <c r="AM550" s="524">
        <v>26</v>
      </c>
    </row>
    <row r="551" spans="1:39" ht="25" customHeight="1" outlineLevel="1">
      <c r="A551" s="476" t="s">
        <v>1250</v>
      </c>
      <c r="B551" s="466">
        <v>105</v>
      </c>
      <c r="C551" s="466">
        <v>-32</v>
      </c>
      <c r="D551" s="466">
        <v>-34</v>
      </c>
      <c r="E551" s="466">
        <v>28</v>
      </c>
      <c r="F551" s="466">
        <v>22</v>
      </c>
      <c r="G551" s="468">
        <v>32</v>
      </c>
      <c r="H551" s="468">
        <v>25</v>
      </c>
      <c r="I551" s="466">
        <v>5850</v>
      </c>
      <c r="J551" s="466">
        <v>4900</v>
      </c>
      <c r="K551" s="472">
        <f t="shared" si="8"/>
        <v>5350</v>
      </c>
      <c r="L551" s="521">
        <v>666</v>
      </c>
      <c r="M551" s="521">
        <v>666</v>
      </c>
      <c r="N551" s="472">
        <v>666</v>
      </c>
      <c r="O551" s="472">
        <v>666</v>
      </c>
      <c r="P551" s="466">
        <v>22</v>
      </c>
      <c r="Q551" s="468">
        <v>29</v>
      </c>
      <c r="R551" s="466">
        <v>91</v>
      </c>
      <c r="S551" s="468">
        <v>119</v>
      </c>
      <c r="T551" s="466">
        <v>570</v>
      </c>
      <c r="U551" s="468">
        <v>700</v>
      </c>
      <c r="V551" s="468">
        <v>0.8</v>
      </c>
      <c r="W551" s="466">
        <v>900</v>
      </c>
      <c r="X551" s="468">
        <v>1020</v>
      </c>
      <c r="Y551" s="466">
        <v>140</v>
      </c>
      <c r="Z551" s="468">
        <v>150</v>
      </c>
      <c r="AA551" s="466">
        <v>3.5</v>
      </c>
      <c r="AB551" s="466">
        <v>0.3</v>
      </c>
      <c r="AC551" s="466">
        <v>4.9000000000000004</v>
      </c>
      <c r="AD551" s="466">
        <v>0.4</v>
      </c>
      <c r="AE551" s="466">
        <v>0.27</v>
      </c>
      <c r="AF551" s="468">
        <v>0.28000000000000003</v>
      </c>
      <c r="AG551" s="466">
        <v>0.35</v>
      </c>
      <c r="AH551" s="468">
        <v>0.37</v>
      </c>
      <c r="AI551" s="466">
        <v>0.53</v>
      </c>
      <c r="AJ551" s="466">
        <v>-11</v>
      </c>
      <c r="AK551" s="466">
        <v>3.8</v>
      </c>
      <c r="AL551" s="524">
        <v>25</v>
      </c>
      <c r="AM551" s="524">
        <v>25</v>
      </c>
    </row>
    <row r="552" spans="1:39" ht="25" customHeight="1" outlineLevel="1">
      <c r="A552" s="476" t="s">
        <v>1251</v>
      </c>
      <c r="B552" s="466">
        <v>35</v>
      </c>
      <c r="C552" s="466">
        <v>-25</v>
      </c>
      <c r="D552" s="466">
        <v>-27</v>
      </c>
      <c r="E552" s="466">
        <v>26</v>
      </c>
      <c r="F552" s="466">
        <v>21</v>
      </c>
      <c r="G552" s="468">
        <v>30</v>
      </c>
      <c r="H552" s="468">
        <v>24</v>
      </c>
      <c r="I552" s="466">
        <v>5400</v>
      </c>
      <c r="J552" s="466">
        <v>4470</v>
      </c>
      <c r="K552" s="472">
        <f t="shared" si="8"/>
        <v>4900</v>
      </c>
      <c r="L552" s="521">
        <v>666</v>
      </c>
      <c r="M552" s="521">
        <v>666</v>
      </c>
      <c r="N552" s="472">
        <v>666</v>
      </c>
      <c r="O552" s="472">
        <v>666</v>
      </c>
      <c r="P552" s="466">
        <v>18</v>
      </c>
      <c r="Q552" s="468">
        <v>23</v>
      </c>
      <c r="R552" s="466">
        <v>91</v>
      </c>
      <c r="S552" s="468">
        <v>119</v>
      </c>
      <c r="T552" s="466">
        <v>660</v>
      </c>
      <c r="U552" s="468">
        <v>820</v>
      </c>
      <c r="V552" s="468">
        <v>1</v>
      </c>
      <c r="W552" s="466">
        <v>925</v>
      </c>
      <c r="X552" s="468">
        <v>1070</v>
      </c>
      <c r="Y552" s="466">
        <v>180</v>
      </c>
      <c r="Z552" s="468">
        <v>190</v>
      </c>
      <c r="AA552" s="466">
        <v>3.2</v>
      </c>
      <c r="AB552" s="466">
        <v>0.6</v>
      </c>
      <c r="AC552" s="466">
        <v>4.5999999999999996</v>
      </c>
      <c r="AD552" s="466">
        <v>0.9</v>
      </c>
      <c r="AE552" s="466">
        <v>0.39</v>
      </c>
      <c r="AF552" s="468">
        <v>0.41</v>
      </c>
      <c r="AG552" s="466">
        <v>0.5</v>
      </c>
      <c r="AH552" s="468">
        <v>0.53</v>
      </c>
      <c r="AI552" s="466">
        <v>0.75</v>
      </c>
      <c r="AJ552" s="466">
        <v>-8</v>
      </c>
      <c r="AK552" s="466">
        <v>4</v>
      </c>
      <c r="AL552" s="524">
        <v>24</v>
      </c>
      <c r="AM552" s="524">
        <v>24</v>
      </c>
    </row>
    <row r="553" spans="1:39" ht="25" customHeight="1" outlineLevel="1">
      <c r="A553" s="476" t="s">
        <v>1252</v>
      </c>
      <c r="B553" s="466">
        <v>25</v>
      </c>
      <c r="C553" s="466">
        <v>-24</v>
      </c>
      <c r="D553" s="466">
        <v>-26</v>
      </c>
      <c r="E553" s="466">
        <v>30</v>
      </c>
      <c r="F553" s="466">
        <v>23</v>
      </c>
      <c r="G553" s="468">
        <v>34</v>
      </c>
      <c r="H553" s="468">
        <v>26</v>
      </c>
      <c r="I553" s="466">
        <v>4490</v>
      </c>
      <c r="J553" s="466">
        <v>3670</v>
      </c>
      <c r="K553" s="472">
        <f t="shared" si="8"/>
        <v>3990</v>
      </c>
      <c r="L553" s="521">
        <v>666</v>
      </c>
      <c r="M553" s="521">
        <v>666</v>
      </c>
      <c r="N553" s="472">
        <v>666</v>
      </c>
      <c r="O553" s="472">
        <v>666</v>
      </c>
      <c r="P553" s="466">
        <v>23</v>
      </c>
      <c r="Q553" s="468">
        <v>30</v>
      </c>
      <c r="R553" s="466">
        <v>91</v>
      </c>
      <c r="S553" s="468">
        <v>118</v>
      </c>
      <c r="T553" s="466">
        <v>820</v>
      </c>
      <c r="U553" s="468">
        <v>980</v>
      </c>
      <c r="V553" s="468">
        <v>1</v>
      </c>
      <c r="W553" s="466">
        <v>1020</v>
      </c>
      <c r="X553" s="468">
        <v>1150</v>
      </c>
      <c r="Y553" s="466">
        <v>180</v>
      </c>
      <c r="Z553" s="468">
        <v>190</v>
      </c>
      <c r="AA553" s="466">
        <v>2.5</v>
      </c>
      <c r="AB553" s="466">
        <v>0.4</v>
      </c>
      <c r="AC553" s="466">
        <v>3.7</v>
      </c>
      <c r="AD553" s="466">
        <v>0.6</v>
      </c>
      <c r="AE553" s="466">
        <v>0.34</v>
      </c>
      <c r="AF553" s="468">
        <v>0.36</v>
      </c>
      <c r="AG553" s="466">
        <v>0.44</v>
      </c>
      <c r="AH553" s="468">
        <v>0.46</v>
      </c>
      <c r="AI553" s="466">
        <v>0.69</v>
      </c>
      <c r="AJ553" s="466">
        <v>-8</v>
      </c>
      <c r="AK553" s="466">
        <v>4.5999999999999996</v>
      </c>
      <c r="AL553" s="524">
        <v>26</v>
      </c>
      <c r="AM553" s="524">
        <v>26</v>
      </c>
    </row>
    <row r="554" spans="1:39" ht="25" customHeight="1" outlineLevel="1">
      <c r="A554" s="476" t="s">
        <v>1253</v>
      </c>
      <c r="B554" s="466">
        <v>310</v>
      </c>
      <c r="C554" s="466">
        <v>-26</v>
      </c>
      <c r="D554" s="466">
        <v>-28</v>
      </c>
      <c r="E554" s="466">
        <v>26</v>
      </c>
      <c r="F554" s="466">
        <v>21</v>
      </c>
      <c r="G554" s="468">
        <v>30</v>
      </c>
      <c r="H554" s="468">
        <v>24</v>
      </c>
      <c r="I554" s="466">
        <v>5520</v>
      </c>
      <c r="J554" s="466">
        <v>4590</v>
      </c>
      <c r="K554" s="472">
        <f t="shared" si="8"/>
        <v>5020</v>
      </c>
      <c r="L554" s="521">
        <v>666</v>
      </c>
      <c r="M554" s="521">
        <v>666</v>
      </c>
      <c r="N554" s="472">
        <v>666</v>
      </c>
      <c r="O554" s="472">
        <v>666</v>
      </c>
      <c r="P554" s="466">
        <v>22</v>
      </c>
      <c r="Q554" s="468">
        <v>29</v>
      </c>
      <c r="R554" s="466">
        <v>91</v>
      </c>
      <c r="S554" s="468">
        <v>118</v>
      </c>
      <c r="T554" s="466">
        <v>740</v>
      </c>
      <c r="U554" s="468">
        <v>910</v>
      </c>
      <c r="V554" s="468">
        <v>1</v>
      </c>
      <c r="W554" s="466">
        <v>1025</v>
      </c>
      <c r="X554" s="468">
        <v>1170</v>
      </c>
      <c r="Y554" s="466">
        <v>180</v>
      </c>
      <c r="Z554" s="468">
        <v>190</v>
      </c>
      <c r="AA554" s="466">
        <v>4.4000000000000004</v>
      </c>
      <c r="AB554" s="466">
        <v>0.6</v>
      </c>
      <c r="AC554" s="466">
        <v>6.3</v>
      </c>
      <c r="AD554" s="466">
        <v>0.9</v>
      </c>
      <c r="AE554" s="466">
        <v>0.31</v>
      </c>
      <c r="AF554" s="468">
        <v>0.33</v>
      </c>
      <c r="AG554" s="466">
        <v>0.4</v>
      </c>
      <c r="AH554" s="468">
        <v>0.42</v>
      </c>
      <c r="AI554" s="466">
        <v>0.61</v>
      </c>
      <c r="AJ554" s="466">
        <v>-8</v>
      </c>
      <c r="AK554" s="466">
        <v>3</v>
      </c>
      <c r="AL554" s="524">
        <v>24</v>
      </c>
      <c r="AM554" s="524">
        <v>24</v>
      </c>
    </row>
    <row r="555" spans="1:39" ht="25" customHeight="1" outlineLevel="1">
      <c r="A555" s="476" t="s">
        <v>1254</v>
      </c>
      <c r="B555" s="466">
        <v>35</v>
      </c>
      <c r="C555" s="466">
        <v>-24</v>
      </c>
      <c r="D555" s="466">
        <v>-27</v>
      </c>
      <c r="E555" s="466">
        <v>30</v>
      </c>
      <c r="F555" s="466">
        <v>23</v>
      </c>
      <c r="G555" s="468">
        <v>34</v>
      </c>
      <c r="H555" s="468">
        <v>26</v>
      </c>
      <c r="I555" s="466">
        <v>4500</v>
      </c>
      <c r="J555" s="466">
        <v>3680</v>
      </c>
      <c r="K555" s="472">
        <f t="shared" si="8"/>
        <v>4000</v>
      </c>
      <c r="L555" s="521">
        <v>666</v>
      </c>
      <c r="M555" s="521">
        <v>666</v>
      </c>
      <c r="N555" s="472">
        <v>666</v>
      </c>
      <c r="O555" s="472">
        <v>666</v>
      </c>
      <c r="P555" s="466">
        <v>21</v>
      </c>
      <c r="Q555" s="468">
        <v>27</v>
      </c>
      <c r="R555" s="466">
        <v>91</v>
      </c>
      <c r="S555" s="468">
        <v>118</v>
      </c>
      <c r="T555" s="466">
        <v>840</v>
      </c>
      <c r="U555" s="468">
        <v>1000</v>
      </c>
      <c r="V555" s="468">
        <v>1.1000000000000001</v>
      </c>
      <c r="W555" s="466">
        <v>1030</v>
      </c>
      <c r="X555" s="468">
        <v>1150</v>
      </c>
      <c r="Y555" s="466">
        <v>160</v>
      </c>
      <c r="AA555" s="466">
        <v>2.2999999999999998</v>
      </c>
      <c r="AB555" s="466">
        <v>0.4</v>
      </c>
      <c r="AC555" s="466">
        <v>3.3</v>
      </c>
      <c r="AD555" s="466">
        <v>0.6</v>
      </c>
      <c r="AE555" s="466">
        <v>0.27</v>
      </c>
      <c r="AF555" s="468">
        <v>0.28000000000000003</v>
      </c>
      <c r="AG555" s="466">
        <v>0.35</v>
      </c>
      <c r="AH555" s="468">
        <v>0.37</v>
      </c>
      <c r="AI555" s="466">
        <v>0.55000000000000004</v>
      </c>
      <c r="AJ555" s="466">
        <v>-8</v>
      </c>
      <c r="AK555" s="466">
        <v>3.5</v>
      </c>
      <c r="AL555" s="524">
        <v>26</v>
      </c>
      <c r="AM555" s="524">
        <v>26</v>
      </c>
    </row>
    <row r="556" spans="1:39" ht="25" customHeight="1" outlineLevel="1">
      <c r="A556" s="476" t="s">
        <v>1255</v>
      </c>
      <c r="B556" s="466">
        <v>35</v>
      </c>
      <c r="C556" s="466">
        <v>-24</v>
      </c>
      <c r="D556" s="466">
        <v>-26</v>
      </c>
      <c r="E556" s="466">
        <v>29</v>
      </c>
      <c r="F556" s="466">
        <v>23</v>
      </c>
      <c r="G556" s="468">
        <v>33</v>
      </c>
      <c r="H556" s="468">
        <v>26</v>
      </c>
      <c r="I556" s="466">
        <v>4450</v>
      </c>
      <c r="J556" s="466">
        <v>3630</v>
      </c>
      <c r="K556" s="472">
        <f t="shared" si="8"/>
        <v>3950</v>
      </c>
      <c r="L556" s="521">
        <v>666</v>
      </c>
      <c r="M556" s="521">
        <v>666</v>
      </c>
      <c r="N556" s="472">
        <v>666</v>
      </c>
      <c r="O556" s="472">
        <v>666</v>
      </c>
      <c r="P556" s="466">
        <v>23</v>
      </c>
      <c r="Q556" s="468">
        <v>30</v>
      </c>
      <c r="R556" s="466">
        <v>91</v>
      </c>
      <c r="S556" s="468">
        <v>118</v>
      </c>
      <c r="T556" s="466">
        <v>880</v>
      </c>
      <c r="U556" s="468">
        <v>1050</v>
      </c>
      <c r="V556" s="468">
        <v>1.1000000000000001</v>
      </c>
      <c r="W556" s="466">
        <v>1010</v>
      </c>
      <c r="X556" s="468">
        <v>1140</v>
      </c>
      <c r="Y556" s="466">
        <v>180</v>
      </c>
      <c r="AA556" s="466">
        <v>2.2000000000000002</v>
      </c>
      <c r="AB556" s="466">
        <v>0.4</v>
      </c>
      <c r="AC556" s="466">
        <v>3.3</v>
      </c>
      <c r="AD556" s="466">
        <v>0.6</v>
      </c>
      <c r="AE556" s="466">
        <v>0.32</v>
      </c>
      <c r="AF556" s="468">
        <v>0.34</v>
      </c>
      <c r="AG556" s="466">
        <v>0.41</v>
      </c>
      <c r="AH556" s="468">
        <v>0.43</v>
      </c>
      <c r="AI556" s="466">
        <v>0.64</v>
      </c>
      <c r="AJ556" s="466">
        <v>-8</v>
      </c>
      <c r="AK556" s="466">
        <v>3</v>
      </c>
      <c r="AL556" s="524">
        <v>26</v>
      </c>
      <c r="AM556" s="524">
        <v>26</v>
      </c>
    </row>
    <row r="557" spans="1:39" ht="25" customHeight="1" outlineLevel="1">
      <c r="A557" s="476" t="s">
        <v>1256</v>
      </c>
      <c r="B557" s="466">
        <v>95</v>
      </c>
      <c r="C557" s="466">
        <v>-26</v>
      </c>
      <c r="D557" s="466">
        <v>-28</v>
      </c>
      <c r="E557" s="466">
        <v>29</v>
      </c>
      <c r="F557" s="466">
        <v>23</v>
      </c>
      <c r="G557" s="468">
        <v>33</v>
      </c>
      <c r="H557" s="468">
        <v>26</v>
      </c>
      <c r="I557" s="466">
        <v>4820</v>
      </c>
      <c r="J557" s="466">
        <v>3960</v>
      </c>
      <c r="K557" s="472">
        <f t="shared" si="8"/>
        <v>4320</v>
      </c>
      <c r="L557" s="521">
        <v>666</v>
      </c>
      <c r="M557" s="521">
        <v>666</v>
      </c>
      <c r="N557" s="472">
        <v>666</v>
      </c>
      <c r="O557" s="472">
        <v>666</v>
      </c>
      <c r="P557" s="466">
        <v>23</v>
      </c>
      <c r="Q557" s="468">
        <v>30</v>
      </c>
      <c r="R557" s="466">
        <v>96</v>
      </c>
      <c r="S557" s="468">
        <v>125</v>
      </c>
      <c r="T557" s="466">
        <v>830</v>
      </c>
      <c r="U557" s="468">
        <v>990</v>
      </c>
      <c r="V557" s="468">
        <v>1.1000000000000001</v>
      </c>
      <c r="W557" s="466">
        <v>1025</v>
      </c>
      <c r="X557" s="468">
        <v>1150</v>
      </c>
      <c r="Y557" s="466">
        <v>160</v>
      </c>
      <c r="Z557" s="468">
        <v>170</v>
      </c>
      <c r="AA557" s="466">
        <v>2.7</v>
      </c>
      <c r="AB557" s="466">
        <v>0.4</v>
      </c>
      <c r="AC557" s="466">
        <v>3.9</v>
      </c>
      <c r="AD557" s="466">
        <v>0.6</v>
      </c>
      <c r="AE557" s="466">
        <v>0.28999999999999998</v>
      </c>
      <c r="AF557" s="468">
        <v>0.3</v>
      </c>
      <c r="AG557" s="466">
        <v>0.37</v>
      </c>
      <c r="AH557" s="468">
        <v>0.39</v>
      </c>
      <c r="AI557" s="466">
        <v>0.57999999999999996</v>
      </c>
      <c r="AJ557" s="466">
        <v>-8</v>
      </c>
      <c r="AK557" s="466">
        <v>2.5</v>
      </c>
      <c r="AL557" s="524">
        <v>26</v>
      </c>
      <c r="AM557" s="524">
        <v>26</v>
      </c>
    </row>
    <row r="558" spans="1:39" ht="25" customHeight="1" outlineLevel="1">
      <c r="A558" s="476" t="s">
        <v>1257</v>
      </c>
      <c r="B558" s="466">
        <v>230</v>
      </c>
      <c r="C558" s="466">
        <v>-29</v>
      </c>
      <c r="D558" s="466">
        <v>-31</v>
      </c>
      <c r="E558" s="466">
        <v>28</v>
      </c>
      <c r="F558" s="466">
        <v>22</v>
      </c>
      <c r="G558" s="468">
        <v>32</v>
      </c>
      <c r="H558" s="468">
        <v>25</v>
      </c>
      <c r="I558" s="466">
        <v>5250</v>
      </c>
      <c r="J558" s="466">
        <v>4340</v>
      </c>
      <c r="K558" s="472">
        <f t="shared" si="8"/>
        <v>4750</v>
      </c>
      <c r="L558" s="521">
        <v>666</v>
      </c>
      <c r="M558" s="521">
        <v>666</v>
      </c>
      <c r="N558" s="472">
        <v>666</v>
      </c>
      <c r="O558" s="472">
        <v>666</v>
      </c>
      <c r="P558" s="466">
        <v>23</v>
      </c>
      <c r="Q558" s="468">
        <v>30</v>
      </c>
      <c r="R558" s="466">
        <v>96</v>
      </c>
      <c r="S558" s="468">
        <v>124</v>
      </c>
      <c r="T558" s="466">
        <v>810</v>
      </c>
      <c r="U558" s="468">
        <v>960</v>
      </c>
      <c r="V558" s="468">
        <v>1.1000000000000001</v>
      </c>
      <c r="W558" s="466">
        <v>1025</v>
      </c>
      <c r="X558" s="468">
        <v>1130</v>
      </c>
      <c r="Y558" s="466">
        <v>160</v>
      </c>
      <c r="AA558" s="466">
        <v>2.8</v>
      </c>
      <c r="AB558" s="466">
        <v>0.4</v>
      </c>
      <c r="AC558" s="466">
        <v>3.8</v>
      </c>
      <c r="AD558" s="466">
        <v>0.5</v>
      </c>
      <c r="AE558" s="466">
        <v>0.26</v>
      </c>
      <c r="AF558" s="468">
        <v>0.27</v>
      </c>
      <c r="AG558" s="466">
        <v>0.33</v>
      </c>
      <c r="AH558" s="468">
        <v>0.35</v>
      </c>
      <c r="AI558" s="466">
        <v>0.51</v>
      </c>
      <c r="AJ558" s="466">
        <v>-9</v>
      </c>
      <c r="AK558" s="466">
        <v>2.2000000000000002</v>
      </c>
      <c r="AL558" s="524">
        <v>25</v>
      </c>
      <c r="AM558" s="524">
        <v>25</v>
      </c>
    </row>
    <row r="559" spans="1:39" ht="25" customHeight="1" outlineLevel="1">
      <c r="A559" s="476" t="s">
        <v>1258</v>
      </c>
      <c r="B559" s="466">
        <v>60</v>
      </c>
      <c r="C559" s="466">
        <v>-24</v>
      </c>
      <c r="D559" s="466">
        <v>-26</v>
      </c>
      <c r="E559" s="466">
        <v>30</v>
      </c>
      <c r="F559" s="466">
        <v>23</v>
      </c>
      <c r="G559" s="468">
        <v>34</v>
      </c>
      <c r="H559" s="468">
        <v>26</v>
      </c>
      <c r="I559" s="466">
        <v>4520</v>
      </c>
      <c r="J559" s="466">
        <v>3700</v>
      </c>
      <c r="K559" s="472">
        <f t="shared" si="8"/>
        <v>4020</v>
      </c>
      <c r="L559" s="521">
        <v>666</v>
      </c>
      <c r="M559" s="521">
        <v>666</v>
      </c>
      <c r="N559" s="472">
        <v>666</v>
      </c>
      <c r="O559" s="472">
        <v>666</v>
      </c>
      <c r="P559" s="466">
        <v>23</v>
      </c>
      <c r="Q559" s="468">
        <v>30</v>
      </c>
      <c r="R559" s="466">
        <v>96</v>
      </c>
      <c r="S559" s="468">
        <v>124</v>
      </c>
      <c r="T559" s="466">
        <v>750</v>
      </c>
      <c r="U559" s="468">
        <v>900</v>
      </c>
      <c r="V559" s="468">
        <v>1</v>
      </c>
      <c r="W559" s="466">
        <v>950</v>
      </c>
      <c r="X559" s="468">
        <v>1070</v>
      </c>
      <c r="Y559" s="466">
        <v>180</v>
      </c>
      <c r="Z559" s="468">
        <v>190</v>
      </c>
      <c r="AA559" s="466">
        <v>2.2999999999999998</v>
      </c>
      <c r="AB559" s="466">
        <v>0.4</v>
      </c>
      <c r="AC559" s="466">
        <v>3.4</v>
      </c>
      <c r="AD559" s="466">
        <v>0.6</v>
      </c>
      <c r="AE559" s="466">
        <v>0.33</v>
      </c>
      <c r="AF559" s="468">
        <v>0.35</v>
      </c>
      <c r="AG559" s="466">
        <v>0.42</v>
      </c>
      <c r="AH559" s="468">
        <v>0.44</v>
      </c>
      <c r="AI559" s="466">
        <v>0.65</v>
      </c>
      <c r="AJ559" s="466">
        <v>-8</v>
      </c>
      <c r="AK559" s="466">
        <v>3</v>
      </c>
      <c r="AL559" s="524">
        <v>26</v>
      </c>
      <c r="AM559" s="524">
        <v>26</v>
      </c>
    </row>
    <row r="560" spans="1:39" ht="25" customHeight="1" outlineLevel="1">
      <c r="A560" s="476" t="s">
        <v>1259</v>
      </c>
      <c r="B560" s="466">
        <v>65</v>
      </c>
      <c r="C560" s="466">
        <v>-25</v>
      </c>
      <c r="D560" s="466">
        <v>-28</v>
      </c>
      <c r="E560" s="466">
        <v>28</v>
      </c>
      <c r="F560" s="466">
        <v>22</v>
      </c>
      <c r="G560" s="468">
        <v>32</v>
      </c>
      <c r="H560" s="468">
        <v>25</v>
      </c>
      <c r="I560" s="466">
        <v>4990</v>
      </c>
      <c r="J560" s="466">
        <v>4070</v>
      </c>
      <c r="K560" s="472">
        <f t="shared" si="8"/>
        <v>4490</v>
      </c>
      <c r="L560" s="521">
        <v>666</v>
      </c>
      <c r="M560" s="521">
        <v>666</v>
      </c>
      <c r="N560" s="472">
        <v>666</v>
      </c>
      <c r="O560" s="472">
        <v>666</v>
      </c>
      <c r="P560" s="466">
        <v>20</v>
      </c>
      <c r="Q560" s="468">
        <v>26</v>
      </c>
      <c r="R560" s="466">
        <v>102</v>
      </c>
      <c r="S560" s="468">
        <v>133</v>
      </c>
      <c r="T560" s="466">
        <v>890</v>
      </c>
      <c r="U560" s="468">
        <v>1070</v>
      </c>
      <c r="V560" s="468">
        <v>1.1000000000000001</v>
      </c>
      <c r="W560" s="466">
        <v>1200</v>
      </c>
      <c r="X560" s="468">
        <v>1340</v>
      </c>
      <c r="Y560" s="466">
        <v>200</v>
      </c>
      <c r="Z560" s="468">
        <v>210</v>
      </c>
      <c r="AA560" s="466">
        <v>3.5</v>
      </c>
      <c r="AB560" s="466">
        <v>0.6</v>
      </c>
      <c r="AC560" s="466">
        <v>4.9000000000000004</v>
      </c>
      <c r="AD560" s="466">
        <v>0.8</v>
      </c>
      <c r="AE560" s="466">
        <v>0.33</v>
      </c>
      <c r="AF560" s="468">
        <v>0.35</v>
      </c>
      <c r="AG560" s="466">
        <v>0.42</v>
      </c>
      <c r="AH560" s="468">
        <v>0.44</v>
      </c>
      <c r="AI560" s="466">
        <v>0.65</v>
      </c>
      <c r="AJ560" s="466">
        <v>-9</v>
      </c>
      <c r="AK560" s="466">
        <v>4</v>
      </c>
      <c r="AL560" s="524">
        <v>25</v>
      </c>
      <c r="AM560" s="524">
        <v>25</v>
      </c>
    </row>
    <row r="561" spans="1:39" ht="25" customHeight="1" outlineLevel="1">
      <c r="A561" s="476" t="s">
        <v>1260</v>
      </c>
      <c r="B561" s="466">
        <v>50</v>
      </c>
      <c r="C561" s="466">
        <v>-23</v>
      </c>
      <c r="D561" s="466">
        <v>-25</v>
      </c>
      <c r="E561" s="466">
        <v>29</v>
      </c>
      <c r="F561" s="466">
        <v>23</v>
      </c>
      <c r="G561" s="468">
        <v>33</v>
      </c>
      <c r="H561" s="468">
        <v>26</v>
      </c>
      <c r="I561" s="466">
        <v>4400</v>
      </c>
      <c r="J561" s="466">
        <v>3590</v>
      </c>
      <c r="K561" s="472">
        <f t="shared" si="8"/>
        <v>3900</v>
      </c>
      <c r="L561" s="521">
        <v>666</v>
      </c>
      <c r="M561" s="521">
        <v>666</v>
      </c>
      <c r="N561" s="472">
        <v>666</v>
      </c>
      <c r="O561" s="472">
        <v>666</v>
      </c>
      <c r="P561" s="466">
        <v>23</v>
      </c>
      <c r="Q561" s="468">
        <v>30</v>
      </c>
      <c r="R561" s="466">
        <v>96</v>
      </c>
      <c r="S561" s="468">
        <v>124</v>
      </c>
      <c r="T561" s="466">
        <v>760</v>
      </c>
      <c r="U561" s="468">
        <v>910</v>
      </c>
      <c r="V561" s="468">
        <v>1</v>
      </c>
      <c r="W561" s="466">
        <v>900</v>
      </c>
      <c r="X561" s="468">
        <v>1020</v>
      </c>
      <c r="Y561" s="466">
        <v>180</v>
      </c>
      <c r="AA561" s="466">
        <v>2.2999999999999998</v>
      </c>
      <c r="AB561" s="466">
        <v>0.4</v>
      </c>
      <c r="AC561" s="466">
        <v>3.4</v>
      </c>
      <c r="AD561" s="466">
        <v>0.6</v>
      </c>
      <c r="AE561" s="466">
        <v>0.33</v>
      </c>
      <c r="AF561" s="468">
        <v>0.35</v>
      </c>
      <c r="AG561" s="466">
        <v>0.42</v>
      </c>
      <c r="AH561" s="468">
        <v>0.44</v>
      </c>
      <c r="AI561" s="466">
        <v>0.65</v>
      </c>
      <c r="AJ561" s="466">
        <v>-8</v>
      </c>
      <c r="AK561" s="466">
        <v>3.1</v>
      </c>
      <c r="AL561" s="524">
        <v>26</v>
      </c>
      <c r="AM561" s="524">
        <v>26</v>
      </c>
    </row>
    <row r="562" spans="1:39" ht="25" customHeight="1" outlineLevel="1">
      <c r="A562" s="476" t="s">
        <v>1261</v>
      </c>
      <c r="B562" s="466">
        <v>550</v>
      </c>
      <c r="C562" s="466">
        <v>-37</v>
      </c>
      <c r="D562" s="466">
        <v>-39</v>
      </c>
      <c r="E562" s="466">
        <v>24</v>
      </c>
      <c r="F562" s="466">
        <v>16</v>
      </c>
      <c r="G562" s="468">
        <v>28</v>
      </c>
      <c r="H562" s="468">
        <v>20</v>
      </c>
      <c r="I562" s="466">
        <v>8550</v>
      </c>
      <c r="J562" s="466">
        <v>7520</v>
      </c>
      <c r="K562" s="472">
        <f t="shared" si="8"/>
        <v>8050</v>
      </c>
      <c r="L562" s="521">
        <v>666</v>
      </c>
      <c r="M562" s="521">
        <v>666</v>
      </c>
      <c r="N562" s="472">
        <v>666</v>
      </c>
      <c r="O562" s="472">
        <v>666</v>
      </c>
      <c r="P562" s="466">
        <v>13</v>
      </c>
      <c r="Q562" s="468">
        <v>17</v>
      </c>
      <c r="R562" s="466">
        <v>64</v>
      </c>
      <c r="S562" s="468">
        <v>86</v>
      </c>
      <c r="T562" s="466">
        <v>410</v>
      </c>
      <c r="U562" s="468">
        <v>540</v>
      </c>
      <c r="V562" s="468">
        <v>0.8</v>
      </c>
      <c r="W562" s="466">
        <v>800</v>
      </c>
      <c r="X562" s="468">
        <v>950</v>
      </c>
      <c r="Y562" s="466">
        <v>180</v>
      </c>
      <c r="Z562" s="468">
        <v>200</v>
      </c>
      <c r="AA562" s="466">
        <v>4.5</v>
      </c>
      <c r="AB562" s="466">
        <v>0.3</v>
      </c>
      <c r="AC562" s="466">
        <v>6.4</v>
      </c>
      <c r="AD562" s="466">
        <v>0.4</v>
      </c>
      <c r="AE562" s="466">
        <v>0.33</v>
      </c>
      <c r="AF562" s="468">
        <v>0.35</v>
      </c>
      <c r="AG562" s="466">
        <v>0.42</v>
      </c>
      <c r="AH562" s="468">
        <v>0.44</v>
      </c>
      <c r="AI562" s="466">
        <v>0.59</v>
      </c>
      <c r="AJ562" s="466">
        <v>-15</v>
      </c>
      <c r="AK562" s="466">
        <v>4.2</v>
      </c>
      <c r="AL562" s="524">
        <v>20</v>
      </c>
      <c r="AM562" s="524">
        <v>20</v>
      </c>
    </row>
    <row r="563" spans="1:39" ht="25" customHeight="1" outlineLevel="1">
      <c r="A563" s="476" t="s">
        <v>1262</v>
      </c>
      <c r="B563" s="466">
        <v>310</v>
      </c>
      <c r="C563" s="466">
        <v>-34</v>
      </c>
      <c r="D563" s="466">
        <v>-36</v>
      </c>
      <c r="E563" s="466">
        <v>29</v>
      </c>
      <c r="F563" s="466">
        <v>21</v>
      </c>
      <c r="G563" s="468">
        <v>33</v>
      </c>
      <c r="H563" s="468">
        <v>24</v>
      </c>
      <c r="I563" s="466">
        <v>6180</v>
      </c>
      <c r="J563" s="466">
        <v>5220</v>
      </c>
      <c r="K563" s="472">
        <f t="shared" si="8"/>
        <v>5680</v>
      </c>
      <c r="L563" s="521">
        <v>666</v>
      </c>
      <c r="M563" s="521">
        <v>666</v>
      </c>
      <c r="N563" s="472">
        <v>666</v>
      </c>
      <c r="O563" s="472">
        <v>666</v>
      </c>
      <c r="P563" s="466">
        <v>22</v>
      </c>
      <c r="Q563" s="468">
        <v>29</v>
      </c>
      <c r="R563" s="466">
        <v>91</v>
      </c>
      <c r="S563" s="468">
        <v>119</v>
      </c>
      <c r="T563" s="466">
        <v>740</v>
      </c>
      <c r="U563" s="468">
        <v>890</v>
      </c>
      <c r="V563" s="468">
        <v>0.9</v>
      </c>
      <c r="W563" s="466">
        <v>925</v>
      </c>
      <c r="X563" s="468">
        <v>1030</v>
      </c>
      <c r="Y563" s="466">
        <v>100</v>
      </c>
      <c r="Z563" s="468">
        <v>110</v>
      </c>
      <c r="AA563" s="466">
        <v>3.3</v>
      </c>
      <c r="AB563" s="466">
        <v>0.3</v>
      </c>
      <c r="AC563" s="466">
        <v>4.5999999999999996</v>
      </c>
      <c r="AD563" s="466">
        <v>0.4</v>
      </c>
      <c r="AE563" s="466">
        <v>0.25</v>
      </c>
      <c r="AF563" s="468">
        <v>0.26</v>
      </c>
      <c r="AG563" s="466">
        <v>0.32</v>
      </c>
      <c r="AH563" s="468">
        <v>0.34</v>
      </c>
      <c r="AI563" s="466">
        <v>0.47</v>
      </c>
      <c r="AJ563" s="466">
        <v>-11</v>
      </c>
      <c r="AK563" s="466">
        <v>3.8</v>
      </c>
      <c r="AL563" s="524">
        <v>24</v>
      </c>
      <c r="AM563" s="524">
        <v>24</v>
      </c>
    </row>
    <row r="564" spans="1:39" ht="25" customHeight="1" outlineLevel="1">
      <c r="A564" s="476" t="s">
        <v>1263</v>
      </c>
      <c r="B564" s="466">
        <v>5</v>
      </c>
      <c r="C564" s="466">
        <v>-29</v>
      </c>
      <c r="D564" s="466">
        <v>-31</v>
      </c>
      <c r="E564" s="466">
        <v>24</v>
      </c>
      <c r="F564" s="466">
        <v>18</v>
      </c>
      <c r="G564" s="468">
        <v>28</v>
      </c>
      <c r="H564" s="468">
        <v>22</v>
      </c>
      <c r="I564" s="466">
        <v>6200</v>
      </c>
      <c r="J564" s="466">
        <v>5240</v>
      </c>
      <c r="K564" s="472">
        <f t="shared" si="8"/>
        <v>5700</v>
      </c>
      <c r="L564" s="521">
        <v>666</v>
      </c>
      <c r="M564" s="521">
        <v>666</v>
      </c>
      <c r="N564" s="472">
        <v>666</v>
      </c>
      <c r="O564" s="472">
        <v>666</v>
      </c>
      <c r="P564" s="466">
        <v>15</v>
      </c>
      <c r="Q564" s="468">
        <v>20</v>
      </c>
      <c r="R564" s="466">
        <v>106</v>
      </c>
      <c r="S564" s="468">
        <v>139</v>
      </c>
      <c r="T564" s="466">
        <v>760</v>
      </c>
      <c r="U564" s="468">
        <v>960</v>
      </c>
      <c r="V564" s="468">
        <v>1.1000000000000001</v>
      </c>
      <c r="W564" s="466">
        <v>1125</v>
      </c>
      <c r="X564" s="468">
        <v>1270</v>
      </c>
      <c r="Y564" s="466">
        <v>300</v>
      </c>
      <c r="Z564" s="468">
        <v>330</v>
      </c>
      <c r="AA564" s="466">
        <v>4.0999999999999996</v>
      </c>
      <c r="AB564" s="466">
        <v>0.4</v>
      </c>
      <c r="AC564" s="466">
        <v>6</v>
      </c>
      <c r="AD564" s="466">
        <v>0.6</v>
      </c>
      <c r="AE564" s="466">
        <v>0.42</v>
      </c>
      <c r="AF564" s="468">
        <v>0.44</v>
      </c>
      <c r="AG564" s="466">
        <v>0.54</v>
      </c>
      <c r="AH564" s="468">
        <v>0.56999999999999995</v>
      </c>
      <c r="AI564" s="466">
        <v>0.8</v>
      </c>
      <c r="AJ564" s="466">
        <v>-9</v>
      </c>
      <c r="AK564" s="466">
        <v>3.9</v>
      </c>
      <c r="AL564" s="524">
        <v>22</v>
      </c>
      <c r="AM564" s="524">
        <v>22</v>
      </c>
    </row>
    <row r="565" spans="1:39" ht="25" customHeight="1" outlineLevel="1">
      <c r="A565" s="476" t="s">
        <v>1264</v>
      </c>
      <c r="B565" s="466">
        <v>60</v>
      </c>
      <c r="C565" s="466">
        <v>-26</v>
      </c>
      <c r="D565" s="466">
        <v>-29</v>
      </c>
      <c r="E565" s="466">
        <v>29</v>
      </c>
      <c r="F565" s="466">
        <v>23</v>
      </c>
      <c r="G565" s="468">
        <v>33</v>
      </c>
      <c r="H565" s="468">
        <v>26</v>
      </c>
      <c r="I565" s="466">
        <v>5050</v>
      </c>
      <c r="J565" s="466">
        <v>4130</v>
      </c>
      <c r="K565" s="472">
        <f t="shared" si="8"/>
        <v>4550</v>
      </c>
      <c r="L565" s="521">
        <v>666</v>
      </c>
      <c r="M565" s="521">
        <v>666</v>
      </c>
      <c r="N565" s="472">
        <v>666</v>
      </c>
      <c r="O565" s="472">
        <v>666</v>
      </c>
      <c r="P565" s="466">
        <v>22</v>
      </c>
      <c r="Q565" s="468">
        <v>29</v>
      </c>
      <c r="R565" s="466">
        <v>102</v>
      </c>
      <c r="S565" s="468">
        <v>133</v>
      </c>
      <c r="T565" s="466">
        <v>820</v>
      </c>
      <c r="U565" s="468">
        <v>980</v>
      </c>
      <c r="V565" s="468">
        <v>1.1000000000000001</v>
      </c>
      <c r="W565" s="466">
        <v>1050</v>
      </c>
      <c r="X565" s="468">
        <v>1180</v>
      </c>
      <c r="Y565" s="466">
        <v>180</v>
      </c>
      <c r="Z565" s="468">
        <v>190</v>
      </c>
      <c r="AA565" s="466">
        <v>3.1</v>
      </c>
      <c r="AB565" s="466">
        <v>0.4</v>
      </c>
      <c r="AC565" s="466">
        <v>4.3</v>
      </c>
      <c r="AD565" s="466">
        <v>0.6</v>
      </c>
      <c r="AE565" s="466">
        <v>0.27</v>
      </c>
      <c r="AF565" s="468">
        <v>0.28000000000000003</v>
      </c>
      <c r="AG565" s="466">
        <v>0.35</v>
      </c>
      <c r="AH565" s="468">
        <v>0.37</v>
      </c>
      <c r="AI565" s="466">
        <v>0.55000000000000004</v>
      </c>
      <c r="AJ565" s="466">
        <v>-9</v>
      </c>
      <c r="AK565" s="466">
        <v>2.2000000000000002</v>
      </c>
      <c r="AL565" s="524">
        <v>26</v>
      </c>
      <c r="AM565" s="524">
        <v>26</v>
      </c>
    </row>
    <row r="566" spans="1:39" ht="25" customHeight="1" outlineLevel="1">
      <c r="A566" s="476" t="s">
        <v>1265</v>
      </c>
      <c r="B566" s="466">
        <v>170</v>
      </c>
      <c r="C566" s="466">
        <v>-27</v>
      </c>
      <c r="D566" s="466">
        <v>-30</v>
      </c>
      <c r="E566" s="466">
        <v>30</v>
      </c>
      <c r="F566" s="466">
        <v>23</v>
      </c>
      <c r="G566" s="468">
        <v>34</v>
      </c>
      <c r="H566" s="468">
        <v>26</v>
      </c>
      <c r="I566" s="466">
        <v>4880</v>
      </c>
      <c r="J566" s="466">
        <v>3970</v>
      </c>
      <c r="K566" s="472">
        <f t="shared" si="8"/>
        <v>4380</v>
      </c>
      <c r="L566" s="521">
        <v>666</v>
      </c>
      <c r="M566" s="521">
        <v>666</v>
      </c>
      <c r="N566" s="472">
        <v>666</v>
      </c>
      <c r="O566" s="472">
        <v>666</v>
      </c>
      <c r="P566" s="466">
        <v>23</v>
      </c>
      <c r="Q566" s="468">
        <v>30</v>
      </c>
      <c r="R566" s="466">
        <v>96</v>
      </c>
      <c r="S566" s="468">
        <v>124</v>
      </c>
      <c r="T566" s="466">
        <v>670</v>
      </c>
      <c r="U566" s="468">
        <v>800</v>
      </c>
      <c r="V566" s="468">
        <v>0.9</v>
      </c>
      <c r="W566" s="466">
        <v>880</v>
      </c>
      <c r="X566" s="468">
        <v>990</v>
      </c>
      <c r="Y566" s="466">
        <v>160</v>
      </c>
      <c r="AA566" s="466">
        <v>2.8</v>
      </c>
      <c r="AB566" s="466">
        <v>0.4</v>
      </c>
      <c r="AC566" s="466">
        <v>4</v>
      </c>
      <c r="AD566" s="466">
        <v>0.6</v>
      </c>
      <c r="AE566" s="466">
        <v>0.27</v>
      </c>
      <c r="AF566" s="468">
        <v>0.28000000000000003</v>
      </c>
      <c r="AG566" s="466">
        <v>0.35</v>
      </c>
      <c r="AH566" s="468">
        <v>0.37</v>
      </c>
      <c r="AI566" s="466">
        <v>0.55000000000000004</v>
      </c>
      <c r="AJ566" s="466">
        <v>-8</v>
      </c>
      <c r="AK566" s="466">
        <v>2.8</v>
      </c>
      <c r="AL566" s="524">
        <v>26</v>
      </c>
      <c r="AM566" s="524">
        <v>26</v>
      </c>
    </row>
    <row r="567" spans="1:39" ht="25" customHeight="1" outlineLevel="1">
      <c r="A567" s="476" t="s">
        <v>1266</v>
      </c>
      <c r="B567" s="466">
        <v>185</v>
      </c>
      <c r="C567" s="466">
        <v>-28</v>
      </c>
      <c r="D567" s="466">
        <v>-30</v>
      </c>
      <c r="E567" s="466">
        <v>29</v>
      </c>
      <c r="F567" s="466">
        <v>23</v>
      </c>
      <c r="G567" s="468">
        <v>33</v>
      </c>
      <c r="H567" s="468">
        <v>26</v>
      </c>
      <c r="I567" s="466">
        <v>4700</v>
      </c>
      <c r="J567" s="466">
        <v>3790</v>
      </c>
      <c r="K567" s="472">
        <f t="shared" si="8"/>
        <v>4200</v>
      </c>
      <c r="L567" s="521">
        <v>666</v>
      </c>
      <c r="M567" s="521">
        <v>666</v>
      </c>
      <c r="N567" s="472">
        <v>666</v>
      </c>
      <c r="O567" s="472">
        <v>666</v>
      </c>
      <c r="P567" s="466">
        <v>23</v>
      </c>
      <c r="Q567" s="468">
        <v>29</v>
      </c>
      <c r="R567" s="466">
        <v>96</v>
      </c>
      <c r="S567" s="468">
        <v>123</v>
      </c>
      <c r="T567" s="466">
        <v>900</v>
      </c>
      <c r="U567" s="468">
        <v>1060</v>
      </c>
      <c r="V567" s="468">
        <v>1.1000000000000001</v>
      </c>
      <c r="W567" s="466">
        <v>1100</v>
      </c>
      <c r="X567" s="468">
        <v>1220</v>
      </c>
      <c r="Y567" s="466">
        <v>160</v>
      </c>
      <c r="AA567" s="466">
        <v>2.2000000000000002</v>
      </c>
      <c r="AB567" s="466">
        <v>0.6</v>
      </c>
      <c r="AC567" s="466">
        <v>3.2</v>
      </c>
      <c r="AD567" s="466">
        <v>0.9</v>
      </c>
      <c r="AE567" s="466">
        <v>0.25</v>
      </c>
      <c r="AF567" s="468">
        <v>0.26</v>
      </c>
      <c r="AG567" s="466">
        <v>0.32</v>
      </c>
      <c r="AH567" s="468">
        <v>0.34</v>
      </c>
      <c r="AI567" s="466">
        <v>0.5</v>
      </c>
      <c r="AJ567" s="466">
        <v>-8</v>
      </c>
      <c r="AK567" s="466">
        <v>3.1</v>
      </c>
      <c r="AL567" s="524">
        <v>26</v>
      </c>
      <c r="AM567" s="524">
        <v>26</v>
      </c>
    </row>
    <row r="568" spans="1:39" ht="25" customHeight="1" outlineLevel="1">
      <c r="A568" s="476" t="s">
        <v>1267</v>
      </c>
      <c r="B568" s="466">
        <v>10</v>
      </c>
      <c r="C568" s="466">
        <v>-25</v>
      </c>
      <c r="D568" s="466">
        <v>-27</v>
      </c>
      <c r="E568" s="466">
        <v>29</v>
      </c>
      <c r="F568" s="466">
        <v>23</v>
      </c>
      <c r="G568" s="468">
        <v>33</v>
      </c>
      <c r="H568" s="468">
        <v>26</v>
      </c>
      <c r="I568" s="466">
        <v>4550</v>
      </c>
      <c r="J568" s="466">
        <v>3720</v>
      </c>
      <c r="K568" s="472">
        <f t="shared" si="8"/>
        <v>4050</v>
      </c>
      <c r="L568" s="521">
        <v>666</v>
      </c>
      <c r="M568" s="521">
        <v>666</v>
      </c>
      <c r="N568" s="472">
        <v>666</v>
      </c>
      <c r="O568" s="472">
        <v>666</v>
      </c>
      <c r="P568" s="466">
        <v>20</v>
      </c>
      <c r="Q568" s="468">
        <v>26</v>
      </c>
      <c r="R568" s="466">
        <v>102</v>
      </c>
      <c r="S568" s="468">
        <v>133</v>
      </c>
      <c r="T568" s="466">
        <v>800</v>
      </c>
      <c r="U568" s="468">
        <v>960</v>
      </c>
      <c r="V568" s="468">
        <v>1</v>
      </c>
      <c r="W568" s="466">
        <v>975</v>
      </c>
      <c r="X568" s="468">
        <v>1100</v>
      </c>
      <c r="Y568" s="466">
        <v>180</v>
      </c>
      <c r="Z568" s="468">
        <v>190</v>
      </c>
      <c r="AA568" s="466">
        <v>2.8</v>
      </c>
      <c r="AB568" s="466">
        <v>0.4</v>
      </c>
      <c r="AC568" s="466">
        <v>4.0999999999999996</v>
      </c>
      <c r="AD568" s="466">
        <v>0.6</v>
      </c>
      <c r="AE568" s="466">
        <v>0.34</v>
      </c>
      <c r="AF568" s="468">
        <v>0.36</v>
      </c>
      <c r="AG568" s="466">
        <v>0.43</v>
      </c>
      <c r="AH568" s="468">
        <v>0.45</v>
      </c>
      <c r="AI568" s="466">
        <v>0.66</v>
      </c>
      <c r="AJ568" s="466">
        <v>-8</v>
      </c>
      <c r="AK568" s="466">
        <v>3.5</v>
      </c>
      <c r="AL568" s="524">
        <v>26</v>
      </c>
      <c r="AM568" s="524">
        <v>26</v>
      </c>
    </row>
    <row r="569" spans="1:39" ht="25" customHeight="1" outlineLevel="1">
      <c r="A569" s="476" t="s">
        <v>1268</v>
      </c>
      <c r="B569" s="466">
        <v>185</v>
      </c>
      <c r="C569" s="466">
        <v>-25</v>
      </c>
      <c r="D569" s="466">
        <v>-27</v>
      </c>
      <c r="E569" s="466">
        <v>29</v>
      </c>
      <c r="F569" s="466">
        <v>23</v>
      </c>
      <c r="G569" s="468">
        <v>33</v>
      </c>
      <c r="H569" s="468">
        <v>26</v>
      </c>
      <c r="I569" s="466">
        <v>4600</v>
      </c>
      <c r="J569" s="466">
        <v>3770</v>
      </c>
      <c r="K569" s="472">
        <f t="shared" si="8"/>
        <v>4100</v>
      </c>
      <c r="L569" s="521">
        <v>666</v>
      </c>
      <c r="M569" s="521">
        <v>666</v>
      </c>
      <c r="N569" s="472">
        <v>666</v>
      </c>
      <c r="O569" s="472">
        <v>666</v>
      </c>
      <c r="P569" s="466">
        <v>23</v>
      </c>
      <c r="Q569" s="468">
        <v>29</v>
      </c>
      <c r="R569" s="466">
        <v>96</v>
      </c>
      <c r="S569" s="468">
        <v>123</v>
      </c>
      <c r="T569" s="466">
        <v>990</v>
      </c>
      <c r="U569" s="468">
        <v>1170</v>
      </c>
      <c r="V569" s="468">
        <v>1.2</v>
      </c>
      <c r="W569" s="466">
        <v>1260</v>
      </c>
      <c r="X569" s="468">
        <v>1400</v>
      </c>
      <c r="Y569" s="466">
        <v>160</v>
      </c>
      <c r="AA569" s="466">
        <v>2.4</v>
      </c>
      <c r="AB569" s="466">
        <v>0.4</v>
      </c>
      <c r="AC569" s="466">
        <v>3.5</v>
      </c>
      <c r="AD569" s="466">
        <v>0.6</v>
      </c>
      <c r="AE569" s="466">
        <v>0.28999999999999998</v>
      </c>
      <c r="AF569" s="468">
        <v>0.3</v>
      </c>
      <c r="AG569" s="466">
        <v>0.37</v>
      </c>
      <c r="AH569" s="468">
        <v>0.39</v>
      </c>
      <c r="AI569" s="466">
        <v>0.57999999999999996</v>
      </c>
      <c r="AJ569" s="466">
        <v>-8</v>
      </c>
      <c r="AK569" s="466">
        <v>2.8</v>
      </c>
      <c r="AL569" s="524">
        <v>26</v>
      </c>
      <c r="AM569" s="524">
        <v>26</v>
      </c>
    </row>
    <row r="570" spans="1:39" ht="25" customHeight="1" outlineLevel="1">
      <c r="A570" s="476" t="s">
        <v>1269</v>
      </c>
      <c r="B570" s="466">
        <v>65</v>
      </c>
      <c r="C570" s="466">
        <v>-26</v>
      </c>
      <c r="D570" s="466">
        <v>-28</v>
      </c>
      <c r="E570" s="466">
        <v>27</v>
      </c>
      <c r="F570" s="466">
        <v>21</v>
      </c>
      <c r="G570" s="468">
        <v>31</v>
      </c>
      <c r="H570" s="468">
        <v>24</v>
      </c>
      <c r="I570" s="466">
        <v>5450</v>
      </c>
      <c r="J570" s="466">
        <v>4520</v>
      </c>
      <c r="K570" s="472">
        <f t="shared" si="8"/>
        <v>4950</v>
      </c>
      <c r="L570" s="521">
        <v>666</v>
      </c>
      <c r="M570" s="521">
        <v>666</v>
      </c>
      <c r="N570" s="472">
        <v>666</v>
      </c>
      <c r="O570" s="472">
        <v>666</v>
      </c>
      <c r="P570" s="466">
        <v>18</v>
      </c>
      <c r="Q570" s="468">
        <v>23</v>
      </c>
      <c r="R570" s="466">
        <v>96</v>
      </c>
      <c r="S570" s="468">
        <v>125</v>
      </c>
      <c r="T570" s="466">
        <v>700</v>
      </c>
      <c r="U570" s="468">
        <v>880</v>
      </c>
      <c r="V570" s="468">
        <v>1</v>
      </c>
      <c r="W570" s="466">
        <v>1000</v>
      </c>
      <c r="X570" s="468">
        <v>1150</v>
      </c>
      <c r="Y570" s="466">
        <v>180</v>
      </c>
      <c r="Z570" s="468">
        <v>190</v>
      </c>
      <c r="AA570" s="466">
        <v>3.7</v>
      </c>
      <c r="AB570" s="466">
        <v>0.4</v>
      </c>
      <c r="AC570" s="466">
        <v>5.3</v>
      </c>
      <c r="AD570" s="466">
        <v>0.6</v>
      </c>
      <c r="AE570" s="466">
        <v>0.41</v>
      </c>
      <c r="AF570" s="468">
        <v>0.43</v>
      </c>
      <c r="AG570" s="466">
        <v>0.52</v>
      </c>
      <c r="AH570" s="468">
        <v>0.55000000000000004</v>
      </c>
      <c r="AI570" s="466">
        <v>0.77</v>
      </c>
      <c r="AJ570" s="466">
        <v>-10</v>
      </c>
      <c r="AK570" s="466">
        <v>6.9</v>
      </c>
      <c r="AL570" s="524">
        <v>24</v>
      </c>
      <c r="AM570" s="524">
        <v>24</v>
      </c>
    </row>
    <row r="571" spans="1:39" ht="25" customHeight="1" outlineLevel="1">
      <c r="A571" s="476" t="s">
        <v>1270</v>
      </c>
      <c r="B571" s="466">
        <v>240</v>
      </c>
      <c r="C571" s="466">
        <v>-30</v>
      </c>
      <c r="D571" s="466">
        <v>-32</v>
      </c>
      <c r="E571" s="466">
        <v>30</v>
      </c>
      <c r="F571" s="466">
        <v>22</v>
      </c>
      <c r="G571" s="468">
        <v>34</v>
      </c>
      <c r="H571" s="468">
        <v>25</v>
      </c>
      <c r="I571" s="466">
        <v>5020</v>
      </c>
      <c r="J571" s="466">
        <v>4100</v>
      </c>
      <c r="K571" s="472">
        <f t="shared" si="8"/>
        <v>4520</v>
      </c>
      <c r="L571" s="521">
        <v>666</v>
      </c>
      <c r="M571" s="521">
        <v>666</v>
      </c>
      <c r="N571" s="472">
        <v>666</v>
      </c>
      <c r="O571" s="472">
        <v>666</v>
      </c>
      <c r="P571" s="466">
        <v>23</v>
      </c>
      <c r="Q571" s="468">
        <v>30</v>
      </c>
      <c r="R571" s="466">
        <v>96</v>
      </c>
      <c r="S571" s="468">
        <v>124</v>
      </c>
      <c r="T571" s="466">
        <v>730</v>
      </c>
      <c r="U571" s="468">
        <v>870</v>
      </c>
      <c r="V571" s="468">
        <v>0.9</v>
      </c>
      <c r="W571" s="466">
        <v>940</v>
      </c>
      <c r="X571" s="468">
        <v>1030</v>
      </c>
      <c r="Y571" s="466">
        <v>100</v>
      </c>
      <c r="AA571" s="466">
        <v>2.5</v>
      </c>
      <c r="AB571" s="466">
        <v>0.4</v>
      </c>
      <c r="AC571" s="466">
        <v>3.3</v>
      </c>
      <c r="AD571" s="466">
        <v>0.5</v>
      </c>
      <c r="AE571" s="466">
        <v>0.25</v>
      </c>
      <c r="AF571" s="468">
        <v>0.26</v>
      </c>
      <c r="AG571" s="466">
        <v>0.32</v>
      </c>
      <c r="AH571" s="468">
        <v>0.34</v>
      </c>
      <c r="AI571" s="466">
        <v>0.5</v>
      </c>
      <c r="AJ571" s="466">
        <v>-9</v>
      </c>
      <c r="AK571" s="466">
        <v>2.7</v>
      </c>
      <c r="AL571" s="524">
        <v>25</v>
      </c>
      <c r="AM571" s="524">
        <v>25</v>
      </c>
    </row>
    <row r="572" spans="1:39" ht="25" customHeight="1" outlineLevel="1">
      <c r="A572" s="476" t="s">
        <v>1271</v>
      </c>
      <c r="B572" s="466">
        <v>20</v>
      </c>
      <c r="C572" s="466">
        <v>-25</v>
      </c>
      <c r="D572" s="466">
        <v>-27</v>
      </c>
      <c r="E572" s="466">
        <v>29</v>
      </c>
      <c r="F572" s="466">
        <v>23</v>
      </c>
      <c r="G572" s="468">
        <v>33</v>
      </c>
      <c r="H572" s="468">
        <v>26</v>
      </c>
      <c r="I572" s="466">
        <v>4500</v>
      </c>
      <c r="J572" s="466">
        <v>3680</v>
      </c>
      <c r="K572" s="472">
        <f t="shared" si="8"/>
        <v>4000</v>
      </c>
      <c r="L572" s="521">
        <v>666</v>
      </c>
      <c r="M572" s="521">
        <v>666</v>
      </c>
      <c r="N572" s="472">
        <v>666</v>
      </c>
      <c r="O572" s="472">
        <v>666</v>
      </c>
      <c r="P572" s="466">
        <v>23</v>
      </c>
      <c r="Q572" s="468">
        <v>30</v>
      </c>
      <c r="R572" s="466">
        <v>96</v>
      </c>
      <c r="S572" s="468">
        <v>124</v>
      </c>
      <c r="T572" s="466">
        <v>830</v>
      </c>
      <c r="U572" s="468">
        <v>990</v>
      </c>
      <c r="V572" s="468">
        <v>1</v>
      </c>
      <c r="W572" s="466">
        <v>1025</v>
      </c>
      <c r="X572" s="468">
        <v>1150</v>
      </c>
      <c r="Y572" s="466">
        <v>160</v>
      </c>
      <c r="Z572" s="468">
        <v>170</v>
      </c>
      <c r="AA572" s="466">
        <v>2.6</v>
      </c>
      <c r="AB572" s="466">
        <v>0.4</v>
      </c>
      <c r="AC572" s="466">
        <v>3.8</v>
      </c>
      <c r="AD572" s="466">
        <v>0.6</v>
      </c>
      <c r="AE572" s="466">
        <v>0.31</v>
      </c>
      <c r="AF572" s="468">
        <v>0.33</v>
      </c>
      <c r="AG572" s="466">
        <v>0.4</v>
      </c>
      <c r="AH572" s="468">
        <v>0.42</v>
      </c>
      <c r="AI572" s="466">
        <v>0.64</v>
      </c>
      <c r="AJ572" s="466">
        <v>-8</v>
      </c>
      <c r="AK572" s="466">
        <v>3.5</v>
      </c>
      <c r="AL572" s="524">
        <v>26</v>
      </c>
      <c r="AM572" s="524">
        <v>26</v>
      </c>
    </row>
    <row r="573" spans="1:39" ht="25" customHeight="1" outlineLevel="1">
      <c r="A573" s="476" t="s">
        <v>1272</v>
      </c>
      <c r="B573" s="466">
        <v>330</v>
      </c>
      <c r="C573" s="466">
        <v>-26</v>
      </c>
      <c r="D573" s="466">
        <v>-28</v>
      </c>
      <c r="E573" s="466">
        <v>28</v>
      </c>
      <c r="F573" s="466">
        <v>22</v>
      </c>
      <c r="G573" s="468">
        <v>32</v>
      </c>
      <c r="H573" s="468">
        <v>25</v>
      </c>
      <c r="I573" s="466">
        <v>5120</v>
      </c>
      <c r="J573" s="466">
        <v>4200</v>
      </c>
      <c r="K573" s="472">
        <f t="shared" si="8"/>
        <v>4620</v>
      </c>
      <c r="L573" s="521">
        <v>666</v>
      </c>
      <c r="M573" s="521">
        <v>666</v>
      </c>
      <c r="N573" s="472">
        <v>666</v>
      </c>
      <c r="O573" s="472">
        <v>666</v>
      </c>
      <c r="P573" s="466">
        <v>22</v>
      </c>
      <c r="Q573" s="468">
        <v>28</v>
      </c>
      <c r="R573" s="466">
        <v>107</v>
      </c>
      <c r="S573" s="468">
        <v>138</v>
      </c>
      <c r="T573" s="466">
        <v>950</v>
      </c>
      <c r="U573" s="468">
        <v>1130</v>
      </c>
      <c r="V573" s="468">
        <v>1.2</v>
      </c>
      <c r="W573" s="466">
        <v>1230</v>
      </c>
      <c r="X573" s="468">
        <v>1370</v>
      </c>
      <c r="Y573" s="466">
        <v>160</v>
      </c>
      <c r="AA573" s="466">
        <v>3.5</v>
      </c>
      <c r="AB573" s="466">
        <v>0.6</v>
      </c>
      <c r="AC573" s="466">
        <v>5</v>
      </c>
      <c r="AD573" s="466">
        <v>0.9</v>
      </c>
      <c r="AE573" s="466">
        <v>0.27</v>
      </c>
      <c r="AF573" s="468">
        <v>0.28000000000000003</v>
      </c>
      <c r="AG573" s="466">
        <v>0.35</v>
      </c>
      <c r="AH573" s="468">
        <v>0.37</v>
      </c>
      <c r="AI573" s="466">
        <v>0.55000000000000004</v>
      </c>
      <c r="AJ573" s="466">
        <v>-9</v>
      </c>
      <c r="AK573" s="466">
        <v>3.2</v>
      </c>
      <c r="AL573" s="524">
        <v>25</v>
      </c>
      <c r="AM573" s="524">
        <v>25</v>
      </c>
    </row>
    <row r="574" spans="1:39" ht="25" customHeight="1" outlineLevel="1">
      <c r="A574" s="476" t="s">
        <v>1273</v>
      </c>
      <c r="B574" s="466">
        <v>50</v>
      </c>
      <c r="C574" s="466">
        <v>-26</v>
      </c>
      <c r="D574" s="466">
        <v>-28</v>
      </c>
      <c r="E574" s="466">
        <v>30</v>
      </c>
      <c r="F574" s="466">
        <v>23</v>
      </c>
      <c r="G574" s="468">
        <v>34</v>
      </c>
      <c r="H574" s="468">
        <v>26</v>
      </c>
      <c r="I574" s="466">
        <v>4820</v>
      </c>
      <c r="J574" s="466">
        <v>3910</v>
      </c>
      <c r="K574" s="472">
        <f t="shared" si="8"/>
        <v>4320</v>
      </c>
      <c r="L574" s="521">
        <v>666</v>
      </c>
      <c r="M574" s="521">
        <v>666</v>
      </c>
      <c r="N574" s="472">
        <v>666</v>
      </c>
      <c r="O574" s="472">
        <v>666</v>
      </c>
      <c r="P574" s="466">
        <v>23</v>
      </c>
      <c r="Q574" s="468">
        <v>30</v>
      </c>
      <c r="R574" s="466">
        <v>91</v>
      </c>
      <c r="S574" s="468">
        <v>118</v>
      </c>
      <c r="T574" s="466">
        <v>800</v>
      </c>
      <c r="U574" s="468">
        <v>940</v>
      </c>
      <c r="V574" s="468">
        <v>1</v>
      </c>
      <c r="W574" s="466">
        <v>950</v>
      </c>
      <c r="X574" s="468">
        <v>1050</v>
      </c>
      <c r="Y574" s="466">
        <v>160</v>
      </c>
      <c r="AA574" s="466">
        <v>2.4</v>
      </c>
      <c r="AB574" s="466">
        <v>0.4</v>
      </c>
      <c r="AC574" s="466">
        <v>3.3</v>
      </c>
      <c r="AD574" s="466">
        <v>0.6</v>
      </c>
      <c r="AE574" s="466">
        <v>0.31</v>
      </c>
      <c r="AF574" s="468">
        <v>0.33</v>
      </c>
      <c r="AG574" s="466">
        <v>0.4</v>
      </c>
      <c r="AH574" s="468">
        <v>0.42</v>
      </c>
      <c r="AI574" s="466">
        <v>0.64</v>
      </c>
      <c r="AJ574" s="466">
        <v>-8</v>
      </c>
      <c r="AK574" s="466">
        <v>2.5</v>
      </c>
      <c r="AL574" s="524">
        <v>26</v>
      </c>
      <c r="AM574" s="524">
        <v>26</v>
      </c>
    </row>
    <row r="575" spans="1:39" ht="25" customHeight="1" outlineLevel="1">
      <c r="A575" s="476" t="s">
        <v>1274</v>
      </c>
      <c r="B575" s="466">
        <v>25</v>
      </c>
      <c r="C575" s="466">
        <v>-25</v>
      </c>
      <c r="D575" s="466">
        <v>-28</v>
      </c>
      <c r="E575" s="466">
        <v>29</v>
      </c>
      <c r="F575" s="466">
        <v>23</v>
      </c>
      <c r="G575" s="468">
        <v>33</v>
      </c>
      <c r="H575" s="468">
        <v>26</v>
      </c>
      <c r="I575" s="466">
        <v>4900</v>
      </c>
      <c r="J575" s="466">
        <v>3980</v>
      </c>
      <c r="K575" s="472">
        <f t="shared" si="8"/>
        <v>4400</v>
      </c>
      <c r="L575" s="521">
        <v>666</v>
      </c>
      <c r="M575" s="521">
        <v>666</v>
      </c>
      <c r="N575" s="472">
        <v>666</v>
      </c>
      <c r="O575" s="472">
        <v>666</v>
      </c>
      <c r="P575" s="466">
        <v>20</v>
      </c>
      <c r="Q575" s="468">
        <v>26</v>
      </c>
      <c r="R575" s="466">
        <v>107</v>
      </c>
      <c r="S575" s="468">
        <v>140</v>
      </c>
      <c r="T575" s="466">
        <v>860</v>
      </c>
      <c r="U575" s="468">
        <v>1030</v>
      </c>
      <c r="V575" s="468">
        <v>1.1000000000000001</v>
      </c>
      <c r="W575" s="466">
        <v>1050</v>
      </c>
      <c r="X575" s="468">
        <v>1180</v>
      </c>
      <c r="Y575" s="466">
        <v>180</v>
      </c>
      <c r="Z575" s="468">
        <v>190</v>
      </c>
      <c r="AA575" s="466">
        <v>2.8</v>
      </c>
      <c r="AB575" s="466">
        <v>0.4</v>
      </c>
      <c r="AC575" s="466">
        <v>4</v>
      </c>
      <c r="AD575" s="466">
        <v>0.6</v>
      </c>
      <c r="AE575" s="466">
        <v>0.34</v>
      </c>
      <c r="AF575" s="468">
        <v>0.36</v>
      </c>
      <c r="AG575" s="466">
        <v>0.43</v>
      </c>
      <c r="AH575" s="468">
        <v>0.45</v>
      </c>
      <c r="AI575" s="466">
        <v>0.66</v>
      </c>
      <c r="AJ575" s="466">
        <v>-9</v>
      </c>
      <c r="AK575" s="466">
        <v>3.1</v>
      </c>
      <c r="AL575" s="524">
        <v>26</v>
      </c>
      <c r="AM575" s="524">
        <v>26</v>
      </c>
    </row>
    <row r="576" spans="1:39" ht="25" customHeight="1" outlineLevel="1">
      <c r="A576" s="476" t="s">
        <v>1275</v>
      </c>
      <c r="B576" s="466">
        <v>245</v>
      </c>
      <c r="C576" s="466">
        <v>-26</v>
      </c>
      <c r="D576" s="466">
        <v>-28</v>
      </c>
      <c r="E576" s="466">
        <v>29</v>
      </c>
      <c r="F576" s="466">
        <v>22</v>
      </c>
      <c r="G576" s="468">
        <v>33</v>
      </c>
      <c r="H576" s="468">
        <v>25</v>
      </c>
      <c r="I576" s="466">
        <v>4800</v>
      </c>
      <c r="J576" s="466">
        <v>3890</v>
      </c>
      <c r="K576" s="472">
        <f t="shared" si="8"/>
        <v>4300</v>
      </c>
      <c r="L576" s="521">
        <v>666</v>
      </c>
      <c r="M576" s="521">
        <v>666</v>
      </c>
      <c r="N576" s="472">
        <v>666</v>
      </c>
      <c r="O576" s="472">
        <v>666</v>
      </c>
      <c r="P576" s="466">
        <v>23</v>
      </c>
      <c r="Q576" s="468">
        <v>30</v>
      </c>
      <c r="R576" s="466">
        <v>96</v>
      </c>
      <c r="S576" s="468">
        <v>124</v>
      </c>
      <c r="T576" s="466">
        <v>870</v>
      </c>
      <c r="U576" s="468">
        <v>1030</v>
      </c>
      <c r="V576" s="468">
        <v>1.1000000000000001</v>
      </c>
      <c r="W576" s="466">
        <v>1050</v>
      </c>
      <c r="X576" s="468">
        <v>1160</v>
      </c>
      <c r="Y576" s="466">
        <v>160</v>
      </c>
      <c r="AA576" s="466">
        <v>2.8</v>
      </c>
      <c r="AB576" s="466">
        <v>0.6</v>
      </c>
      <c r="AC576" s="466">
        <v>4.0999999999999996</v>
      </c>
      <c r="AD576" s="466">
        <v>0.9</v>
      </c>
      <c r="AE576" s="466">
        <v>0.27</v>
      </c>
      <c r="AF576" s="468">
        <v>0.28000000000000003</v>
      </c>
      <c r="AG576" s="466">
        <v>0.35</v>
      </c>
      <c r="AH576" s="468">
        <v>0.37</v>
      </c>
      <c r="AI576" s="466">
        <v>0.55000000000000004</v>
      </c>
      <c r="AJ576" s="466">
        <v>-9</v>
      </c>
      <c r="AK576" s="466">
        <v>3.4</v>
      </c>
      <c r="AL576" s="524">
        <v>25</v>
      </c>
      <c r="AM576" s="524">
        <v>25</v>
      </c>
    </row>
    <row r="577" spans="1:40" ht="25" customHeight="1" outlineLevel="1">
      <c r="A577" s="476" t="s">
        <v>1276</v>
      </c>
      <c r="B577" s="466">
        <v>310</v>
      </c>
      <c r="C577" s="466">
        <v>-33</v>
      </c>
      <c r="D577" s="466">
        <v>-36</v>
      </c>
      <c r="E577" s="466">
        <v>29</v>
      </c>
      <c r="F577" s="466">
        <v>21</v>
      </c>
      <c r="G577" s="468">
        <v>33</v>
      </c>
      <c r="H577" s="468">
        <v>24</v>
      </c>
      <c r="I577" s="466">
        <v>6180</v>
      </c>
      <c r="J577" s="466">
        <v>5220</v>
      </c>
      <c r="K577" s="472">
        <f t="shared" si="8"/>
        <v>5680</v>
      </c>
      <c r="L577" s="521">
        <v>666</v>
      </c>
      <c r="M577" s="521">
        <v>666</v>
      </c>
      <c r="N577" s="472">
        <v>666</v>
      </c>
      <c r="O577" s="472">
        <v>666</v>
      </c>
      <c r="P577" s="466">
        <v>20</v>
      </c>
      <c r="Q577" s="468">
        <v>26</v>
      </c>
      <c r="R577" s="466">
        <v>86</v>
      </c>
      <c r="S577" s="468">
        <v>113</v>
      </c>
      <c r="T577" s="466">
        <v>640</v>
      </c>
      <c r="U577" s="468">
        <v>770</v>
      </c>
      <c r="V577" s="468">
        <v>0.8</v>
      </c>
      <c r="W577" s="466">
        <v>925</v>
      </c>
      <c r="X577" s="468">
        <v>1030</v>
      </c>
      <c r="Y577" s="466">
        <v>100</v>
      </c>
      <c r="Z577" s="468">
        <v>110</v>
      </c>
      <c r="AA577" s="466">
        <v>3.4</v>
      </c>
      <c r="AB577" s="466">
        <v>0.3</v>
      </c>
      <c r="AC577" s="466">
        <v>4.7</v>
      </c>
      <c r="AD577" s="466">
        <v>0.4</v>
      </c>
      <c r="AE577" s="466">
        <v>0.25</v>
      </c>
      <c r="AF577" s="468">
        <v>0.26</v>
      </c>
      <c r="AG577" s="466">
        <v>0.32</v>
      </c>
      <c r="AH577" s="468">
        <v>0.34</v>
      </c>
      <c r="AI577" s="466">
        <v>0.47</v>
      </c>
      <c r="AJ577" s="466">
        <v>-11</v>
      </c>
      <c r="AK577" s="466">
        <v>3.8</v>
      </c>
      <c r="AL577" s="524">
        <v>24</v>
      </c>
      <c r="AM577" s="524">
        <v>24</v>
      </c>
    </row>
    <row r="578" spans="1:40" ht="25" customHeight="1" outlineLevel="1">
      <c r="A578" s="476" t="s">
        <v>1277</v>
      </c>
      <c r="B578" s="466">
        <v>15</v>
      </c>
      <c r="C578" s="466">
        <v>-24</v>
      </c>
      <c r="D578" s="466">
        <v>-26</v>
      </c>
      <c r="E578" s="466">
        <v>30</v>
      </c>
      <c r="F578" s="466">
        <v>23</v>
      </c>
      <c r="G578" s="468">
        <v>34</v>
      </c>
      <c r="H578" s="468">
        <v>26</v>
      </c>
      <c r="I578" s="466">
        <v>4500</v>
      </c>
      <c r="J578" s="466">
        <v>3680</v>
      </c>
      <c r="K578" s="472">
        <f t="shared" ref="K578:K641" si="9">I578-500</f>
        <v>4000</v>
      </c>
      <c r="L578" s="521">
        <v>666</v>
      </c>
      <c r="M578" s="521">
        <v>666</v>
      </c>
      <c r="N578" s="472">
        <v>666</v>
      </c>
      <c r="O578" s="472">
        <v>666</v>
      </c>
      <c r="P578" s="466">
        <v>23</v>
      </c>
      <c r="Q578" s="468">
        <v>30</v>
      </c>
      <c r="R578" s="466">
        <v>96</v>
      </c>
      <c r="S578" s="468">
        <v>125</v>
      </c>
      <c r="T578" s="466">
        <v>810</v>
      </c>
      <c r="U578" s="468">
        <v>970</v>
      </c>
      <c r="V578" s="468">
        <v>1</v>
      </c>
      <c r="W578" s="466">
        <v>1000</v>
      </c>
      <c r="X578" s="468">
        <v>1130</v>
      </c>
      <c r="Y578" s="466">
        <v>160</v>
      </c>
      <c r="Z578" s="468">
        <v>170</v>
      </c>
      <c r="AA578" s="466">
        <v>2.6</v>
      </c>
      <c r="AB578" s="466">
        <v>0.4</v>
      </c>
      <c r="AC578" s="466">
        <v>3.8</v>
      </c>
      <c r="AD578" s="466">
        <v>0.6</v>
      </c>
      <c r="AE578" s="466">
        <v>0.31</v>
      </c>
      <c r="AF578" s="468">
        <v>0.33</v>
      </c>
      <c r="AG578" s="466">
        <v>0.4</v>
      </c>
      <c r="AH578" s="468">
        <v>0.42</v>
      </c>
      <c r="AI578" s="466">
        <v>0.64</v>
      </c>
      <c r="AJ578" s="466">
        <v>-8</v>
      </c>
      <c r="AK578" s="466">
        <v>3.8</v>
      </c>
      <c r="AL578" s="524">
        <v>26</v>
      </c>
      <c r="AM578" s="524">
        <v>26</v>
      </c>
    </row>
    <row r="579" spans="1:40" ht="25" customHeight="1" outlineLevel="1">
      <c r="A579" s="476" t="s">
        <v>1278</v>
      </c>
      <c r="B579" s="466">
        <v>15</v>
      </c>
      <c r="C579" s="466">
        <v>-24</v>
      </c>
      <c r="D579" s="466">
        <v>-26</v>
      </c>
      <c r="E579" s="466">
        <v>30</v>
      </c>
      <c r="F579" s="466">
        <v>23</v>
      </c>
      <c r="G579" s="468">
        <v>34</v>
      </c>
      <c r="H579" s="468">
        <v>26</v>
      </c>
      <c r="I579" s="466">
        <v>4450</v>
      </c>
      <c r="J579" s="466">
        <v>3630</v>
      </c>
      <c r="K579" s="472">
        <f t="shared" si="9"/>
        <v>3950</v>
      </c>
      <c r="L579" s="521">
        <v>666</v>
      </c>
      <c r="M579" s="521">
        <v>666</v>
      </c>
      <c r="N579" s="472">
        <v>666</v>
      </c>
      <c r="O579" s="472">
        <v>666</v>
      </c>
      <c r="P579" s="466">
        <v>23</v>
      </c>
      <c r="Q579" s="468">
        <v>30</v>
      </c>
      <c r="R579" s="466">
        <v>96</v>
      </c>
      <c r="S579" s="468">
        <v>125</v>
      </c>
      <c r="T579" s="466">
        <v>810</v>
      </c>
      <c r="U579" s="468">
        <v>970</v>
      </c>
      <c r="V579" s="468">
        <v>1</v>
      </c>
      <c r="W579" s="466">
        <v>1000</v>
      </c>
      <c r="X579" s="468">
        <v>1130</v>
      </c>
      <c r="Y579" s="466">
        <v>160</v>
      </c>
      <c r="Z579" s="468">
        <v>170</v>
      </c>
      <c r="AA579" s="466">
        <v>2.7</v>
      </c>
      <c r="AB579" s="466">
        <v>0.4</v>
      </c>
      <c r="AC579" s="466">
        <v>3.9</v>
      </c>
      <c r="AD579" s="466">
        <v>0.6</v>
      </c>
      <c r="AE579" s="466">
        <v>0.34</v>
      </c>
      <c r="AF579" s="468">
        <v>0.36</v>
      </c>
      <c r="AG579" s="466">
        <v>0.43</v>
      </c>
      <c r="AH579" s="468">
        <v>0.45</v>
      </c>
      <c r="AI579" s="466">
        <v>0.66</v>
      </c>
      <c r="AJ579" s="466">
        <v>-8</v>
      </c>
      <c r="AK579" s="466">
        <v>3.8</v>
      </c>
      <c r="AL579" s="524">
        <v>26</v>
      </c>
      <c r="AM579" s="524">
        <v>26</v>
      </c>
    </row>
    <row r="580" spans="1:40" ht="25" customHeight="1" outlineLevel="1">
      <c r="A580" s="476" t="s">
        <v>1279</v>
      </c>
      <c r="B580" s="466">
        <v>125</v>
      </c>
      <c r="C580" s="466">
        <v>-26</v>
      </c>
      <c r="D580" s="466">
        <v>-28</v>
      </c>
      <c r="E580" s="466">
        <v>29</v>
      </c>
      <c r="F580" s="466">
        <v>23</v>
      </c>
      <c r="G580" s="468">
        <v>33</v>
      </c>
      <c r="H580" s="468">
        <v>26</v>
      </c>
      <c r="I580" s="466">
        <v>4900</v>
      </c>
      <c r="J580" s="466">
        <v>3980</v>
      </c>
      <c r="K580" s="472">
        <f t="shared" si="9"/>
        <v>4400</v>
      </c>
      <c r="L580" s="521">
        <v>666</v>
      </c>
      <c r="M580" s="521">
        <v>666</v>
      </c>
      <c r="N580" s="472">
        <v>666</v>
      </c>
      <c r="O580" s="472">
        <v>666</v>
      </c>
      <c r="P580" s="466">
        <v>21</v>
      </c>
      <c r="Q580" s="468">
        <v>27</v>
      </c>
      <c r="R580" s="466">
        <v>102</v>
      </c>
      <c r="S580" s="468">
        <v>132</v>
      </c>
      <c r="T580" s="466">
        <v>850</v>
      </c>
      <c r="U580" s="468">
        <v>1010</v>
      </c>
      <c r="V580" s="468">
        <v>1.1000000000000001</v>
      </c>
      <c r="W580" s="466">
        <v>1100</v>
      </c>
      <c r="X580" s="468">
        <v>1220</v>
      </c>
      <c r="Y580" s="466">
        <v>180</v>
      </c>
      <c r="AA580" s="466">
        <v>2.6</v>
      </c>
      <c r="AB580" s="466">
        <v>0.6</v>
      </c>
      <c r="AC580" s="466">
        <v>3.8</v>
      </c>
      <c r="AD580" s="466">
        <v>0.9</v>
      </c>
      <c r="AE580" s="466">
        <v>0.27</v>
      </c>
      <c r="AF580" s="468">
        <v>0.28000000000000003</v>
      </c>
      <c r="AG580" s="466">
        <v>0.35</v>
      </c>
      <c r="AH580" s="468">
        <v>0.37</v>
      </c>
      <c r="AI580" s="466">
        <v>0.55000000000000004</v>
      </c>
      <c r="AJ580" s="466">
        <v>-9</v>
      </c>
      <c r="AK580" s="466">
        <v>3.5</v>
      </c>
      <c r="AL580" s="524">
        <v>26</v>
      </c>
      <c r="AM580" s="524">
        <v>26</v>
      </c>
    </row>
    <row r="581" spans="1:40" ht="25" customHeight="1" outlineLevel="1">
      <c r="A581" s="476" t="s">
        <v>1280</v>
      </c>
      <c r="B581" s="466">
        <v>200</v>
      </c>
      <c r="C581" s="466">
        <v>-31</v>
      </c>
      <c r="D581" s="466">
        <v>-34</v>
      </c>
      <c r="E581" s="466">
        <v>30</v>
      </c>
      <c r="F581" s="466">
        <v>22</v>
      </c>
      <c r="G581" s="468">
        <v>34</v>
      </c>
      <c r="H581" s="468">
        <v>25</v>
      </c>
      <c r="I581" s="466">
        <v>5550</v>
      </c>
      <c r="J581" s="466">
        <v>4610</v>
      </c>
      <c r="K581" s="472">
        <f t="shared" si="9"/>
        <v>5050</v>
      </c>
      <c r="L581" s="521">
        <v>666</v>
      </c>
      <c r="M581" s="521">
        <v>666</v>
      </c>
      <c r="N581" s="472">
        <v>666</v>
      </c>
      <c r="O581" s="472">
        <v>666</v>
      </c>
      <c r="P581" s="466">
        <v>23</v>
      </c>
      <c r="Q581" s="468">
        <v>30</v>
      </c>
      <c r="R581" s="466">
        <v>96</v>
      </c>
      <c r="S581" s="468">
        <v>125</v>
      </c>
      <c r="T581" s="466">
        <v>630</v>
      </c>
      <c r="U581" s="468">
        <v>750</v>
      </c>
      <c r="V581" s="468">
        <v>0.8</v>
      </c>
      <c r="W581" s="466">
        <v>825</v>
      </c>
      <c r="X581" s="468">
        <v>910</v>
      </c>
      <c r="Y581" s="466">
        <v>120</v>
      </c>
      <c r="Z581" s="468">
        <v>130</v>
      </c>
      <c r="AA581" s="466">
        <v>2.2999999999999998</v>
      </c>
      <c r="AB581" s="466">
        <v>0.4</v>
      </c>
      <c r="AC581" s="466">
        <v>3.1</v>
      </c>
      <c r="AD581" s="466">
        <v>0.6</v>
      </c>
      <c r="AE581" s="466">
        <v>0.31</v>
      </c>
      <c r="AF581" s="468">
        <v>0.33</v>
      </c>
      <c r="AG581" s="466">
        <v>0.4</v>
      </c>
      <c r="AH581" s="468">
        <v>0.42</v>
      </c>
      <c r="AI581" s="466">
        <v>0.64</v>
      </c>
      <c r="AJ581" s="466">
        <v>-11</v>
      </c>
      <c r="AK581" s="466">
        <v>4.2</v>
      </c>
      <c r="AL581" s="524">
        <v>25</v>
      </c>
      <c r="AM581" s="524">
        <v>25</v>
      </c>
    </row>
    <row r="582" spans="1:40" ht="25" customHeight="1" outlineLevel="1">
      <c r="A582" s="476" t="s">
        <v>1281</v>
      </c>
      <c r="B582" s="466">
        <v>120</v>
      </c>
      <c r="C582" s="466">
        <v>-27</v>
      </c>
      <c r="D582" s="466">
        <v>-30</v>
      </c>
      <c r="E582" s="466">
        <v>30</v>
      </c>
      <c r="F582" s="466">
        <v>23</v>
      </c>
      <c r="G582" s="468">
        <v>34</v>
      </c>
      <c r="H582" s="468">
        <v>26</v>
      </c>
      <c r="I582" s="466">
        <v>4820</v>
      </c>
      <c r="J582" s="466">
        <v>3910</v>
      </c>
      <c r="K582" s="472">
        <f t="shared" si="9"/>
        <v>4320</v>
      </c>
      <c r="L582" s="521">
        <v>666</v>
      </c>
      <c r="M582" s="521">
        <v>666</v>
      </c>
      <c r="N582" s="472">
        <v>666</v>
      </c>
      <c r="O582" s="472">
        <v>666</v>
      </c>
      <c r="P582" s="466">
        <v>23</v>
      </c>
      <c r="Q582" s="468">
        <v>30</v>
      </c>
      <c r="R582" s="466">
        <v>91</v>
      </c>
      <c r="S582" s="468">
        <v>117</v>
      </c>
      <c r="T582" s="466">
        <v>780</v>
      </c>
      <c r="U582" s="468">
        <v>930</v>
      </c>
      <c r="V582" s="468">
        <v>1</v>
      </c>
      <c r="W582" s="466">
        <v>1020</v>
      </c>
      <c r="X582" s="468">
        <v>1140</v>
      </c>
      <c r="Y582" s="466">
        <v>160</v>
      </c>
      <c r="AA582" s="466">
        <v>2.4</v>
      </c>
      <c r="AB582" s="466">
        <v>0.4</v>
      </c>
      <c r="AC582" s="466">
        <v>3.5</v>
      </c>
      <c r="AD582" s="466">
        <v>0.6</v>
      </c>
      <c r="AE582" s="466">
        <v>0.27</v>
      </c>
      <c r="AF582" s="468">
        <v>0.28000000000000003</v>
      </c>
      <c r="AG582" s="466">
        <v>0.34</v>
      </c>
      <c r="AH582" s="468">
        <v>0.36</v>
      </c>
      <c r="AI582" s="466">
        <v>0.52</v>
      </c>
      <c r="AJ582" s="466">
        <v>-8</v>
      </c>
      <c r="AK582" s="466">
        <v>2.2000000000000002</v>
      </c>
      <c r="AL582" s="524">
        <v>26</v>
      </c>
      <c r="AM582" s="524">
        <v>26</v>
      </c>
    </row>
    <row r="583" spans="1:40" ht="25" customHeight="1" outlineLevel="1">
      <c r="A583" s="476" t="s">
        <v>244</v>
      </c>
      <c r="B583" s="466">
        <v>205</v>
      </c>
      <c r="C583" s="466">
        <v>-25</v>
      </c>
      <c r="D583" s="466">
        <v>-27</v>
      </c>
      <c r="E583" s="466">
        <v>29</v>
      </c>
      <c r="F583" s="466">
        <v>23</v>
      </c>
      <c r="G583" s="468">
        <v>33</v>
      </c>
      <c r="H583" s="468">
        <v>26</v>
      </c>
      <c r="I583" s="466">
        <v>4650</v>
      </c>
      <c r="J583" s="466">
        <v>3810</v>
      </c>
      <c r="K583" s="472">
        <f t="shared" si="9"/>
        <v>4150</v>
      </c>
      <c r="L583" s="521">
        <v>666</v>
      </c>
      <c r="M583" s="521">
        <v>666</v>
      </c>
      <c r="N583" s="472">
        <v>666</v>
      </c>
      <c r="O583" s="472">
        <v>666</v>
      </c>
      <c r="P583" s="466">
        <v>23</v>
      </c>
      <c r="Q583" s="468">
        <v>30</v>
      </c>
      <c r="R583" s="466">
        <v>96</v>
      </c>
      <c r="S583" s="468">
        <v>123</v>
      </c>
      <c r="T583" s="466">
        <v>980</v>
      </c>
      <c r="U583" s="468">
        <v>1160</v>
      </c>
      <c r="V583" s="468">
        <v>1.2</v>
      </c>
      <c r="W583" s="466">
        <v>1250</v>
      </c>
      <c r="X583" s="468">
        <v>1390</v>
      </c>
      <c r="Y583" s="466">
        <v>160</v>
      </c>
      <c r="AA583" s="466">
        <v>2.5</v>
      </c>
      <c r="AB583" s="466">
        <v>0.4</v>
      </c>
      <c r="AC583" s="466">
        <v>3.6</v>
      </c>
      <c r="AD583" s="466">
        <v>0.6</v>
      </c>
      <c r="AE583" s="466">
        <v>0.27</v>
      </c>
      <c r="AF583" s="468">
        <v>0.28000000000000003</v>
      </c>
      <c r="AG583" s="466">
        <v>0.35</v>
      </c>
      <c r="AH583" s="468">
        <v>0.37</v>
      </c>
      <c r="AI583" s="466">
        <v>0.55000000000000004</v>
      </c>
      <c r="AJ583" s="466">
        <v>-8</v>
      </c>
      <c r="AK583" s="466">
        <v>3</v>
      </c>
      <c r="AL583" s="524">
        <v>26</v>
      </c>
      <c r="AM583" s="524">
        <v>26</v>
      </c>
    </row>
    <row r="584" spans="1:40" s="473" customFormat="1" ht="25" customHeight="1" outlineLevel="1" thickBot="1">
      <c r="A584" s="477" t="s">
        <v>253</v>
      </c>
      <c r="B584" s="473">
        <v>150</v>
      </c>
      <c r="C584" s="473">
        <v>-25</v>
      </c>
      <c r="D584" s="473">
        <v>-27</v>
      </c>
      <c r="E584" s="473">
        <v>29</v>
      </c>
      <c r="F584" s="473">
        <v>23</v>
      </c>
      <c r="G584" s="474">
        <v>33</v>
      </c>
      <c r="H584" s="474">
        <v>26</v>
      </c>
      <c r="I584" s="473">
        <v>4700</v>
      </c>
      <c r="J584" s="473">
        <v>3860</v>
      </c>
      <c r="K584" s="472">
        <f t="shared" si="9"/>
        <v>4200</v>
      </c>
      <c r="L584" s="521">
        <v>666</v>
      </c>
      <c r="M584" s="521">
        <v>666</v>
      </c>
      <c r="N584" s="472">
        <v>666</v>
      </c>
      <c r="O584" s="472">
        <v>666</v>
      </c>
      <c r="P584" s="473">
        <v>23</v>
      </c>
      <c r="Q584" s="474">
        <v>30</v>
      </c>
      <c r="R584" s="473">
        <v>96</v>
      </c>
      <c r="S584" s="474">
        <v>123</v>
      </c>
      <c r="T584" s="473">
        <v>930</v>
      </c>
      <c r="U584" s="474">
        <v>1100</v>
      </c>
      <c r="V584" s="474">
        <v>1.1000000000000001</v>
      </c>
      <c r="W584" s="473">
        <v>1075</v>
      </c>
      <c r="X584" s="474">
        <v>1190</v>
      </c>
      <c r="Y584" s="473">
        <v>160</v>
      </c>
      <c r="Z584" s="474"/>
      <c r="AA584" s="473">
        <v>2.2999999999999998</v>
      </c>
      <c r="AB584" s="473">
        <v>0.4</v>
      </c>
      <c r="AC584" s="473">
        <v>3.4</v>
      </c>
      <c r="AD584" s="473">
        <v>0.6</v>
      </c>
      <c r="AE584" s="473">
        <v>0.25</v>
      </c>
      <c r="AF584" s="474">
        <v>0.26</v>
      </c>
      <c r="AG584" s="473">
        <v>0.32</v>
      </c>
      <c r="AH584" s="474">
        <v>0.34</v>
      </c>
      <c r="AI584" s="473">
        <v>0.5</v>
      </c>
      <c r="AJ584" s="473">
        <v>-8</v>
      </c>
      <c r="AK584" s="473">
        <v>3.5</v>
      </c>
      <c r="AL584" s="525">
        <v>26</v>
      </c>
      <c r="AM584" s="525">
        <v>26</v>
      </c>
      <c r="AN584" s="701"/>
    </row>
    <row r="585" spans="1:40" s="480" customFormat="1" ht="25" customHeight="1" thickTop="1" thickBot="1">
      <c r="A585" s="478" t="s">
        <v>1282</v>
      </c>
      <c r="AL585" s="526"/>
      <c r="AM585" s="526"/>
      <c r="AN585" s="702"/>
    </row>
    <row r="586" spans="1:40" s="471" customFormat="1" ht="25" customHeight="1" outlineLevel="1" thickTop="1">
      <c r="A586" s="475" t="s">
        <v>1162</v>
      </c>
      <c r="B586" s="471">
        <v>5</v>
      </c>
      <c r="C586" s="471">
        <v>-21</v>
      </c>
      <c r="D586" s="471">
        <v>-23</v>
      </c>
      <c r="E586" s="471">
        <v>26</v>
      </c>
      <c r="F586" s="471">
        <v>20</v>
      </c>
      <c r="G586" s="472">
        <v>29</v>
      </c>
      <c r="H586" s="472">
        <v>23</v>
      </c>
      <c r="I586" s="471">
        <v>4500</v>
      </c>
      <c r="J586" s="471">
        <v>3600</v>
      </c>
      <c r="K586" s="472">
        <f t="shared" si="9"/>
        <v>4000</v>
      </c>
      <c r="L586" s="472">
        <v>666</v>
      </c>
      <c r="M586" s="472">
        <v>666</v>
      </c>
      <c r="N586" s="472">
        <v>666</v>
      </c>
      <c r="O586" s="472">
        <v>666</v>
      </c>
      <c r="P586" s="471">
        <v>18</v>
      </c>
      <c r="Q586" s="472">
        <v>23</v>
      </c>
      <c r="R586" s="471">
        <v>144</v>
      </c>
      <c r="S586" s="472">
        <v>183</v>
      </c>
      <c r="T586" s="471">
        <v>1175</v>
      </c>
      <c r="U586" s="472">
        <v>1360</v>
      </c>
      <c r="V586" s="472">
        <v>1.5</v>
      </c>
      <c r="W586" s="471">
        <v>1450</v>
      </c>
      <c r="X586" s="472">
        <v>1600</v>
      </c>
      <c r="Y586" s="471">
        <v>260</v>
      </c>
      <c r="Z586" s="472">
        <v>270</v>
      </c>
      <c r="AA586" s="471">
        <v>2.6</v>
      </c>
      <c r="AB586" s="471">
        <v>0.6</v>
      </c>
      <c r="AC586" s="471">
        <v>3.9</v>
      </c>
      <c r="AD586" s="471">
        <v>0.9</v>
      </c>
      <c r="AE586" s="471">
        <v>0.37</v>
      </c>
      <c r="AF586" s="472">
        <v>0.41</v>
      </c>
      <c r="AG586" s="471">
        <v>0.48</v>
      </c>
      <c r="AH586" s="472">
        <v>0.53</v>
      </c>
      <c r="AI586" s="471">
        <v>0.76</v>
      </c>
      <c r="AJ586" s="471">
        <v>-7</v>
      </c>
      <c r="AK586" s="471">
        <v>4.5</v>
      </c>
      <c r="AL586" s="490">
        <v>23</v>
      </c>
      <c r="AM586" s="490">
        <v>23</v>
      </c>
      <c r="AN586" s="699"/>
    </row>
    <row r="587" spans="1:40" ht="25" customHeight="1" outlineLevel="1">
      <c r="A587" s="476" t="s">
        <v>1283</v>
      </c>
      <c r="B587" s="466">
        <v>10</v>
      </c>
      <c r="C587" s="466">
        <v>-23</v>
      </c>
      <c r="D587" s="466">
        <v>-26</v>
      </c>
      <c r="E587" s="466">
        <v>30</v>
      </c>
      <c r="F587" s="466">
        <v>22</v>
      </c>
      <c r="G587" s="468">
        <v>34</v>
      </c>
      <c r="H587" s="468">
        <v>25</v>
      </c>
      <c r="I587" s="466">
        <v>5020</v>
      </c>
      <c r="J587" s="466">
        <v>4100</v>
      </c>
      <c r="K587" s="472">
        <f t="shared" si="9"/>
        <v>4520</v>
      </c>
      <c r="L587" s="472">
        <v>666</v>
      </c>
      <c r="M587" s="472">
        <v>666</v>
      </c>
      <c r="N587" s="472">
        <v>666</v>
      </c>
      <c r="O587" s="472">
        <v>666</v>
      </c>
      <c r="P587" s="466">
        <v>20</v>
      </c>
      <c r="Q587" s="468">
        <v>26</v>
      </c>
      <c r="R587" s="466">
        <v>106</v>
      </c>
      <c r="S587" s="468">
        <v>137</v>
      </c>
      <c r="T587" s="466">
        <v>775</v>
      </c>
      <c r="U587" s="468">
        <v>970</v>
      </c>
      <c r="V587" s="468">
        <v>1</v>
      </c>
      <c r="W587" s="466">
        <v>1020</v>
      </c>
      <c r="X587" s="468">
        <v>1180</v>
      </c>
      <c r="Y587" s="466">
        <v>180</v>
      </c>
      <c r="Z587" s="468">
        <v>200</v>
      </c>
      <c r="AA587" s="466">
        <v>4.0999999999999996</v>
      </c>
      <c r="AB587" s="466">
        <v>0.6</v>
      </c>
      <c r="AC587" s="466">
        <v>5.9</v>
      </c>
      <c r="AD587" s="466">
        <v>0.9</v>
      </c>
      <c r="AE587" s="466">
        <v>0.37</v>
      </c>
      <c r="AF587" s="468">
        <v>0.41</v>
      </c>
      <c r="AG587" s="466">
        <v>0.48</v>
      </c>
      <c r="AH587" s="468">
        <v>0.53</v>
      </c>
      <c r="AI587" s="466">
        <v>0.76</v>
      </c>
      <c r="AJ587" s="466">
        <v>-8</v>
      </c>
      <c r="AK587" s="466">
        <v>4</v>
      </c>
      <c r="AL587" s="524">
        <v>25</v>
      </c>
      <c r="AM587" s="524">
        <v>25</v>
      </c>
    </row>
    <row r="588" spans="1:40" ht="25" customHeight="1" outlineLevel="1">
      <c r="A588" s="476" t="s">
        <v>1284</v>
      </c>
      <c r="B588" s="466">
        <v>65</v>
      </c>
      <c r="C588" s="466">
        <v>-25</v>
      </c>
      <c r="D588" s="466">
        <v>-28</v>
      </c>
      <c r="E588" s="466">
        <v>29</v>
      </c>
      <c r="F588" s="466">
        <v>21</v>
      </c>
      <c r="G588" s="468">
        <v>33</v>
      </c>
      <c r="H588" s="468">
        <v>24</v>
      </c>
      <c r="I588" s="466">
        <v>4900</v>
      </c>
      <c r="J588" s="466" t="s">
        <v>1150</v>
      </c>
      <c r="K588" s="472">
        <f t="shared" si="9"/>
        <v>4400</v>
      </c>
      <c r="L588" s="472">
        <v>666</v>
      </c>
      <c r="M588" s="472">
        <v>666</v>
      </c>
      <c r="N588" s="472">
        <v>666</v>
      </c>
      <c r="O588" s="472">
        <v>666</v>
      </c>
      <c r="P588" s="466">
        <v>20</v>
      </c>
      <c r="Q588" s="468">
        <v>26</v>
      </c>
      <c r="R588" s="466">
        <v>96</v>
      </c>
      <c r="S588" s="468">
        <v>123</v>
      </c>
      <c r="T588" s="466">
        <v>800</v>
      </c>
      <c r="U588" s="468">
        <v>970</v>
      </c>
      <c r="V588" s="468">
        <v>1</v>
      </c>
      <c r="W588" s="466">
        <v>1075</v>
      </c>
      <c r="X588" s="468">
        <v>1210</v>
      </c>
      <c r="Y588" s="466">
        <v>180</v>
      </c>
      <c r="Z588" s="468">
        <v>200</v>
      </c>
      <c r="AA588" s="466">
        <v>3.6</v>
      </c>
      <c r="AB588" s="466">
        <v>0.6</v>
      </c>
      <c r="AC588" s="466">
        <v>5.0999999999999996</v>
      </c>
      <c r="AD588" s="466">
        <v>0.9</v>
      </c>
      <c r="AE588" s="466">
        <v>0.3</v>
      </c>
      <c r="AF588" s="468">
        <v>0.33</v>
      </c>
      <c r="AG588" s="466">
        <v>0.39</v>
      </c>
      <c r="AH588" s="468">
        <v>0.43</v>
      </c>
      <c r="AI588" s="466">
        <v>0.62</v>
      </c>
      <c r="AJ588" s="466">
        <v>-8</v>
      </c>
      <c r="AK588" s="466">
        <v>2.8</v>
      </c>
      <c r="AL588" s="524">
        <v>24</v>
      </c>
      <c r="AM588" s="524">
        <v>24</v>
      </c>
    </row>
    <row r="589" spans="1:40" ht="25" customHeight="1" outlineLevel="1">
      <c r="A589" s="476" t="s">
        <v>1285</v>
      </c>
      <c r="B589" s="466">
        <v>30</v>
      </c>
      <c r="C589" s="466">
        <v>-26</v>
      </c>
      <c r="D589" s="466">
        <v>-28</v>
      </c>
      <c r="E589" s="466">
        <v>29</v>
      </c>
      <c r="F589" s="466">
        <v>22</v>
      </c>
      <c r="G589" s="468">
        <v>33</v>
      </c>
      <c r="H589" s="468">
        <v>25</v>
      </c>
      <c r="I589" s="466">
        <v>5500</v>
      </c>
      <c r="J589" s="466">
        <v>4570</v>
      </c>
      <c r="K589" s="472">
        <f t="shared" si="9"/>
        <v>5000</v>
      </c>
      <c r="L589" s="472">
        <v>666</v>
      </c>
      <c r="M589" s="472">
        <v>666</v>
      </c>
      <c r="N589" s="472">
        <v>666</v>
      </c>
      <c r="O589" s="472">
        <v>666</v>
      </c>
      <c r="P589" s="466">
        <v>20</v>
      </c>
      <c r="Q589" s="468">
        <v>26</v>
      </c>
      <c r="R589" s="466">
        <v>107</v>
      </c>
      <c r="S589" s="468">
        <v>139</v>
      </c>
      <c r="T589" s="466">
        <v>725</v>
      </c>
      <c r="U589" s="468">
        <v>910</v>
      </c>
      <c r="V589" s="468">
        <v>1</v>
      </c>
      <c r="W589" s="466">
        <v>1025</v>
      </c>
      <c r="X589" s="468">
        <v>1180</v>
      </c>
      <c r="Y589" s="466">
        <v>180</v>
      </c>
      <c r="Z589" s="468">
        <v>200</v>
      </c>
      <c r="AA589" s="466">
        <v>4.3</v>
      </c>
      <c r="AB589" s="466">
        <v>0.4</v>
      </c>
      <c r="AC589" s="466">
        <v>6</v>
      </c>
      <c r="AD589" s="466">
        <v>0.6</v>
      </c>
      <c r="AE589" s="466">
        <v>0.35</v>
      </c>
      <c r="AF589" s="468">
        <v>0.39</v>
      </c>
      <c r="AG589" s="466">
        <v>0.45</v>
      </c>
      <c r="AH589" s="468">
        <v>0.5</v>
      </c>
      <c r="AI589" s="466">
        <v>0.7</v>
      </c>
      <c r="AJ589" s="466">
        <v>-8</v>
      </c>
      <c r="AK589" s="466">
        <v>4.0999999999999996</v>
      </c>
      <c r="AL589" s="524">
        <v>25</v>
      </c>
      <c r="AM589" s="524">
        <v>25</v>
      </c>
    </row>
    <row r="590" spans="1:40" ht="25" customHeight="1" outlineLevel="1">
      <c r="A590" s="476" t="s">
        <v>1286</v>
      </c>
      <c r="B590" s="466">
        <v>160</v>
      </c>
      <c r="C590" s="466">
        <v>-27</v>
      </c>
      <c r="D590" s="466">
        <v>-29</v>
      </c>
      <c r="E590" s="466">
        <v>28</v>
      </c>
      <c r="F590" s="466">
        <v>22</v>
      </c>
      <c r="G590" s="468">
        <v>32</v>
      </c>
      <c r="H590" s="468">
        <v>25</v>
      </c>
      <c r="I590" s="466">
        <v>5320</v>
      </c>
      <c r="J590" s="466">
        <v>4500</v>
      </c>
      <c r="K590" s="472">
        <f t="shared" si="9"/>
        <v>4820</v>
      </c>
      <c r="L590" s="472">
        <v>666</v>
      </c>
      <c r="M590" s="472">
        <v>666</v>
      </c>
      <c r="N590" s="472">
        <v>666</v>
      </c>
      <c r="O590" s="472">
        <v>666</v>
      </c>
      <c r="P590" s="466">
        <v>23</v>
      </c>
      <c r="Q590" s="468">
        <v>30</v>
      </c>
      <c r="R590" s="466">
        <v>91</v>
      </c>
      <c r="S590" s="468">
        <v>118</v>
      </c>
      <c r="T590" s="466">
        <v>750</v>
      </c>
      <c r="U590" s="468">
        <v>920</v>
      </c>
      <c r="V590" s="468">
        <v>1</v>
      </c>
      <c r="W590" s="466">
        <v>1000</v>
      </c>
      <c r="X590" s="468">
        <v>1130</v>
      </c>
      <c r="Y590" s="466">
        <v>160</v>
      </c>
      <c r="Z590" s="468">
        <v>180</v>
      </c>
      <c r="AA590" s="466">
        <v>3.4</v>
      </c>
      <c r="AB590" s="466">
        <v>0.6</v>
      </c>
      <c r="AC590" s="466">
        <v>4.8</v>
      </c>
      <c r="AD590" s="466">
        <v>0.9</v>
      </c>
      <c r="AE590" s="466">
        <v>0.3</v>
      </c>
      <c r="AF590" s="468">
        <v>0.33</v>
      </c>
      <c r="AG590" s="466">
        <v>0.38</v>
      </c>
      <c r="AH590" s="468">
        <v>0.42</v>
      </c>
      <c r="AI590" s="466">
        <v>0.59</v>
      </c>
      <c r="AJ590" s="466">
        <v>-9</v>
      </c>
      <c r="AK590" s="466">
        <v>2</v>
      </c>
      <c r="AL590" s="524">
        <v>25</v>
      </c>
      <c r="AM590" s="524">
        <v>25</v>
      </c>
    </row>
    <row r="591" spans="1:40" ht="25" customHeight="1" outlineLevel="1">
      <c r="A591" s="476" t="s">
        <v>1287</v>
      </c>
      <c r="B591" s="466">
        <v>15</v>
      </c>
      <c r="C591" s="466">
        <v>-24</v>
      </c>
      <c r="D591" s="466">
        <v>-27</v>
      </c>
      <c r="E591" s="466">
        <v>29</v>
      </c>
      <c r="F591" s="466">
        <v>22</v>
      </c>
      <c r="G591" s="468">
        <v>33</v>
      </c>
      <c r="H591" s="468">
        <v>25</v>
      </c>
      <c r="I591" s="466">
        <v>4670</v>
      </c>
      <c r="J591" s="466">
        <v>3760</v>
      </c>
      <c r="K591" s="472">
        <f t="shared" si="9"/>
        <v>4170</v>
      </c>
      <c r="L591" s="472">
        <v>666</v>
      </c>
      <c r="M591" s="472">
        <v>666</v>
      </c>
      <c r="N591" s="472">
        <v>666</v>
      </c>
      <c r="O591" s="472">
        <v>666</v>
      </c>
      <c r="P591" s="466">
        <v>22</v>
      </c>
      <c r="Q591" s="468">
        <v>28</v>
      </c>
      <c r="R591" s="466">
        <v>112</v>
      </c>
      <c r="S591" s="468">
        <v>143</v>
      </c>
      <c r="T591" s="466">
        <v>900</v>
      </c>
      <c r="U591" s="468">
        <v>1070</v>
      </c>
      <c r="V591" s="468">
        <v>1.1000000000000001</v>
      </c>
      <c r="W591" s="466">
        <v>1100</v>
      </c>
      <c r="X591" s="468">
        <v>1240</v>
      </c>
      <c r="Y591" s="466">
        <v>160</v>
      </c>
      <c r="Z591" s="468">
        <v>180</v>
      </c>
      <c r="AA591" s="466">
        <v>3.1</v>
      </c>
      <c r="AB591" s="466">
        <v>0.6</v>
      </c>
      <c r="AC591" s="466">
        <v>4.5</v>
      </c>
      <c r="AD591" s="466">
        <v>0.9</v>
      </c>
      <c r="AE591" s="466">
        <v>0.3</v>
      </c>
      <c r="AF591" s="468">
        <v>0.33</v>
      </c>
      <c r="AG591" s="466">
        <v>0.38</v>
      </c>
      <c r="AH591" s="468">
        <v>0.42</v>
      </c>
      <c r="AI591" s="466">
        <v>0.59</v>
      </c>
      <c r="AJ591" s="466">
        <v>-7</v>
      </c>
      <c r="AK591" s="466">
        <v>3.5</v>
      </c>
      <c r="AL591" s="524">
        <v>25</v>
      </c>
      <c r="AM591" s="524">
        <v>25</v>
      </c>
    </row>
    <row r="592" spans="1:40" ht="25" customHeight="1" outlineLevel="1">
      <c r="A592" s="476" t="s">
        <v>1288</v>
      </c>
      <c r="B592" s="466">
        <v>20</v>
      </c>
      <c r="C592" s="466">
        <v>-24</v>
      </c>
      <c r="D592" s="466">
        <v>-26</v>
      </c>
      <c r="E592" s="466">
        <v>29</v>
      </c>
      <c r="F592" s="466">
        <v>22</v>
      </c>
      <c r="G592" s="468">
        <v>32</v>
      </c>
      <c r="H592" s="468">
        <v>25</v>
      </c>
      <c r="I592" s="466">
        <v>4460</v>
      </c>
      <c r="J592" s="466">
        <v>3560</v>
      </c>
      <c r="K592" s="472">
        <f t="shared" si="9"/>
        <v>3960</v>
      </c>
      <c r="L592" s="472">
        <v>666</v>
      </c>
      <c r="M592" s="472">
        <v>666</v>
      </c>
      <c r="N592" s="472">
        <v>666</v>
      </c>
      <c r="O592" s="472">
        <v>666</v>
      </c>
      <c r="P592" s="466">
        <v>20</v>
      </c>
      <c r="Q592" s="468">
        <v>26</v>
      </c>
      <c r="R592" s="466">
        <v>112</v>
      </c>
      <c r="S592" s="468">
        <v>143</v>
      </c>
      <c r="T592" s="466">
        <v>900</v>
      </c>
      <c r="U592" s="468">
        <v>1060</v>
      </c>
      <c r="V592" s="468">
        <v>1.1000000000000001</v>
      </c>
      <c r="W592" s="466">
        <v>1125</v>
      </c>
      <c r="X592" s="468">
        <v>1260</v>
      </c>
      <c r="Y592" s="466">
        <v>180</v>
      </c>
      <c r="Z592" s="468">
        <v>190</v>
      </c>
      <c r="AA592" s="466">
        <v>2.8</v>
      </c>
      <c r="AB592" s="466">
        <v>0.6</v>
      </c>
      <c r="AC592" s="466">
        <v>4.0999999999999996</v>
      </c>
      <c r="AD592" s="466">
        <v>0.9</v>
      </c>
      <c r="AE592" s="466">
        <v>0.31</v>
      </c>
      <c r="AF592" s="468">
        <v>0.34</v>
      </c>
      <c r="AG592" s="466">
        <v>0.4</v>
      </c>
      <c r="AH592" s="468">
        <v>0.44</v>
      </c>
      <c r="AI592" s="466">
        <v>0.64</v>
      </c>
      <c r="AJ592" s="466">
        <v>-7</v>
      </c>
      <c r="AK592" s="466">
        <v>3.5</v>
      </c>
      <c r="AL592" s="524">
        <v>25</v>
      </c>
      <c r="AM592" s="524">
        <v>25</v>
      </c>
    </row>
    <row r="593" spans="1:40" ht="25" customHeight="1" outlineLevel="1">
      <c r="A593" s="476" t="s">
        <v>1289</v>
      </c>
      <c r="B593" s="466">
        <v>115</v>
      </c>
      <c r="C593" s="466">
        <v>-27</v>
      </c>
      <c r="D593" s="466">
        <v>-30</v>
      </c>
      <c r="E593" s="466">
        <v>28</v>
      </c>
      <c r="F593" s="466">
        <v>22</v>
      </c>
      <c r="G593" s="468">
        <v>32</v>
      </c>
      <c r="H593" s="468">
        <v>25</v>
      </c>
      <c r="I593" s="466">
        <v>5300</v>
      </c>
      <c r="J593" s="466">
        <v>4450</v>
      </c>
      <c r="K593" s="472">
        <f t="shared" si="9"/>
        <v>4800</v>
      </c>
      <c r="L593" s="472">
        <v>666</v>
      </c>
      <c r="M593" s="472">
        <v>666</v>
      </c>
      <c r="N593" s="472">
        <v>666</v>
      </c>
      <c r="O593" s="472">
        <v>666</v>
      </c>
      <c r="P593" s="466">
        <v>23</v>
      </c>
      <c r="Q593" s="468">
        <v>30</v>
      </c>
      <c r="R593" s="466">
        <v>107</v>
      </c>
      <c r="S593" s="468">
        <v>139</v>
      </c>
      <c r="T593" s="466">
        <v>850</v>
      </c>
      <c r="U593" s="468">
        <v>1040</v>
      </c>
      <c r="V593" s="468">
        <v>1.1000000000000001</v>
      </c>
      <c r="W593" s="466">
        <v>1100</v>
      </c>
      <c r="X593" s="468">
        <v>1250</v>
      </c>
      <c r="Y593" s="466">
        <v>160</v>
      </c>
      <c r="Z593" s="468">
        <v>180</v>
      </c>
      <c r="AA593" s="466">
        <v>3.6</v>
      </c>
      <c r="AB593" s="466">
        <v>0.6</v>
      </c>
      <c r="AC593" s="466">
        <v>5.0999999999999996</v>
      </c>
      <c r="AD593" s="466">
        <v>0.8</v>
      </c>
      <c r="AE593" s="466">
        <v>0.3</v>
      </c>
      <c r="AF593" s="468">
        <v>0.33</v>
      </c>
      <c r="AG593" s="466">
        <v>0.38</v>
      </c>
      <c r="AH593" s="468">
        <v>0.42</v>
      </c>
      <c r="AI593" s="466">
        <v>0.59</v>
      </c>
      <c r="AJ593" s="466">
        <v>-8</v>
      </c>
      <c r="AK593" s="466">
        <v>2.2000000000000002</v>
      </c>
      <c r="AL593" s="524">
        <v>25</v>
      </c>
      <c r="AM593" s="524">
        <v>25</v>
      </c>
    </row>
    <row r="594" spans="1:40" ht="25" customHeight="1" outlineLevel="1">
      <c r="A594" s="476" t="s">
        <v>1290</v>
      </c>
      <c r="B594" s="466">
        <v>5</v>
      </c>
      <c r="C594" s="466">
        <v>-24</v>
      </c>
      <c r="D594" s="466">
        <v>-26</v>
      </c>
      <c r="E594" s="466">
        <v>30</v>
      </c>
      <c r="F594" s="466">
        <v>22</v>
      </c>
      <c r="G594" s="468">
        <v>34</v>
      </c>
      <c r="H594" s="468">
        <v>25</v>
      </c>
      <c r="I594" s="466">
        <v>4950</v>
      </c>
      <c r="J594" s="466">
        <v>4030</v>
      </c>
      <c r="K594" s="472">
        <f t="shared" si="9"/>
        <v>4450</v>
      </c>
      <c r="L594" s="472">
        <v>666</v>
      </c>
      <c r="M594" s="472">
        <v>666</v>
      </c>
      <c r="N594" s="472">
        <v>666</v>
      </c>
      <c r="O594" s="472">
        <v>666</v>
      </c>
      <c r="P594" s="466">
        <v>20</v>
      </c>
      <c r="Q594" s="468">
        <v>26</v>
      </c>
      <c r="R594" s="466">
        <v>96</v>
      </c>
      <c r="S594" s="468">
        <v>124</v>
      </c>
      <c r="T594" s="466">
        <v>825</v>
      </c>
      <c r="U594" s="468">
        <v>1030</v>
      </c>
      <c r="V594" s="468">
        <v>1.2</v>
      </c>
      <c r="W594" s="466">
        <v>1050</v>
      </c>
      <c r="X594" s="468">
        <v>1210</v>
      </c>
      <c r="Y594" s="466">
        <v>200</v>
      </c>
      <c r="Z594" s="468">
        <v>220</v>
      </c>
      <c r="AA594" s="466">
        <v>3.4</v>
      </c>
      <c r="AB594" s="466">
        <v>0.6</v>
      </c>
      <c r="AC594" s="466">
        <v>4.8</v>
      </c>
      <c r="AD594" s="466">
        <v>0.9</v>
      </c>
      <c r="AE594" s="466">
        <v>0.32</v>
      </c>
      <c r="AF594" s="468">
        <v>0.35</v>
      </c>
      <c r="AG594" s="466">
        <v>0.41</v>
      </c>
      <c r="AH594" s="468">
        <v>0.45</v>
      </c>
      <c r="AI594" s="466">
        <v>0.64</v>
      </c>
      <c r="AJ594" s="466">
        <v>-7</v>
      </c>
      <c r="AK594" s="466">
        <v>3.2</v>
      </c>
      <c r="AL594" s="524">
        <v>25</v>
      </c>
      <c r="AM594" s="524">
        <v>25</v>
      </c>
    </row>
    <row r="595" spans="1:40" ht="25" customHeight="1" outlineLevel="1">
      <c r="A595" s="476" t="s">
        <v>1291</v>
      </c>
      <c r="B595" s="466">
        <v>20</v>
      </c>
      <c r="C595" s="466">
        <v>-23</v>
      </c>
      <c r="D595" s="466">
        <v>-25</v>
      </c>
      <c r="E595" s="466">
        <v>28</v>
      </c>
      <c r="F595" s="466">
        <v>21</v>
      </c>
      <c r="G595" s="468">
        <v>31</v>
      </c>
      <c r="H595" s="468">
        <v>24</v>
      </c>
      <c r="I595" s="466">
        <v>4680</v>
      </c>
      <c r="J595" s="466">
        <v>3770</v>
      </c>
      <c r="K595" s="472">
        <f t="shared" si="9"/>
        <v>4180</v>
      </c>
      <c r="L595" s="472">
        <v>666</v>
      </c>
      <c r="M595" s="472">
        <v>666</v>
      </c>
      <c r="N595" s="472">
        <v>666</v>
      </c>
      <c r="O595" s="472">
        <v>666</v>
      </c>
      <c r="P595" s="466">
        <v>20</v>
      </c>
      <c r="Q595" s="468">
        <v>26</v>
      </c>
      <c r="R595" s="466">
        <v>112</v>
      </c>
      <c r="S595" s="468">
        <v>143</v>
      </c>
      <c r="T595" s="466">
        <v>850</v>
      </c>
      <c r="U595" s="468">
        <v>1020</v>
      </c>
      <c r="V595" s="468">
        <v>1.2</v>
      </c>
      <c r="W595" s="466">
        <v>1175</v>
      </c>
      <c r="X595" s="468">
        <v>1330</v>
      </c>
      <c r="Y595" s="466">
        <v>220</v>
      </c>
      <c r="Z595" s="468">
        <v>240</v>
      </c>
      <c r="AA595" s="466">
        <v>3</v>
      </c>
      <c r="AB595" s="466">
        <v>0.6</v>
      </c>
      <c r="AC595" s="466">
        <v>4.3</v>
      </c>
      <c r="AD595" s="466">
        <v>0.9</v>
      </c>
      <c r="AE595" s="466">
        <v>0.39</v>
      </c>
      <c r="AF595" s="468">
        <v>0.43</v>
      </c>
      <c r="AG595" s="466">
        <v>0.5</v>
      </c>
      <c r="AH595" s="468">
        <v>0.55000000000000004</v>
      </c>
      <c r="AI595" s="466">
        <v>0.79</v>
      </c>
      <c r="AJ595" s="466">
        <v>-7</v>
      </c>
      <c r="AK595" s="466">
        <v>5.2</v>
      </c>
      <c r="AL595" s="524">
        <v>24</v>
      </c>
      <c r="AM595" s="524">
        <v>24</v>
      </c>
    </row>
    <row r="596" spans="1:40" ht="25" customHeight="1" outlineLevel="1">
      <c r="A596" s="476" t="s">
        <v>1292</v>
      </c>
      <c r="B596" s="466">
        <v>20</v>
      </c>
      <c r="C596" s="466">
        <v>-24</v>
      </c>
      <c r="D596" s="466">
        <v>-26</v>
      </c>
      <c r="E596" s="466">
        <v>29</v>
      </c>
      <c r="F596" s="466">
        <v>22</v>
      </c>
      <c r="G596" s="468">
        <v>33</v>
      </c>
      <c r="H596" s="468">
        <v>25</v>
      </c>
      <c r="I596" s="466">
        <v>4650</v>
      </c>
      <c r="J596" s="466">
        <v>3740</v>
      </c>
      <c r="K596" s="472">
        <f t="shared" si="9"/>
        <v>4150</v>
      </c>
      <c r="L596" s="472">
        <v>666</v>
      </c>
      <c r="M596" s="472">
        <v>666</v>
      </c>
      <c r="N596" s="472">
        <v>666</v>
      </c>
      <c r="O596" s="472">
        <v>666</v>
      </c>
      <c r="P596" s="466">
        <v>22</v>
      </c>
      <c r="Q596" s="468">
        <v>28</v>
      </c>
      <c r="R596" s="466">
        <v>112</v>
      </c>
      <c r="S596" s="468">
        <v>143</v>
      </c>
      <c r="T596" s="466">
        <v>900</v>
      </c>
      <c r="U596" s="468">
        <v>1060</v>
      </c>
      <c r="V596" s="468">
        <v>1.1000000000000001</v>
      </c>
      <c r="W596" s="466">
        <v>1110</v>
      </c>
      <c r="X596" s="468">
        <v>1250</v>
      </c>
      <c r="Y596" s="466">
        <v>160</v>
      </c>
      <c r="Z596" s="468">
        <v>170</v>
      </c>
      <c r="AA596" s="466">
        <v>3</v>
      </c>
      <c r="AB596" s="466">
        <v>0.6</v>
      </c>
      <c r="AC596" s="466">
        <v>4.4000000000000004</v>
      </c>
      <c r="AD596" s="466">
        <v>0.9</v>
      </c>
      <c r="AE596" s="466">
        <v>0.3</v>
      </c>
      <c r="AF596" s="468">
        <v>0.33</v>
      </c>
      <c r="AG596" s="466">
        <v>0.39</v>
      </c>
      <c r="AH596" s="468">
        <v>0.43</v>
      </c>
      <c r="AI596" s="466">
        <v>0.62</v>
      </c>
      <c r="AJ596" s="466">
        <v>-7</v>
      </c>
      <c r="AK596" s="466">
        <v>3.5</v>
      </c>
      <c r="AL596" s="524">
        <v>25</v>
      </c>
      <c r="AM596" s="524">
        <v>25</v>
      </c>
    </row>
    <row r="597" spans="1:40" ht="25" customHeight="1" outlineLevel="1">
      <c r="A597" s="476" t="s">
        <v>1293</v>
      </c>
      <c r="B597" s="466">
        <v>15</v>
      </c>
      <c r="C597" s="466">
        <v>-22</v>
      </c>
      <c r="D597" s="466">
        <v>-24</v>
      </c>
      <c r="E597" s="466">
        <v>27</v>
      </c>
      <c r="F597" s="466">
        <v>21</v>
      </c>
      <c r="G597" s="468">
        <v>30</v>
      </c>
      <c r="H597" s="468">
        <v>24</v>
      </c>
      <c r="I597" s="466">
        <v>4590</v>
      </c>
      <c r="J597" s="466">
        <v>3680</v>
      </c>
      <c r="K597" s="472">
        <f t="shared" si="9"/>
        <v>4090</v>
      </c>
      <c r="L597" s="472">
        <v>666</v>
      </c>
      <c r="M597" s="472">
        <v>666</v>
      </c>
      <c r="N597" s="472">
        <v>666</v>
      </c>
      <c r="O597" s="472">
        <v>666</v>
      </c>
      <c r="P597" s="466">
        <v>18</v>
      </c>
      <c r="Q597" s="468">
        <v>23</v>
      </c>
      <c r="R597" s="466">
        <v>112</v>
      </c>
      <c r="S597" s="468">
        <v>143</v>
      </c>
      <c r="T597" s="466">
        <v>975</v>
      </c>
      <c r="U597" s="468">
        <v>1160</v>
      </c>
      <c r="V597" s="468">
        <v>1.2</v>
      </c>
      <c r="W597" s="466">
        <v>1175</v>
      </c>
      <c r="X597" s="468">
        <v>1320</v>
      </c>
      <c r="Y597" s="466">
        <v>220</v>
      </c>
      <c r="Z597" s="468">
        <v>240</v>
      </c>
      <c r="AA597" s="466">
        <v>2.5</v>
      </c>
      <c r="AB597" s="466">
        <v>0.6</v>
      </c>
      <c r="AC597" s="466">
        <v>3.7</v>
      </c>
      <c r="AD597" s="466">
        <v>0.9</v>
      </c>
      <c r="AE597" s="466">
        <v>0.38</v>
      </c>
      <c r="AF597" s="468">
        <v>0.42</v>
      </c>
      <c r="AG597" s="466">
        <v>0.49</v>
      </c>
      <c r="AH597" s="468">
        <v>0.54</v>
      </c>
      <c r="AI597" s="466">
        <v>0.77</v>
      </c>
      <c r="AJ597" s="466">
        <v>-7</v>
      </c>
      <c r="AK597" s="466">
        <v>4.5</v>
      </c>
      <c r="AL597" s="524">
        <v>24</v>
      </c>
      <c r="AM597" s="524">
        <v>24</v>
      </c>
    </row>
    <row r="598" spans="1:40" ht="25" customHeight="1" outlineLevel="1">
      <c r="A598" s="476" t="s">
        <v>1294</v>
      </c>
      <c r="B598" s="466">
        <v>35</v>
      </c>
      <c r="C598" s="466">
        <v>-22</v>
      </c>
      <c r="D598" s="466">
        <v>-24</v>
      </c>
      <c r="E598" s="466">
        <v>25</v>
      </c>
      <c r="F598" s="466">
        <v>20</v>
      </c>
      <c r="G598" s="468">
        <v>28</v>
      </c>
      <c r="H598" s="468">
        <v>23</v>
      </c>
      <c r="I598" s="466">
        <v>4680</v>
      </c>
      <c r="J598" s="466">
        <v>3770</v>
      </c>
      <c r="K598" s="472">
        <f t="shared" si="9"/>
        <v>4180</v>
      </c>
      <c r="L598" s="472">
        <v>666</v>
      </c>
      <c r="M598" s="472">
        <v>666</v>
      </c>
      <c r="N598" s="472">
        <v>666</v>
      </c>
      <c r="O598" s="472">
        <v>666</v>
      </c>
      <c r="P598" s="466">
        <v>19</v>
      </c>
      <c r="Q598" s="468">
        <v>24</v>
      </c>
      <c r="R598" s="466">
        <v>123</v>
      </c>
      <c r="S598" s="468">
        <v>156</v>
      </c>
      <c r="T598" s="466">
        <v>1000</v>
      </c>
      <c r="U598" s="468">
        <v>1130</v>
      </c>
      <c r="V598" s="468">
        <v>1.3</v>
      </c>
      <c r="W598" s="466">
        <v>1200</v>
      </c>
      <c r="X598" s="468">
        <v>1310</v>
      </c>
      <c r="Y598" s="466">
        <v>220</v>
      </c>
      <c r="Z598" s="468">
        <v>230</v>
      </c>
      <c r="AA598" s="466">
        <v>2.8</v>
      </c>
      <c r="AB598" s="466">
        <v>0.6</v>
      </c>
      <c r="AC598" s="466">
        <v>4.0999999999999996</v>
      </c>
      <c r="AD598" s="466">
        <v>0.9</v>
      </c>
      <c r="AE598" s="466">
        <v>0.35</v>
      </c>
      <c r="AF598" s="468">
        <v>0.39</v>
      </c>
      <c r="AG598" s="466">
        <v>0.45</v>
      </c>
      <c r="AH598" s="468">
        <v>0.5</v>
      </c>
      <c r="AI598" s="466">
        <v>0.7</v>
      </c>
      <c r="AJ598" s="466">
        <v>-7</v>
      </c>
      <c r="AK598" s="466">
        <v>4.5</v>
      </c>
      <c r="AL598" s="524">
        <v>23</v>
      </c>
      <c r="AM598" s="524">
        <v>23</v>
      </c>
    </row>
    <row r="599" spans="1:40" ht="25" customHeight="1" outlineLevel="1">
      <c r="A599" s="476" t="s">
        <v>1295</v>
      </c>
      <c r="B599" s="466">
        <v>5</v>
      </c>
      <c r="C599" s="466">
        <v>-22</v>
      </c>
      <c r="D599" s="466">
        <v>-24</v>
      </c>
      <c r="E599" s="466">
        <v>25</v>
      </c>
      <c r="F599" s="466">
        <v>20</v>
      </c>
      <c r="G599" s="468">
        <v>28</v>
      </c>
      <c r="H599" s="468">
        <v>23</v>
      </c>
      <c r="I599" s="466">
        <v>4570</v>
      </c>
      <c r="J599" s="466">
        <v>3670</v>
      </c>
      <c r="K599" s="472">
        <f t="shared" si="9"/>
        <v>4070</v>
      </c>
      <c r="L599" s="472">
        <v>666</v>
      </c>
      <c r="M599" s="472">
        <v>666</v>
      </c>
      <c r="N599" s="472">
        <v>666</v>
      </c>
      <c r="O599" s="472">
        <v>666</v>
      </c>
      <c r="P599" s="466">
        <v>18</v>
      </c>
      <c r="Q599" s="468">
        <v>23</v>
      </c>
      <c r="R599" s="466">
        <v>139</v>
      </c>
      <c r="S599" s="468">
        <v>176</v>
      </c>
      <c r="T599" s="466">
        <v>1100</v>
      </c>
      <c r="U599" s="468">
        <v>1250</v>
      </c>
      <c r="V599" s="468">
        <v>1.4</v>
      </c>
      <c r="W599" s="466">
        <v>1425</v>
      </c>
      <c r="X599" s="468">
        <v>1560</v>
      </c>
      <c r="Y599" s="466">
        <v>260</v>
      </c>
      <c r="Z599" s="468">
        <v>270</v>
      </c>
      <c r="AA599" s="466">
        <v>2.2999999999999998</v>
      </c>
      <c r="AB599" s="466">
        <v>0.6</v>
      </c>
      <c r="AC599" s="466">
        <v>3.4</v>
      </c>
      <c r="AD599" s="466">
        <v>0.9</v>
      </c>
      <c r="AE599" s="466">
        <v>0.41</v>
      </c>
      <c r="AF599" s="468">
        <v>0.45</v>
      </c>
      <c r="AG599" s="466">
        <v>0.53</v>
      </c>
      <c r="AH599" s="468">
        <v>0.57999999999999996</v>
      </c>
      <c r="AI599" s="466">
        <v>0.83</v>
      </c>
      <c r="AJ599" s="466">
        <v>-7</v>
      </c>
      <c r="AK599" s="466">
        <v>4.5</v>
      </c>
      <c r="AL599" s="524">
        <v>23</v>
      </c>
      <c r="AM599" s="524">
        <v>23</v>
      </c>
    </row>
    <row r="600" spans="1:40" ht="25" customHeight="1" outlineLevel="1">
      <c r="A600" s="476" t="s">
        <v>1296</v>
      </c>
      <c r="B600" s="466">
        <v>5</v>
      </c>
      <c r="C600" s="466">
        <v>-22</v>
      </c>
      <c r="D600" s="466">
        <v>-24</v>
      </c>
      <c r="E600" s="466">
        <v>28</v>
      </c>
      <c r="F600" s="466">
        <v>21</v>
      </c>
      <c r="G600" s="468">
        <v>32</v>
      </c>
      <c r="H600" s="468">
        <v>24</v>
      </c>
      <c r="I600" s="466">
        <v>4930</v>
      </c>
      <c r="J600" s="466">
        <v>4010</v>
      </c>
      <c r="K600" s="472">
        <f t="shared" si="9"/>
        <v>4430</v>
      </c>
      <c r="L600" s="472">
        <v>666</v>
      </c>
      <c r="M600" s="472">
        <v>666</v>
      </c>
      <c r="N600" s="472">
        <v>666</v>
      </c>
      <c r="O600" s="472">
        <v>666</v>
      </c>
      <c r="P600" s="466">
        <v>18</v>
      </c>
      <c r="Q600" s="468">
        <v>23</v>
      </c>
      <c r="R600" s="466">
        <v>96</v>
      </c>
      <c r="S600" s="468">
        <v>124</v>
      </c>
      <c r="T600" s="466">
        <v>800</v>
      </c>
      <c r="U600" s="468">
        <v>1000</v>
      </c>
      <c r="V600" s="468">
        <v>1.1000000000000001</v>
      </c>
      <c r="W600" s="466">
        <v>1050</v>
      </c>
      <c r="X600" s="468">
        <v>1200</v>
      </c>
      <c r="Y600" s="466">
        <v>260</v>
      </c>
      <c r="Z600" s="468">
        <v>290</v>
      </c>
      <c r="AA600" s="466">
        <v>3.4</v>
      </c>
      <c r="AB600" s="466">
        <v>0.6</v>
      </c>
      <c r="AC600" s="466">
        <v>4.7</v>
      </c>
      <c r="AD600" s="466">
        <v>0.8</v>
      </c>
      <c r="AE600" s="466">
        <v>0.49</v>
      </c>
      <c r="AF600" s="468">
        <v>0.54</v>
      </c>
      <c r="AG600" s="466">
        <v>0.63</v>
      </c>
      <c r="AH600" s="468">
        <v>0.69</v>
      </c>
      <c r="AI600" s="466">
        <v>0.99</v>
      </c>
      <c r="AJ600" s="466">
        <v>-7</v>
      </c>
      <c r="AK600" s="466">
        <v>4.8</v>
      </c>
      <c r="AL600" s="524">
        <v>24</v>
      </c>
      <c r="AM600" s="524">
        <v>24</v>
      </c>
    </row>
    <row r="601" spans="1:40" ht="25" customHeight="1" outlineLevel="1">
      <c r="A601" s="476" t="s">
        <v>1297</v>
      </c>
      <c r="B601" s="466">
        <v>35</v>
      </c>
      <c r="C601" s="466">
        <v>-21</v>
      </c>
      <c r="D601" s="466">
        <v>-23</v>
      </c>
      <c r="E601" s="466">
        <v>25</v>
      </c>
      <c r="F601" s="466">
        <v>20</v>
      </c>
      <c r="G601" s="468">
        <v>28</v>
      </c>
      <c r="H601" s="468">
        <v>23</v>
      </c>
      <c r="I601" s="466">
        <v>4680</v>
      </c>
      <c r="J601" s="466">
        <v>3770</v>
      </c>
      <c r="K601" s="472">
        <f t="shared" si="9"/>
        <v>4180</v>
      </c>
      <c r="L601" s="472">
        <v>666</v>
      </c>
      <c r="M601" s="472">
        <v>666</v>
      </c>
      <c r="N601" s="472">
        <v>666</v>
      </c>
      <c r="O601" s="472">
        <v>666</v>
      </c>
      <c r="P601" s="466">
        <v>18</v>
      </c>
      <c r="Q601" s="468">
        <v>23</v>
      </c>
      <c r="R601" s="466">
        <v>123</v>
      </c>
      <c r="S601" s="468">
        <v>156</v>
      </c>
      <c r="T601" s="466">
        <v>1000</v>
      </c>
      <c r="U601" s="468">
        <v>1130</v>
      </c>
      <c r="V601" s="468">
        <v>1.3</v>
      </c>
      <c r="W601" s="466">
        <v>1200</v>
      </c>
      <c r="X601" s="468">
        <v>1310</v>
      </c>
      <c r="Y601" s="466">
        <v>220</v>
      </c>
      <c r="Z601" s="468">
        <v>230</v>
      </c>
      <c r="AA601" s="466">
        <v>2.8</v>
      </c>
      <c r="AB601" s="466">
        <v>0.6</v>
      </c>
      <c r="AC601" s="466">
        <v>4.2</v>
      </c>
      <c r="AD601" s="466">
        <v>0.9</v>
      </c>
      <c r="AE601" s="466">
        <v>0.35</v>
      </c>
      <c r="AF601" s="468">
        <v>0.39</v>
      </c>
      <c r="AG601" s="466">
        <v>0.45</v>
      </c>
      <c r="AH601" s="468">
        <v>0.5</v>
      </c>
      <c r="AI601" s="466">
        <v>0.7</v>
      </c>
      <c r="AJ601" s="466">
        <v>-7</v>
      </c>
      <c r="AK601" s="466">
        <v>4.5</v>
      </c>
      <c r="AL601" s="524">
        <v>23</v>
      </c>
      <c r="AM601" s="524">
        <v>23</v>
      </c>
    </row>
    <row r="602" spans="1:40" ht="25" customHeight="1" outlineLevel="1">
      <c r="A602" s="476" t="s">
        <v>1298</v>
      </c>
      <c r="B602" s="466">
        <v>20</v>
      </c>
      <c r="C602" s="466">
        <v>-24</v>
      </c>
      <c r="D602" s="466">
        <v>-26</v>
      </c>
      <c r="E602" s="466">
        <v>28</v>
      </c>
      <c r="F602" s="466">
        <v>22</v>
      </c>
      <c r="G602" s="468">
        <v>31</v>
      </c>
      <c r="H602" s="468">
        <v>25</v>
      </c>
      <c r="I602" s="466">
        <v>4700</v>
      </c>
      <c r="J602" s="466">
        <v>3790</v>
      </c>
      <c r="K602" s="472">
        <f t="shared" si="9"/>
        <v>4200</v>
      </c>
      <c r="L602" s="472">
        <v>666</v>
      </c>
      <c r="M602" s="472">
        <v>666</v>
      </c>
      <c r="N602" s="472">
        <v>666</v>
      </c>
      <c r="O602" s="472">
        <v>666</v>
      </c>
      <c r="P602" s="466">
        <v>20</v>
      </c>
      <c r="Q602" s="468">
        <v>25</v>
      </c>
      <c r="R602" s="466">
        <v>123</v>
      </c>
      <c r="S602" s="468">
        <v>156</v>
      </c>
      <c r="T602" s="466">
        <v>1000</v>
      </c>
      <c r="U602" s="468">
        <v>1150</v>
      </c>
      <c r="V602" s="468">
        <v>1.3</v>
      </c>
      <c r="W602" s="466">
        <v>1160</v>
      </c>
      <c r="X602" s="468">
        <v>1280</v>
      </c>
      <c r="Y602" s="466">
        <v>180</v>
      </c>
      <c r="Z602" s="468">
        <v>190</v>
      </c>
      <c r="AA602" s="466">
        <v>2.9</v>
      </c>
      <c r="AB602" s="466">
        <v>0.6</v>
      </c>
      <c r="AC602" s="466">
        <v>4.2</v>
      </c>
      <c r="AD602" s="466">
        <v>0.9</v>
      </c>
      <c r="AE602" s="466">
        <v>0.33</v>
      </c>
      <c r="AF602" s="468">
        <v>0.36</v>
      </c>
      <c r="AG602" s="466">
        <v>0.42</v>
      </c>
      <c r="AH602" s="468">
        <v>0.46</v>
      </c>
      <c r="AI602" s="466">
        <v>0.65</v>
      </c>
      <c r="AJ602" s="466">
        <v>-7</v>
      </c>
      <c r="AK602" s="466">
        <v>4</v>
      </c>
      <c r="AL602" s="524">
        <v>25</v>
      </c>
      <c r="AM602" s="524">
        <v>25</v>
      </c>
    </row>
    <row r="603" spans="1:40" s="473" customFormat="1" ht="25" customHeight="1" outlineLevel="1" thickBot="1">
      <c r="A603" s="477" t="s">
        <v>255</v>
      </c>
      <c r="B603" s="473">
        <v>60</v>
      </c>
      <c r="C603" s="473">
        <v>-26</v>
      </c>
      <c r="D603" s="473">
        <v>-29</v>
      </c>
      <c r="E603" s="473">
        <v>30</v>
      </c>
      <c r="F603" s="473">
        <v>22</v>
      </c>
      <c r="G603" s="474">
        <v>34</v>
      </c>
      <c r="H603" s="474">
        <v>25</v>
      </c>
      <c r="I603" s="473">
        <v>4910</v>
      </c>
      <c r="J603" s="473">
        <v>3990</v>
      </c>
      <c r="K603" s="472">
        <f t="shared" si="9"/>
        <v>4410</v>
      </c>
      <c r="L603" s="472">
        <v>666</v>
      </c>
      <c r="M603" s="472">
        <v>666</v>
      </c>
      <c r="N603" s="472">
        <v>666</v>
      </c>
      <c r="O603" s="472">
        <v>666</v>
      </c>
      <c r="P603" s="473">
        <v>22</v>
      </c>
      <c r="Q603" s="474">
        <v>28</v>
      </c>
      <c r="R603" s="473">
        <v>107</v>
      </c>
      <c r="S603" s="474">
        <v>138</v>
      </c>
      <c r="T603" s="473">
        <v>875</v>
      </c>
      <c r="U603" s="474">
        <v>1050</v>
      </c>
      <c r="V603" s="474">
        <v>1.1000000000000001</v>
      </c>
      <c r="W603" s="473">
        <v>1100</v>
      </c>
      <c r="X603" s="474">
        <v>1250</v>
      </c>
      <c r="Y603" s="473">
        <v>160</v>
      </c>
      <c r="Z603" s="474">
        <v>180</v>
      </c>
      <c r="AA603" s="473">
        <v>3.1</v>
      </c>
      <c r="AB603" s="473">
        <v>0.6</v>
      </c>
      <c r="AC603" s="473">
        <v>4.4000000000000004</v>
      </c>
      <c r="AD603" s="473">
        <v>0.9</v>
      </c>
      <c r="AE603" s="473">
        <v>0.28999999999999998</v>
      </c>
      <c r="AF603" s="474">
        <v>0.32</v>
      </c>
      <c r="AG603" s="473">
        <v>0.37</v>
      </c>
      <c r="AH603" s="474">
        <v>0.41</v>
      </c>
      <c r="AI603" s="473">
        <v>0.57999999999999996</v>
      </c>
      <c r="AJ603" s="473">
        <v>-8</v>
      </c>
      <c r="AK603" s="473">
        <v>2.4</v>
      </c>
      <c r="AL603" s="525">
        <v>25</v>
      </c>
      <c r="AM603" s="525">
        <v>25</v>
      </c>
      <c r="AN603" s="701"/>
    </row>
    <row r="604" spans="1:40" s="480" customFormat="1" ht="25" customHeight="1" thickTop="1" thickBot="1">
      <c r="A604" s="478" t="s">
        <v>1299</v>
      </c>
      <c r="AL604" s="526"/>
      <c r="AM604" s="526"/>
      <c r="AN604" s="702"/>
    </row>
    <row r="605" spans="1:40" s="471" customFormat="1" ht="25" customHeight="1" outlineLevel="1" thickTop="1">
      <c r="A605" s="475" t="s">
        <v>1300</v>
      </c>
      <c r="B605" s="471">
        <v>25</v>
      </c>
      <c r="C605" s="471">
        <v>-21</v>
      </c>
      <c r="D605" s="471">
        <v>-24</v>
      </c>
      <c r="E605" s="471">
        <v>27</v>
      </c>
      <c r="F605" s="471">
        <v>21</v>
      </c>
      <c r="G605" s="472">
        <v>31</v>
      </c>
      <c r="H605" s="472">
        <v>24</v>
      </c>
      <c r="I605" s="471">
        <v>4500</v>
      </c>
      <c r="J605" s="471">
        <v>3600</v>
      </c>
      <c r="K605" s="472">
        <f t="shared" si="9"/>
        <v>4000</v>
      </c>
      <c r="L605" s="472">
        <v>666</v>
      </c>
      <c r="M605" s="472">
        <v>666</v>
      </c>
      <c r="N605" s="472">
        <v>666</v>
      </c>
      <c r="O605" s="472">
        <v>666</v>
      </c>
      <c r="P605" s="471">
        <v>18</v>
      </c>
      <c r="Q605" s="472">
        <v>23</v>
      </c>
      <c r="R605" s="471">
        <v>118</v>
      </c>
      <c r="S605" s="472">
        <v>150</v>
      </c>
      <c r="T605" s="471">
        <v>950</v>
      </c>
      <c r="U605" s="472">
        <v>1130</v>
      </c>
      <c r="V605" s="472">
        <v>1.2</v>
      </c>
      <c r="W605" s="471">
        <v>1150</v>
      </c>
      <c r="X605" s="472">
        <v>1290</v>
      </c>
      <c r="Y605" s="471">
        <v>220</v>
      </c>
      <c r="Z605" s="472">
        <v>240</v>
      </c>
      <c r="AA605" s="471">
        <v>2.4</v>
      </c>
      <c r="AB605" s="471">
        <v>0.6</v>
      </c>
      <c r="AC605" s="471">
        <v>3.5</v>
      </c>
      <c r="AD605" s="471">
        <v>0.9</v>
      </c>
      <c r="AE605" s="471">
        <v>0.37</v>
      </c>
      <c r="AF605" s="472">
        <v>0.41</v>
      </c>
      <c r="AG605" s="471">
        <v>0.48</v>
      </c>
      <c r="AH605" s="472">
        <v>0.53</v>
      </c>
      <c r="AI605" s="471">
        <v>0.76</v>
      </c>
      <c r="AJ605" s="471">
        <v>-6</v>
      </c>
      <c r="AK605" s="471">
        <v>4.3</v>
      </c>
      <c r="AL605" s="490">
        <v>24</v>
      </c>
      <c r="AM605" s="490">
        <v>24</v>
      </c>
      <c r="AN605" s="699"/>
    </row>
    <row r="606" spans="1:40" ht="25" customHeight="1" outlineLevel="1">
      <c r="A606" s="476" t="s">
        <v>1301</v>
      </c>
      <c r="B606" s="466">
        <v>10</v>
      </c>
      <c r="C606" s="466">
        <v>-17</v>
      </c>
      <c r="D606" s="466">
        <v>-20</v>
      </c>
      <c r="E606" s="466">
        <v>27</v>
      </c>
      <c r="F606" s="466">
        <v>21</v>
      </c>
      <c r="G606" s="468">
        <v>31</v>
      </c>
      <c r="H606" s="468">
        <v>24</v>
      </c>
      <c r="I606" s="466">
        <v>4510</v>
      </c>
      <c r="J606" s="466">
        <v>3610</v>
      </c>
      <c r="K606" s="472">
        <f t="shared" si="9"/>
        <v>4010</v>
      </c>
      <c r="L606" s="472">
        <v>666</v>
      </c>
      <c r="M606" s="472">
        <v>666</v>
      </c>
      <c r="N606" s="472">
        <v>666</v>
      </c>
      <c r="O606" s="472">
        <v>666</v>
      </c>
      <c r="P606" s="466">
        <v>15</v>
      </c>
      <c r="Q606" s="468">
        <v>19</v>
      </c>
      <c r="R606" s="466">
        <v>123</v>
      </c>
      <c r="S606" s="468">
        <v>156</v>
      </c>
      <c r="T606" s="466">
        <v>1100</v>
      </c>
      <c r="U606" s="468">
        <v>1290</v>
      </c>
      <c r="V606" s="468">
        <v>1.4</v>
      </c>
      <c r="W606" s="466">
        <v>1250</v>
      </c>
      <c r="X606" s="468">
        <v>1380</v>
      </c>
      <c r="Y606" s="466">
        <v>240</v>
      </c>
      <c r="Z606" s="468">
        <v>250</v>
      </c>
      <c r="AA606" s="466">
        <v>2.2999999999999998</v>
      </c>
      <c r="AB606" s="466">
        <v>0.6</v>
      </c>
      <c r="AC606" s="466">
        <v>3.5</v>
      </c>
      <c r="AD606" s="466">
        <v>0.9</v>
      </c>
      <c r="AE606" s="466">
        <v>0.42</v>
      </c>
      <c r="AF606" s="468">
        <v>0.46</v>
      </c>
      <c r="AG606" s="466">
        <v>0.54</v>
      </c>
      <c r="AH606" s="468">
        <v>0.59</v>
      </c>
      <c r="AI606" s="466">
        <v>0.84</v>
      </c>
      <c r="AJ606" s="466">
        <v>-5</v>
      </c>
      <c r="AK606" s="466">
        <v>4.5999999999999996</v>
      </c>
      <c r="AL606" s="524">
        <v>24</v>
      </c>
      <c r="AM606" s="524">
        <v>24</v>
      </c>
    </row>
    <row r="607" spans="1:40" ht="25" customHeight="1" outlineLevel="1">
      <c r="A607" s="476" t="s">
        <v>1302</v>
      </c>
      <c r="B607" s="466">
        <v>10</v>
      </c>
      <c r="C607" s="466">
        <v>-15</v>
      </c>
      <c r="D607" s="466">
        <v>-17</v>
      </c>
      <c r="E607" s="466">
        <v>27</v>
      </c>
      <c r="F607" s="466">
        <v>20</v>
      </c>
      <c r="G607" s="468">
        <v>30</v>
      </c>
      <c r="H607" s="468">
        <v>23</v>
      </c>
      <c r="I607" s="466">
        <v>4140</v>
      </c>
      <c r="J607" s="466">
        <v>3250</v>
      </c>
      <c r="K607" s="472">
        <f t="shared" si="9"/>
        <v>3640</v>
      </c>
      <c r="L607" s="472">
        <v>666</v>
      </c>
      <c r="M607" s="472">
        <v>666</v>
      </c>
      <c r="N607" s="472">
        <v>666</v>
      </c>
      <c r="O607" s="472">
        <v>666</v>
      </c>
      <c r="P607" s="466">
        <v>16</v>
      </c>
      <c r="Q607" s="468">
        <v>20</v>
      </c>
      <c r="R607" s="466">
        <v>144</v>
      </c>
      <c r="S607" s="468">
        <v>181</v>
      </c>
      <c r="T607" s="466">
        <v>1300</v>
      </c>
      <c r="U607" s="468">
        <v>1450</v>
      </c>
      <c r="V607" s="468">
        <v>1.7</v>
      </c>
      <c r="W607" s="466">
        <v>1475</v>
      </c>
      <c r="X607" s="468">
        <v>1600</v>
      </c>
      <c r="Y607" s="466">
        <v>260</v>
      </c>
      <c r="Z607" s="468">
        <v>280</v>
      </c>
      <c r="AA607" s="466">
        <v>1.9</v>
      </c>
      <c r="AB607" s="466">
        <v>0.6</v>
      </c>
      <c r="AC607" s="466">
        <v>2.9</v>
      </c>
      <c r="AD607" s="466">
        <v>0.9</v>
      </c>
      <c r="AE607" s="466">
        <v>0.43</v>
      </c>
      <c r="AF607" s="468">
        <v>0.47</v>
      </c>
      <c r="AG607" s="466">
        <v>0.55000000000000004</v>
      </c>
      <c r="AH607" s="468">
        <v>0.61</v>
      </c>
      <c r="AI607" s="466">
        <v>0.85</v>
      </c>
      <c r="AJ607" s="466">
        <v>-5</v>
      </c>
      <c r="AK607" s="466">
        <v>4</v>
      </c>
      <c r="AL607" s="524">
        <v>23</v>
      </c>
      <c r="AM607" s="524">
        <v>23</v>
      </c>
    </row>
    <row r="608" spans="1:40" ht="25" customHeight="1" outlineLevel="1">
      <c r="A608" s="476" t="s">
        <v>1303</v>
      </c>
      <c r="B608" s="466">
        <v>5</v>
      </c>
      <c r="C608" s="466">
        <v>-13</v>
      </c>
      <c r="D608" s="466">
        <v>-15</v>
      </c>
      <c r="E608" s="466">
        <v>25</v>
      </c>
      <c r="F608" s="466">
        <v>20</v>
      </c>
      <c r="G608" s="468">
        <v>29</v>
      </c>
      <c r="H608" s="468">
        <v>23</v>
      </c>
      <c r="I608" s="466">
        <v>4400</v>
      </c>
      <c r="J608" s="466">
        <v>3500</v>
      </c>
      <c r="K608" s="472">
        <f t="shared" si="9"/>
        <v>3900</v>
      </c>
      <c r="L608" s="472">
        <v>666</v>
      </c>
      <c r="M608" s="472">
        <v>666</v>
      </c>
      <c r="N608" s="472">
        <v>666</v>
      </c>
      <c r="O608" s="472">
        <v>666</v>
      </c>
      <c r="P608" s="466">
        <v>15</v>
      </c>
      <c r="Q608" s="468">
        <v>19</v>
      </c>
      <c r="R608" s="466">
        <v>123</v>
      </c>
      <c r="S608" s="468">
        <v>155</v>
      </c>
      <c r="T608" s="466">
        <v>1325</v>
      </c>
      <c r="U608" s="468">
        <v>1470</v>
      </c>
      <c r="V608" s="468">
        <v>1.6</v>
      </c>
      <c r="W608" s="466">
        <v>1400</v>
      </c>
      <c r="X608" s="468">
        <v>1510</v>
      </c>
      <c r="Y608" s="466">
        <v>260</v>
      </c>
      <c r="AA608" s="466">
        <v>1.7</v>
      </c>
      <c r="AB608" s="466">
        <v>0.6</v>
      </c>
      <c r="AC608" s="466">
        <v>2.5</v>
      </c>
      <c r="AD608" s="466">
        <v>0.9</v>
      </c>
      <c r="AE608" s="466">
        <v>0.48</v>
      </c>
      <c r="AF608" s="468">
        <v>0.53</v>
      </c>
      <c r="AG608" s="466">
        <v>0.61</v>
      </c>
      <c r="AH608" s="468">
        <v>0.67</v>
      </c>
      <c r="AI608" s="466">
        <v>0.95</v>
      </c>
      <c r="AJ608" s="466">
        <v>-4</v>
      </c>
      <c r="AK608" s="466">
        <v>7.5</v>
      </c>
      <c r="AL608" s="524">
        <v>23</v>
      </c>
      <c r="AM608" s="524">
        <v>23</v>
      </c>
    </row>
    <row r="609" spans="1:39" ht="25" customHeight="1" outlineLevel="1">
      <c r="A609" s="476" t="s">
        <v>1304</v>
      </c>
      <c r="B609" s="466">
        <v>45</v>
      </c>
      <c r="C609" s="466">
        <v>-21</v>
      </c>
      <c r="D609" s="466">
        <v>-24</v>
      </c>
      <c r="E609" s="466">
        <v>27</v>
      </c>
      <c r="F609" s="466">
        <v>21</v>
      </c>
      <c r="G609" s="468">
        <v>31</v>
      </c>
      <c r="H609" s="468">
        <v>24</v>
      </c>
      <c r="I609" s="466">
        <v>4500</v>
      </c>
      <c r="J609" s="466">
        <v>3600</v>
      </c>
      <c r="K609" s="472">
        <f t="shared" si="9"/>
        <v>4000</v>
      </c>
      <c r="L609" s="472">
        <v>666</v>
      </c>
      <c r="M609" s="472">
        <v>666</v>
      </c>
      <c r="N609" s="472">
        <v>666</v>
      </c>
      <c r="O609" s="472">
        <v>666</v>
      </c>
      <c r="P609" s="466">
        <v>18</v>
      </c>
      <c r="Q609" s="468">
        <v>23</v>
      </c>
      <c r="R609" s="466">
        <v>118</v>
      </c>
      <c r="S609" s="468">
        <v>150</v>
      </c>
      <c r="T609" s="466">
        <v>1000</v>
      </c>
      <c r="U609" s="468">
        <v>1180</v>
      </c>
      <c r="V609" s="468">
        <v>1.3</v>
      </c>
      <c r="W609" s="466">
        <v>1200</v>
      </c>
      <c r="X609" s="468">
        <v>1350</v>
      </c>
      <c r="Y609" s="466">
        <v>240</v>
      </c>
      <c r="Z609" s="468">
        <v>260</v>
      </c>
      <c r="AA609" s="466">
        <v>2.1</v>
      </c>
      <c r="AB609" s="466">
        <v>0.6</v>
      </c>
      <c r="AC609" s="466">
        <v>3.1</v>
      </c>
      <c r="AD609" s="466">
        <v>0.9</v>
      </c>
      <c r="AE609" s="466">
        <v>0.37</v>
      </c>
      <c r="AF609" s="468">
        <v>0.41</v>
      </c>
      <c r="AG609" s="466">
        <v>0.48</v>
      </c>
      <c r="AH609" s="468">
        <v>0.53</v>
      </c>
      <c r="AI609" s="466">
        <v>0.76</v>
      </c>
      <c r="AJ609" s="466">
        <v>-6</v>
      </c>
      <c r="AK609" s="466">
        <v>3.8</v>
      </c>
      <c r="AL609" s="524">
        <v>24</v>
      </c>
      <c r="AM609" s="524">
        <v>24</v>
      </c>
    </row>
    <row r="610" spans="1:39" ht="25" customHeight="1" outlineLevel="1">
      <c r="A610" s="476" t="s">
        <v>1305</v>
      </c>
      <c r="B610" s="466">
        <v>35</v>
      </c>
      <c r="C610" s="466">
        <v>-15</v>
      </c>
      <c r="D610" s="466">
        <v>-17</v>
      </c>
      <c r="E610" s="466">
        <v>25</v>
      </c>
      <c r="F610" s="466">
        <v>20</v>
      </c>
      <c r="G610" s="468">
        <v>28</v>
      </c>
      <c r="H610" s="468">
        <v>23</v>
      </c>
      <c r="I610" s="466">
        <v>4020</v>
      </c>
      <c r="J610" s="466">
        <v>3130</v>
      </c>
      <c r="K610" s="472">
        <f t="shared" si="9"/>
        <v>3520</v>
      </c>
      <c r="L610" s="472">
        <v>666</v>
      </c>
      <c r="M610" s="472">
        <v>666</v>
      </c>
      <c r="N610" s="472">
        <v>666</v>
      </c>
      <c r="O610" s="472">
        <v>666</v>
      </c>
      <c r="P610" s="466">
        <v>15</v>
      </c>
      <c r="Q610" s="468">
        <v>19</v>
      </c>
      <c r="R610" s="466">
        <v>130</v>
      </c>
      <c r="S610" s="468">
        <v>163</v>
      </c>
      <c r="T610" s="466">
        <v>1100</v>
      </c>
      <c r="U610" s="468">
        <v>1240</v>
      </c>
      <c r="V610" s="468">
        <v>1.4</v>
      </c>
      <c r="W610" s="466">
        <v>1275</v>
      </c>
      <c r="X610" s="468">
        <v>1380</v>
      </c>
      <c r="Y610" s="466">
        <v>260</v>
      </c>
      <c r="Z610" s="468">
        <v>270</v>
      </c>
      <c r="AA610" s="466">
        <v>2.2000000000000002</v>
      </c>
      <c r="AB610" s="466">
        <v>0.6</v>
      </c>
      <c r="AC610" s="466">
        <v>3.2</v>
      </c>
      <c r="AD610" s="466">
        <v>0.9</v>
      </c>
      <c r="AE610" s="466">
        <v>0.43</v>
      </c>
      <c r="AF610" s="468">
        <v>0.47</v>
      </c>
      <c r="AG610" s="466">
        <v>0.55000000000000004</v>
      </c>
      <c r="AH610" s="468">
        <v>0.61</v>
      </c>
      <c r="AI610" s="466">
        <v>0.85</v>
      </c>
      <c r="AJ610" s="466">
        <v>-4</v>
      </c>
      <c r="AK610" s="466">
        <v>5</v>
      </c>
      <c r="AL610" s="524">
        <v>23</v>
      </c>
      <c r="AM610" s="524">
        <v>23</v>
      </c>
    </row>
    <row r="611" spans="1:39" ht="25" customHeight="1" outlineLevel="1">
      <c r="A611" s="476" t="s">
        <v>1306</v>
      </c>
      <c r="B611" s="466">
        <v>28</v>
      </c>
      <c r="C611" s="466">
        <v>-18</v>
      </c>
      <c r="D611" s="466">
        <v>-20</v>
      </c>
      <c r="E611" s="466">
        <v>29</v>
      </c>
      <c r="F611" s="466">
        <v>22</v>
      </c>
      <c r="G611" s="468">
        <v>32</v>
      </c>
      <c r="H611" s="468">
        <v>25</v>
      </c>
      <c r="I611" s="466">
        <v>4140</v>
      </c>
      <c r="J611" s="466">
        <v>3250</v>
      </c>
      <c r="K611" s="472">
        <f t="shared" si="9"/>
        <v>3640</v>
      </c>
      <c r="L611" s="472">
        <v>666</v>
      </c>
      <c r="M611" s="472">
        <v>666</v>
      </c>
      <c r="N611" s="472">
        <v>666</v>
      </c>
      <c r="O611" s="472">
        <v>666</v>
      </c>
      <c r="P611" s="466">
        <v>16</v>
      </c>
      <c r="Q611" s="468">
        <v>20</v>
      </c>
      <c r="R611" s="466">
        <v>118</v>
      </c>
      <c r="S611" s="468">
        <v>149</v>
      </c>
      <c r="T611" s="466">
        <v>925</v>
      </c>
      <c r="U611" s="468">
        <v>1060</v>
      </c>
      <c r="V611" s="468">
        <v>1.2</v>
      </c>
      <c r="W611" s="466">
        <v>1100</v>
      </c>
      <c r="X611" s="468">
        <v>1210</v>
      </c>
      <c r="Y611" s="466">
        <v>280</v>
      </c>
      <c r="Z611" s="468">
        <v>290</v>
      </c>
      <c r="AA611" s="466">
        <v>2.7</v>
      </c>
      <c r="AB611" s="466">
        <v>0.6</v>
      </c>
      <c r="AC611" s="466">
        <v>4</v>
      </c>
      <c r="AD611" s="466">
        <v>0.9</v>
      </c>
      <c r="AE611" s="466">
        <v>0.42</v>
      </c>
      <c r="AF611" s="468">
        <v>0.46</v>
      </c>
      <c r="AG611" s="466">
        <v>0.54</v>
      </c>
      <c r="AH611" s="468">
        <v>0.59</v>
      </c>
      <c r="AI611" s="466">
        <v>0.84</v>
      </c>
      <c r="AJ611" s="466">
        <v>-5</v>
      </c>
      <c r="AK611" s="466">
        <v>4.2</v>
      </c>
      <c r="AL611" s="524">
        <v>25</v>
      </c>
      <c r="AM611" s="524">
        <v>25</v>
      </c>
    </row>
    <row r="612" spans="1:39" ht="25" customHeight="1" outlineLevel="1">
      <c r="A612" s="476" t="s">
        <v>1307</v>
      </c>
      <c r="K612" s="472"/>
      <c r="L612" s="472"/>
      <c r="M612" s="472"/>
      <c r="N612" s="472"/>
      <c r="O612" s="472"/>
    </row>
    <row r="613" spans="1:39" ht="25" customHeight="1" outlineLevel="1">
      <c r="A613" s="476" t="s">
        <v>1308</v>
      </c>
      <c r="B613" s="466">
        <v>10</v>
      </c>
      <c r="C613" s="466">
        <v>-16</v>
      </c>
      <c r="D613" s="466">
        <v>-18</v>
      </c>
      <c r="E613" s="466">
        <v>26</v>
      </c>
      <c r="F613" s="466">
        <v>20</v>
      </c>
      <c r="G613" s="468">
        <v>29</v>
      </c>
      <c r="H613" s="468">
        <v>23</v>
      </c>
      <c r="I613" s="466">
        <v>4100</v>
      </c>
      <c r="J613" s="466">
        <v>3210</v>
      </c>
      <c r="K613" s="472">
        <f t="shared" si="9"/>
        <v>3600</v>
      </c>
      <c r="L613" s="472">
        <v>666</v>
      </c>
      <c r="M613" s="472">
        <v>666</v>
      </c>
      <c r="N613" s="472">
        <v>666</v>
      </c>
      <c r="O613" s="472">
        <v>666</v>
      </c>
      <c r="P613" s="466">
        <v>18</v>
      </c>
      <c r="Q613" s="468">
        <v>23</v>
      </c>
      <c r="R613" s="466">
        <v>144</v>
      </c>
      <c r="S613" s="468">
        <v>181</v>
      </c>
      <c r="T613" s="466">
        <v>1250</v>
      </c>
      <c r="U613" s="468">
        <v>1380</v>
      </c>
      <c r="V613" s="468">
        <v>1.6</v>
      </c>
      <c r="W613" s="466">
        <v>1400</v>
      </c>
      <c r="X613" s="468">
        <v>1510</v>
      </c>
      <c r="Y613" s="466">
        <v>280</v>
      </c>
      <c r="Z613" s="468">
        <v>290</v>
      </c>
      <c r="AA613" s="466">
        <v>1.6</v>
      </c>
      <c r="AB613" s="466">
        <v>0.6</v>
      </c>
      <c r="AC613" s="466">
        <v>2.4</v>
      </c>
      <c r="AD613" s="466">
        <v>0.9</v>
      </c>
      <c r="AE613" s="466">
        <v>0.45</v>
      </c>
      <c r="AF613" s="468">
        <v>0.5</v>
      </c>
      <c r="AG613" s="466">
        <v>0.57999999999999996</v>
      </c>
      <c r="AH613" s="468">
        <v>0.64</v>
      </c>
      <c r="AI613" s="466">
        <v>0.91</v>
      </c>
      <c r="AJ613" s="466">
        <v>-5</v>
      </c>
      <c r="AK613" s="466">
        <v>3.9</v>
      </c>
      <c r="AL613" s="524">
        <v>23</v>
      </c>
      <c r="AM613" s="524">
        <v>23</v>
      </c>
    </row>
    <row r="614" spans="1:39" ht="25" customHeight="1" outlineLevel="1">
      <c r="A614" s="476" t="s">
        <v>1309</v>
      </c>
      <c r="B614" s="466">
        <v>55</v>
      </c>
      <c r="C614" s="466">
        <v>-16</v>
      </c>
      <c r="D614" s="466">
        <v>-18</v>
      </c>
      <c r="E614" s="466">
        <v>26</v>
      </c>
      <c r="F614" s="466">
        <v>20</v>
      </c>
      <c r="G614" s="468">
        <v>29</v>
      </c>
      <c r="H614" s="468">
        <v>23</v>
      </c>
      <c r="I614" s="466">
        <v>4000</v>
      </c>
      <c r="J614" s="466">
        <v>3110</v>
      </c>
      <c r="K614" s="472">
        <f t="shared" si="9"/>
        <v>3500</v>
      </c>
      <c r="L614" s="472">
        <v>666</v>
      </c>
      <c r="M614" s="472">
        <v>666</v>
      </c>
      <c r="N614" s="472">
        <v>666</v>
      </c>
      <c r="O614" s="472">
        <v>666</v>
      </c>
      <c r="P614" s="466">
        <v>17</v>
      </c>
      <c r="Q614" s="468">
        <v>21</v>
      </c>
      <c r="R614" s="466">
        <v>150</v>
      </c>
      <c r="S614" s="468">
        <v>189</v>
      </c>
      <c r="T614" s="466">
        <v>1350</v>
      </c>
      <c r="U614" s="468">
        <v>1490</v>
      </c>
      <c r="V614" s="468">
        <v>1.7</v>
      </c>
      <c r="W614" s="466">
        <v>1500</v>
      </c>
      <c r="X614" s="468">
        <v>1610</v>
      </c>
      <c r="Y614" s="466">
        <v>280</v>
      </c>
      <c r="Z614" s="468">
        <v>290</v>
      </c>
      <c r="AA614" s="466">
        <v>1.9</v>
      </c>
      <c r="AB614" s="466">
        <v>0.6</v>
      </c>
      <c r="AC614" s="466">
        <v>2.8</v>
      </c>
      <c r="AD614" s="466">
        <v>0.9</v>
      </c>
      <c r="AE614" s="466">
        <v>0.45</v>
      </c>
      <c r="AF614" s="468">
        <v>0.5</v>
      </c>
      <c r="AG614" s="466">
        <v>0.57999999999999996</v>
      </c>
      <c r="AH614" s="468">
        <v>0.64</v>
      </c>
      <c r="AI614" s="466">
        <v>0.91</v>
      </c>
      <c r="AJ614" s="466">
        <v>-5</v>
      </c>
      <c r="AK614" s="466">
        <v>3.9</v>
      </c>
      <c r="AL614" s="524">
        <v>23</v>
      </c>
      <c r="AM614" s="524">
        <v>23</v>
      </c>
    </row>
    <row r="615" spans="1:39" ht="25" customHeight="1" outlineLevel="1">
      <c r="A615" s="476" t="s">
        <v>1310</v>
      </c>
      <c r="B615" s="466">
        <v>25</v>
      </c>
      <c r="C615" s="466">
        <v>-18</v>
      </c>
      <c r="D615" s="466">
        <v>-20</v>
      </c>
      <c r="E615" s="466">
        <v>28</v>
      </c>
      <c r="F615" s="466">
        <v>21</v>
      </c>
      <c r="G615" s="468">
        <v>31</v>
      </c>
      <c r="H615" s="468">
        <v>24</v>
      </c>
      <c r="I615" s="466">
        <v>4130</v>
      </c>
      <c r="J615" s="466">
        <v>3240</v>
      </c>
      <c r="K615" s="472">
        <f t="shared" si="9"/>
        <v>3630</v>
      </c>
      <c r="L615" s="472">
        <v>666</v>
      </c>
      <c r="M615" s="472">
        <v>666</v>
      </c>
      <c r="N615" s="472">
        <v>666</v>
      </c>
      <c r="O615" s="472">
        <v>666</v>
      </c>
      <c r="P615" s="466">
        <v>17</v>
      </c>
      <c r="Q615" s="468">
        <v>22</v>
      </c>
      <c r="R615" s="466">
        <v>118</v>
      </c>
      <c r="S615" s="468">
        <v>149</v>
      </c>
      <c r="T615" s="466">
        <v>950</v>
      </c>
      <c r="U615" s="468">
        <v>1100</v>
      </c>
      <c r="V615" s="468">
        <v>1.2</v>
      </c>
      <c r="W615" s="466">
        <v>1200</v>
      </c>
      <c r="X615" s="468">
        <v>1340</v>
      </c>
      <c r="Y615" s="466">
        <v>260</v>
      </c>
      <c r="Z615" s="468">
        <v>270</v>
      </c>
      <c r="AA615" s="466">
        <v>2.6</v>
      </c>
      <c r="AB615" s="466">
        <v>0.6</v>
      </c>
      <c r="AC615" s="466">
        <v>3.9</v>
      </c>
      <c r="AD615" s="466">
        <v>0.9</v>
      </c>
      <c r="AE615" s="466">
        <v>0.42</v>
      </c>
      <c r="AF615" s="468">
        <v>0.46</v>
      </c>
      <c r="AG615" s="466">
        <v>0.54</v>
      </c>
      <c r="AH615" s="468">
        <v>0.59</v>
      </c>
      <c r="AI615" s="466">
        <v>0.84</v>
      </c>
      <c r="AJ615" s="466">
        <v>-5</v>
      </c>
      <c r="AK615" s="466">
        <v>3.2</v>
      </c>
      <c r="AL615" s="524">
        <v>24</v>
      </c>
      <c r="AM615" s="524">
        <v>24</v>
      </c>
    </row>
    <row r="616" spans="1:39" ht="25" customHeight="1" outlineLevel="1">
      <c r="A616" s="476" t="s">
        <v>1311</v>
      </c>
      <c r="B616" s="466">
        <v>20</v>
      </c>
      <c r="C616" s="466">
        <v>-16</v>
      </c>
      <c r="D616" s="466">
        <v>-18</v>
      </c>
      <c r="E616" s="466">
        <v>27</v>
      </c>
      <c r="F616" s="466">
        <v>20</v>
      </c>
      <c r="G616" s="468">
        <v>30</v>
      </c>
      <c r="H616" s="468">
        <v>23</v>
      </c>
      <c r="I616" s="466">
        <v>3990</v>
      </c>
      <c r="J616" s="466">
        <v>3100</v>
      </c>
      <c r="K616" s="472">
        <f t="shared" si="9"/>
        <v>3490</v>
      </c>
      <c r="L616" s="472">
        <v>666</v>
      </c>
      <c r="M616" s="472">
        <v>666</v>
      </c>
      <c r="N616" s="472">
        <v>666</v>
      </c>
      <c r="O616" s="472">
        <v>666</v>
      </c>
      <c r="P616" s="466">
        <v>16</v>
      </c>
      <c r="Q616" s="468">
        <v>20</v>
      </c>
      <c r="R616" s="466">
        <v>150</v>
      </c>
      <c r="S616" s="468">
        <v>188</v>
      </c>
      <c r="T616" s="466">
        <v>1325</v>
      </c>
      <c r="U616" s="468">
        <v>1450</v>
      </c>
      <c r="V616" s="468">
        <v>1.6</v>
      </c>
      <c r="W616" s="466">
        <v>1425</v>
      </c>
      <c r="X616" s="468">
        <v>1530</v>
      </c>
      <c r="Y616" s="466">
        <v>280</v>
      </c>
      <c r="Z616" s="468">
        <v>290</v>
      </c>
      <c r="AA616" s="466">
        <v>1.7</v>
      </c>
      <c r="AB616" s="466">
        <v>0.6</v>
      </c>
      <c r="AC616" s="466">
        <v>2.5</v>
      </c>
      <c r="AD616" s="466">
        <v>0.9</v>
      </c>
      <c r="AE616" s="466">
        <v>0.48</v>
      </c>
      <c r="AF616" s="468">
        <v>0.53</v>
      </c>
      <c r="AG616" s="466">
        <v>0.61</v>
      </c>
      <c r="AH616" s="468">
        <v>0.67</v>
      </c>
      <c r="AI616" s="466">
        <v>0.95</v>
      </c>
      <c r="AJ616" s="466">
        <v>-5</v>
      </c>
      <c r="AK616" s="466">
        <v>4.0999999999999996</v>
      </c>
      <c r="AL616" s="524">
        <v>23</v>
      </c>
      <c r="AM616" s="524">
        <v>23</v>
      </c>
    </row>
    <row r="617" spans="1:39" ht="25" customHeight="1" outlineLevel="1">
      <c r="A617" s="476" t="s">
        <v>1312</v>
      </c>
      <c r="B617" s="466">
        <v>5</v>
      </c>
      <c r="C617" s="466">
        <v>-14</v>
      </c>
      <c r="D617" s="466">
        <v>-16</v>
      </c>
      <c r="E617" s="466">
        <v>25</v>
      </c>
      <c r="F617" s="466">
        <v>20</v>
      </c>
      <c r="G617" s="468">
        <v>28</v>
      </c>
      <c r="H617" s="468">
        <v>23</v>
      </c>
      <c r="I617" s="466">
        <v>4000</v>
      </c>
      <c r="J617" s="466">
        <v>3110</v>
      </c>
      <c r="K617" s="472">
        <f t="shared" si="9"/>
        <v>3500</v>
      </c>
      <c r="L617" s="472">
        <v>666</v>
      </c>
      <c r="M617" s="472">
        <v>666</v>
      </c>
      <c r="N617" s="472">
        <v>666</v>
      </c>
      <c r="O617" s="472">
        <v>666</v>
      </c>
      <c r="P617" s="466">
        <v>18</v>
      </c>
      <c r="Q617" s="468">
        <v>22</v>
      </c>
      <c r="R617" s="466">
        <v>139</v>
      </c>
      <c r="S617" s="468">
        <v>173</v>
      </c>
      <c r="T617" s="466">
        <v>1250</v>
      </c>
      <c r="U617" s="468">
        <v>1360</v>
      </c>
      <c r="V617" s="468">
        <v>1.5</v>
      </c>
      <c r="W617" s="466">
        <v>1450</v>
      </c>
      <c r="X617" s="468">
        <v>1550</v>
      </c>
      <c r="Y617" s="466">
        <v>280</v>
      </c>
      <c r="Z617" s="468">
        <v>290</v>
      </c>
      <c r="AA617" s="466">
        <v>1.4</v>
      </c>
      <c r="AB617" s="466">
        <v>0.6</v>
      </c>
      <c r="AC617" s="466">
        <v>2.1</v>
      </c>
      <c r="AD617" s="466">
        <v>0.9</v>
      </c>
      <c r="AE617" s="466">
        <v>0.47</v>
      </c>
      <c r="AF617" s="468">
        <v>0.52</v>
      </c>
      <c r="AG617" s="466">
        <v>0.6</v>
      </c>
      <c r="AH617" s="468">
        <v>0.66</v>
      </c>
      <c r="AI617" s="466">
        <v>0.94</v>
      </c>
      <c r="AJ617" s="466">
        <v>-4</v>
      </c>
      <c r="AK617" s="466">
        <v>5.5</v>
      </c>
      <c r="AL617" s="524">
        <v>23</v>
      </c>
      <c r="AM617" s="524">
        <v>23</v>
      </c>
    </row>
    <row r="618" spans="1:39" ht="25" customHeight="1" outlineLevel="1">
      <c r="A618" s="476" t="s">
        <v>1313</v>
      </c>
      <c r="B618" s="466">
        <v>5</v>
      </c>
      <c r="C618" s="466">
        <v>-15</v>
      </c>
      <c r="D618" s="466">
        <v>-17</v>
      </c>
      <c r="E618" s="466">
        <v>26</v>
      </c>
      <c r="F618" s="466">
        <v>20</v>
      </c>
      <c r="G618" s="468">
        <v>30</v>
      </c>
      <c r="H618" s="468">
        <v>23</v>
      </c>
      <c r="I618" s="466">
        <v>4530</v>
      </c>
      <c r="J618" s="466">
        <v>3630</v>
      </c>
      <c r="K618" s="472">
        <f t="shared" si="9"/>
        <v>4030</v>
      </c>
      <c r="L618" s="472">
        <v>666</v>
      </c>
      <c r="M618" s="472">
        <v>666</v>
      </c>
      <c r="N618" s="472">
        <v>666</v>
      </c>
      <c r="O618" s="472">
        <v>666</v>
      </c>
      <c r="P618" s="466">
        <v>15</v>
      </c>
      <c r="Q618" s="468">
        <v>19</v>
      </c>
      <c r="R618" s="466">
        <v>118</v>
      </c>
      <c r="S618" s="468">
        <v>149</v>
      </c>
      <c r="T618" s="466">
        <v>1300</v>
      </c>
      <c r="U618" s="468">
        <v>1460</v>
      </c>
      <c r="V618" s="468">
        <v>1.7</v>
      </c>
      <c r="W618" s="466">
        <v>1500</v>
      </c>
      <c r="X618" s="468">
        <v>1620</v>
      </c>
      <c r="Y618" s="466">
        <v>300</v>
      </c>
      <c r="AA618" s="466">
        <v>2.1</v>
      </c>
      <c r="AB618" s="466">
        <v>0.7</v>
      </c>
      <c r="AC618" s="466">
        <v>3.2</v>
      </c>
      <c r="AD618" s="466">
        <v>1.1000000000000001</v>
      </c>
      <c r="AE618" s="466">
        <v>0.51</v>
      </c>
      <c r="AF618" s="468">
        <v>0.56000000000000005</v>
      </c>
      <c r="AG618" s="466">
        <v>0.65</v>
      </c>
      <c r="AH618" s="468">
        <v>0.72</v>
      </c>
      <c r="AI618" s="466">
        <v>1</v>
      </c>
      <c r="AJ618" s="466">
        <v>-5</v>
      </c>
      <c r="AK618" s="466">
        <v>6</v>
      </c>
      <c r="AL618" s="524">
        <v>23</v>
      </c>
      <c r="AM618" s="524">
        <v>23</v>
      </c>
    </row>
    <row r="619" spans="1:39" ht="25" customHeight="1" outlineLevel="1">
      <c r="A619" s="476" t="s">
        <v>1314</v>
      </c>
      <c r="B619" s="466">
        <v>25</v>
      </c>
      <c r="C619" s="466">
        <v>-15</v>
      </c>
      <c r="D619" s="466">
        <v>-17</v>
      </c>
      <c r="E619" s="466">
        <v>26</v>
      </c>
      <c r="F619" s="466">
        <v>20</v>
      </c>
      <c r="G619" s="468">
        <v>29</v>
      </c>
      <c r="H619" s="468">
        <v>23</v>
      </c>
      <c r="I619" s="466">
        <v>4140</v>
      </c>
      <c r="J619" s="466">
        <v>3250</v>
      </c>
      <c r="K619" s="472">
        <f t="shared" si="9"/>
        <v>3640</v>
      </c>
      <c r="L619" s="472">
        <v>666</v>
      </c>
      <c r="M619" s="472">
        <v>666</v>
      </c>
      <c r="N619" s="472">
        <v>666</v>
      </c>
      <c r="O619" s="472">
        <v>666</v>
      </c>
      <c r="P619" s="466">
        <v>16</v>
      </c>
      <c r="Q619" s="468">
        <v>20</v>
      </c>
      <c r="R619" s="466">
        <v>144</v>
      </c>
      <c r="S619" s="468">
        <v>181</v>
      </c>
      <c r="T619" s="466">
        <v>1300</v>
      </c>
      <c r="U619" s="468">
        <v>1440</v>
      </c>
      <c r="V619" s="468">
        <v>1.7</v>
      </c>
      <c r="W619" s="466">
        <v>1450</v>
      </c>
      <c r="X619" s="468">
        <v>1570</v>
      </c>
      <c r="Y619" s="466">
        <v>260</v>
      </c>
      <c r="Z619" s="468">
        <v>270</v>
      </c>
      <c r="AA619" s="466">
        <v>1.9</v>
      </c>
      <c r="AB619" s="466">
        <v>0.6</v>
      </c>
      <c r="AC619" s="466">
        <v>2.8</v>
      </c>
      <c r="AD619" s="466">
        <v>0.9</v>
      </c>
      <c r="AE619" s="466">
        <v>0.48</v>
      </c>
      <c r="AF619" s="468">
        <v>0.53</v>
      </c>
      <c r="AG619" s="466">
        <v>0.61</v>
      </c>
      <c r="AH619" s="468">
        <v>0.67</v>
      </c>
      <c r="AI619" s="466">
        <v>0.95</v>
      </c>
      <c r="AJ619" s="466">
        <v>-5</v>
      </c>
      <c r="AK619" s="466">
        <v>4.0999999999999996</v>
      </c>
      <c r="AL619" s="524">
        <v>23</v>
      </c>
      <c r="AM619" s="524">
        <v>23</v>
      </c>
    </row>
    <row r="620" spans="1:39" ht="25" customHeight="1" outlineLevel="1">
      <c r="A620" s="476" t="s">
        <v>1315</v>
      </c>
      <c r="B620" s="466">
        <v>30</v>
      </c>
      <c r="C620" s="466">
        <v>-19</v>
      </c>
      <c r="D620" s="466">
        <v>-21</v>
      </c>
      <c r="E620" s="466">
        <v>27</v>
      </c>
      <c r="F620" s="466">
        <v>21</v>
      </c>
      <c r="G620" s="468">
        <v>31</v>
      </c>
      <c r="H620" s="468">
        <v>24</v>
      </c>
      <c r="I620" s="466">
        <v>4320</v>
      </c>
      <c r="J620" s="466">
        <v>3420</v>
      </c>
      <c r="K620" s="472">
        <f t="shared" si="9"/>
        <v>3820</v>
      </c>
      <c r="L620" s="472">
        <v>666</v>
      </c>
      <c r="M620" s="472">
        <v>666</v>
      </c>
      <c r="N620" s="472">
        <v>666</v>
      </c>
      <c r="O620" s="472">
        <v>666</v>
      </c>
      <c r="P620" s="466">
        <v>15</v>
      </c>
      <c r="Q620" s="468">
        <v>19</v>
      </c>
      <c r="R620" s="466">
        <v>135</v>
      </c>
      <c r="S620" s="468">
        <v>171</v>
      </c>
      <c r="T620" s="466">
        <v>975</v>
      </c>
      <c r="U620" s="468">
        <v>1150</v>
      </c>
      <c r="V620" s="468">
        <v>1.2</v>
      </c>
      <c r="W620" s="466">
        <v>1200</v>
      </c>
      <c r="X620" s="468">
        <v>1340</v>
      </c>
      <c r="Y620" s="466">
        <v>260</v>
      </c>
      <c r="Z620" s="468">
        <v>280</v>
      </c>
      <c r="AA620" s="466">
        <v>2.2000000000000002</v>
      </c>
      <c r="AB620" s="466">
        <v>0.6</v>
      </c>
      <c r="AC620" s="466">
        <v>3.2</v>
      </c>
      <c r="AD620" s="466">
        <v>0.9</v>
      </c>
      <c r="AE620" s="466">
        <v>0.43</v>
      </c>
      <c r="AF620" s="468">
        <v>0.47</v>
      </c>
      <c r="AG620" s="466">
        <v>0.55000000000000004</v>
      </c>
      <c r="AH620" s="468">
        <v>0.61</v>
      </c>
      <c r="AI620" s="466">
        <v>0.85</v>
      </c>
      <c r="AJ620" s="466">
        <v>-6</v>
      </c>
      <c r="AK620" s="466">
        <v>4.5999999999999996</v>
      </c>
      <c r="AL620" s="524">
        <v>24</v>
      </c>
      <c r="AM620" s="524">
        <v>24</v>
      </c>
    </row>
    <row r="621" spans="1:39" ht="25" customHeight="1" outlineLevel="1">
      <c r="A621" s="476" t="s">
        <v>1316</v>
      </c>
      <c r="B621" s="466">
        <v>20</v>
      </c>
      <c r="C621" s="466">
        <v>-16</v>
      </c>
      <c r="D621" s="466">
        <v>-19</v>
      </c>
      <c r="E621" s="466">
        <v>27</v>
      </c>
      <c r="F621" s="466">
        <v>21</v>
      </c>
      <c r="G621" s="468">
        <v>31</v>
      </c>
      <c r="H621" s="468">
        <v>24</v>
      </c>
      <c r="I621" s="466">
        <v>4500</v>
      </c>
      <c r="J621" s="466">
        <v>3600</v>
      </c>
      <c r="K621" s="472">
        <f t="shared" si="9"/>
        <v>4000</v>
      </c>
      <c r="L621" s="472">
        <v>666</v>
      </c>
      <c r="M621" s="472">
        <v>666</v>
      </c>
      <c r="N621" s="472">
        <v>666</v>
      </c>
      <c r="O621" s="472">
        <v>666</v>
      </c>
      <c r="P621" s="466">
        <v>15</v>
      </c>
      <c r="Q621" s="468">
        <v>19</v>
      </c>
      <c r="R621" s="466">
        <v>123</v>
      </c>
      <c r="S621" s="468">
        <v>156</v>
      </c>
      <c r="T621" s="466">
        <v>1200</v>
      </c>
      <c r="U621" s="468">
        <v>1370</v>
      </c>
      <c r="V621" s="468">
        <v>1.6</v>
      </c>
      <c r="W621" s="466">
        <v>1475</v>
      </c>
      <c r="X621" s="468">
        <v>1600</v>
      </c>
      <c r="Y621" s="466">
        <v>300</v>
      </c>
      <c r="AA621" s="466">
        <v>2.4</v>
      </c>
      <c r="AB621" s="466">
        <v>0.6</v>
      </c>
      <c r="AC621" s="466">
        <v>3.6</v>
      </c>
      <c r="AD621" s="466">
        <v>0.9</v>
      </c>
      <c r="AE621" s="466">
        <v>0.46</v>
      </c>
      <c r="AF621" s="468">
        <v>0.51</v>
      </c>
      <c r="AG621" s="466">
        <v>0.59</v>
      </c>
      <c r="AH621" s="468">
        <v>0.65</v>
      </c>
      <c r="AI621" s="466">
        <v>0.92</v>
      </c>
      <c r="AJ621" s="466">
        <v>-5</v>
      </c>
      <c r="AK621" s="466">
        <v>5.6</v>
      </c>
      <c r="AL621" s="524">
        <v>24</v>
      </c>
      <c r="AM621" s="524">
        <v>24</v>
      </c>
    </row>
    <row r="622" spans="1:39" ht="25" customHeight="1" outlineLevel="1">
      <c r="A622" s="476" t="s">
        <v>1317</v>
      </c>
      <c r="B622" s="466">
        <v>25</v>
      </c>
      <c r="C622" s="466">
        <v>-19</v>
      </c>
      <c r="D622" s="466">
        <v>-21</v>
      </c>
      <c r="E622" s="466">
        <v>27</v>
      </c>
      <c r="F622" s="466">
        <v>21</v>
      </c>
      <c r="G622" s="468">
        <v>31</v>
      </c>
      <c r="H622" s="468">
        <v>24</v>
      </c>
      <c r="I622" s="466">
        <v>4310</v>
      </c>
      <c r="J622" s="466">
        <v>3410</v>
      </c>
      <c r="K622" s="472">
        <f t="shared" si="9"/>
        <v>3810</v>
      </c>
      <c r="L622" s="472">
        <v>666</v>
      </c>
      <c r="M622" s="472">
        <v>666</v>
      </c>
      <c r="N622" s="472">
        <v>666</v>
      </c>
      <c r="O622" s="472">
        <v>666</v>
      </c>
      <c r="P622" s="466">
        <v>15</v>
      </c>
      <c r="Q622" s="468">
        <v>19</v>
      </c>
      <c r="R622" s="466">
        <v>107</v>
      </c>
      <c r="S622" s="468">
        <v>136</v>
      </c>
      <c r="T622" s="466">
        <v>950</v>
      </c>
      <c r="U622" s="468">
        <v>1120</v>
      </c>
      <c r="V622" s="468">
        <v>1.2</v>
      </c>
      <c r="W622" s="466">
        <v>1175</v>
      </c>
      <c r="X622" s="468">
        <v>1310</v>
      </c>
      <c r="Y622" s="466">
        <v>260</v>
      </c>
      <c r="Z622" s="468">
        <v>280</v>
      </c>
      <c r="AA622" s="466">
        <v>2.2000000000000002</v>
      </c>
      <c r="AB622" s="466">
        <v>0.6</v>
      </c>
      <c r="AC622" s="466">
        <v>3.3</v>
      </c>
      <c r="AD622" s="466">
        <v>0.9</v>
      </c>
      <c r="AE622" s="466">
        <v>0.43</v>
      </c>
      <c r="AF622" s="468">
        <v>0.47</v>
      </c>
      <c r="AG622" s="466">
        <v>0.55000000000000004</v>
      </c>
      <c r="AH622" s="468">
        <v>0.61</v>
      </c>
      <c r="AI622" s="466">
        <v>0.85</v>
      </c>
      <c r="AJ622" s="466">
        <v>-6</v>
      </c>
      <c r="AK622" s="466">
        <v>4.5999999999999996</v>
      </c>
      <c r="AL622" s="524">
        <v>24</v>
      </c>
      <c r="AM622" s="524">
        <v>24</v>
      </c>
    </row>
    <row r="623" spans="1:39" ht="25" customHeight="1" outlineLevel="1">
      <c r="A623" s="476" t="s">
        <v>1318</v>
      </c>
      <c r="B623" s="466">
        <v>40</v>
      </c>
      <c r="C623" s="466">
        <v>-17</v>
      </c>
      <c r="D623" s="466">
        <v>-19</v>
      </c>
      <c r="E623" s="466">
        <v>27</v>
      </c>
      <c r="F623" s="466">
        <v>21</v>
      </c>
      <c r="G623" s="468">
        <v>31</v>
      </c>
      <c r="H623" s="468">
        <v>24</v>
      </c>
      <c r="I623" s="466">
        <v>4500</v>
      </c>
      <c r="J623" s="466">
        <v>3600</v>
      </c>
      <c r="K623" s="472">
        <f t="shared" si="9"/>
        <v>4000</v>
      </c>
      <c r="L623" s="472">
        <v>666</v>
      </c>
      <c r="M623" s="472">
        <v>666</v>
      </c>
      <c r="N623" s="472">
        <v>666</v>
      </c>
      <c r="O623" s="472">
        <v>666</v>
      </c>
      <c r="P623" s="466">
        <v>15</v>
      </c>
      <c r="Q623" s="468">
        <v>19</v>
      </c>
      <c r="R623" s="466">
        <v>128</v>
      </c>
      <c r="S623" s="468">
        <v>162</v>
      </c>
      <c r="T623" s="466">
        <v>1325</v>
      </c>
      <c r="U623" s="468">
        <v>1500</v>
      </c>
      <c r="V623" s="468">
        <v>1.6</v>
      </c>
      <c r="W623" s="466">
        <v>1450</v>
      </c>
      <c r="X623" s="468">
        <v>1580</v>
      </c>
      <c r="Y623" s="466">
        <v>260</v>
      </c>
      <c r="AA623" s="466">
        <v>2.1</v>
      </c>
      <c r="AB623" s="466">
        <v>0.6</v>
      </c>
      <c r="AC623" s="466">
        <v>3.2</v>
      </c>
      <c r="AD623" s="466">
        <v>0.9</v>
      </c>
      <c r="AE623" s="466">
        <v>0.48</v>
      </c>
      <c r="AF623" s="468">
        <v>0.53</v>
      </c>
      <c r="AG623" s="466">
        <v>0.61</v>
      </c>
      <c r="AH623" s="468">
        <v>0.67</v>
      </c>
      <c r="AI623" s="466">
        <v>0.95</v>
      </c>
      <c r="AJ623" s="466">
        <v>-5</v>
      </c>
      <c r="AK623" s="466">
        <v>4.9000000000000004</v>
      </c>
      <c r="AL623" s="524">
        <v>24</v>
      </c>
      <c r="AM623" s="524">
        <v>24</v>
      </c>
    </row>
    <row r="624" spans="1:39" ht="25" customHeight="1" outlineLevel="1">
      <c r="A624" s="476" t="s">
        <v>1319</v>
      </c>
      <c r="B624" s="466">
        <v>185</v>
      </c>
      <c r="C624" s="466">
        <v>-20</v>
      </c>
      <c r="D624" s="466">
        <v>-23</v>
      </c>
      <c r="E624" s="466">
        <v>27</v>
      </c>
      <c r="F624" s="466">
        <v>21</v>
      </c>
      <c r="G624" s="468">
        <v>31</v>
      </c>
      <c r="H624" s="468">
        <v>24</v>
      </c>
      <c r="I624" s="466">
        <v>4540</v>
      </c>
      <c r="J624" s="466">
        <v>3640</v>
      </c>
      <c r="K624" s="472">
        <f t="shared" si="9"/>
        <v>4040</v>
      </c>
      <c r="L624" s="472">
        <v>666</v>
      </c>
      <c r="M624" s="472">
        <v>666</v>
      </c>
      <c r="N624" s="472">
        <v>666</v>
      </c>
      <c r="O624" s="472">
        <v>666</v>
      </c>
      <c r="P624" s="466">
        <v>18</v>
      </c>
      <c r="Q624" s="468">
        <v>23</v>
      </c>
      <c r="R624" s="466">
        <v>118</v>
      </c>
      <c r="S624" s="468">
        <v>150</v>
      </c>
      <c r="T624" s="466">
        <v>1075</v>
      </c>
      <c r="U624" s="468">
        <v>1270</v>
      </c>
      <c r="V624" s="468">
        <v>1.3</v>
      </c>
      <c r="W624" s="466">
        <v>1175</v>
      </c>
      <c r="X624" s="468">
        <v>1320</v>
      </c>
      <c r="Y624" s="466">
        <v>220</v>
      </c>
      <c r="Z624" s="468">
        <v>240</v>
      </c>
      <c r="AA624" s="466">
        <v>3.1</v>
      </c>
      <c r="AB624" s="466">
        <v>0.6</v>
      </c>
      <c r="AC624" s="466">
        <v>4.5999999999999996</v>
      </c>
      <c r="AD624" s="466">
        <v>0.9</v>
      </c>
      <c r="AE624" s="466">
        <v>0.37</v>
      </c>
      <c r="AF624" s="468">
        <v>0.41</v>
      </c>
      <c r="AG624" s="466">
        <v>0.48</v>
      </c>
      <c r="AH624" s="468">
        <v>0.53</v>
      </c>
      <c r="AI624" s="466">
        <v>0.76</v>
      </c>
      <c r="AJ624" s="466">
        <v>-6</v>
      </c>
      <c r="AK624" s="466">
        <v>4</v>
      </c>
      <c r="AL624" s="524">
        <v>24</v>
      </c>
      <c r="AM624" s="524">
        <v>24</v>
      </c>
    </row>
    <row r="625" spans="1:40" ht="25" customHeight="1" outlineLevel="1">
      <c r="A625" s="476" t="s">
        <v>1320</v>
      </c>
      <c r="B625" s="466">
        <v>25</v>
      </c>
      <c r="C625" s="466">
        <v>-20</v>
      </c>
      <c r="D625" s="466">
        <v>-22</v>
      </c>
      <c r="E625" s="466">
        <v>27</v>
      </c>
      <c r="F625" s="466">
        <v>21</v>
      </c>
      <c r="G625" s="468">
        <v>30</v>
      </c>
      <c r="H625" s="468">
        <v>24</v>
      </c>
      <c r="I625" s="466">
        <v>4400</v>
      </c>
      <c r="J625" s="466">
        <v>3500</v>
      </c>
      <c r="K625" s="472">
        <f t="shared" si="9"/>
        <v>3900</v>
      </c>
      <c r="L625" s="472">
        <v>666</v>
      </c>
      <c r="M625" s="472">
        <v>666</v>
      </c>
      <c r="N625" s="472">
        <v>666</v>
      </c>
      <c r="O625" s="472">
        <v>666</v>
      </c>
      <c r="P625" s="466">
        <v>18</v>
      </c>
      <c r="Q625" s="468">
        <v>23</v>
      </c>
      <c r="R625" s="466">
        <v>128</v>
      </c>
      <c r="S625" s="468">
        <v>162</v>
      </c>
      <c r="T625" s="466">
        <v>1050</v>
      </c>
      <c r="U625" s="468">
        <v>1200</v>
      </c>
      <c r="V625" s="468">
        <v>1.3</v>
      </c>
      <c r="W625" s="466">
        <v>1250</v>
      </c>
      <c r="X625" s="468">
        <v>1380</v>
      </c>
      <c r="Y625" s="466">
        <v>240</v>
      </c>
      <c r="Z625" s="468">
        <v>250</v>
      </c>
      <c r="AA625" s="466">
        <v>1.8</v>
      </c>
      <c r="AB625" s="466">
        <v>0.6</v>
      </c>
      <c r="AC625" s="466">
        <v>2.7</v>
      </c>
      <c r="AD625" s="466">
        <v>0.9</v>
      </c>
      <c r="AE625" s="466">
        <v>0.39</v>
      </c>
      <c r="AF625" s="468">
        <v>0.43</v>
      </c>
      <c r="AG625" s="466">
        <v>0.5</v>
      </c>
      <c r="AH625" s="468">
        <v>0.55000000000000004</v>
      </c>
      <c r="AI625" s="466">
        <v>0.79</v>
      </c>
      <c r="AJ625" s="466">
        <v>-6</v>
      </c>
      <c r="AK625" s="466">
        <v>4.5</v>
      </c>
      <c r="AL625" s="524">
        <v>24</v>
      </c>
      <c r="AM625" s="524">
        <v>24</v>
      </c>
    </row>
    <row r="626" spans="1:40" ht="25" customHeight="1" outlineLevel="1">
      <c r="A626" s="476" t="s">
        <v>1321</v>
      </c>
      <c r="B626" s="466">
        <v>5</v>
      </c>
      <c r="C626" s="466">
        <v>-16</v>
      </c>
      <c r="D626" s="466">
        <v>-19</v>
      </c>
      <c r="E626" s="466">
        <v>27</v>
      </c>
      <c r="F626" s="466">
        <v>21</v>
      </c>
      <c r="G626" s="468">
        <v>31</v>
      </c>
      <c r="H626" s="468">
        <v>24</v>
      </c>
      <c r="I626" s="466">
        <v>4530</v>
      </c>
      <c r="J626" s="466">
        <v>3630</v>
      </c>
      <c r="K626" s="472">
        <f t="shared" si="9"/>
        <v>4030</v>
      </c>
      <c r="L626" s="472">
        <v>666</v>
      </c>
      <c r="M626" s="472">
        <v>666</v>
      </c>
      <c r="N626" s="472">
        <v>666</v>
      </c>
      <c r="O626" s="472">
        <v>666</v>
      </c>
      <c r="P626" s="466">
        <v>15</v>
      </c>
      <c r="Q626" s="468">
        <v>19</v>
      </c>
      <c r="R626" s="466">
        <v>123</v>
      </c>
      <c r="S626" s="468">
        <v>156</v>
      </c>
      <c r="T626" s="466">
        <v>1200</v>
      </c>
      <c r="U626" s="468">
        <v>1360</v>
      </c>
      <c r="V626" s="468">
        <v>1.6</v>
      </c>
      <c r="W626" s="466">
        <v>1475</v>
      </c>
      <c r="X626" s="468">
        <v>1600</v>
      </c>
      <c r="Y626" s="466">
        <v>300</v>
      </c>
      <c r="AA626" s="466">
        <v>2.2999999999999998</v>
      </c>
      <c r="AB626" s="466">
        <v>0.6</v>
      </c>
      <c r="AC626" s="466">
        <v>3.5</v>
      </c>
      <c r="AD626" s="466">
        <v>0.9</v>
      </c>
      <c r="AE626" s="466">
        <v>0.46</v>
      </c>
      <c r="AF626" s="468">
        <v>0.51</v>
      </c>
      <c r="AG626" s="466">
        <v>0.59</v>
      </c>
      <c r="AH626" s="468">
        <v>0.65</v>
      </c>
      <c r="AI626" s="466">
        <v>0.92</v>
      </c>
      <c r="AJ626" s="466">
        <v>-5</v>
      </c>
      <c r="AK626" s="466">
        <v>5.6</v>
      </c>
      <c r="AL626" s="524">
        <v>24</v>
      </c>
      <c r="AM626" s="524">
        <v>24</v>
      </c>
    </row>
    <row r="627" spans="1:40" ht="25" customHeight="1" outlineLevel="1">
      <c r="A627" s="476" t="s">
        <v>1322</v>
      </c>
      <c r="B627" s="466">
        <v>25</v>
      </c>
      <c r="C627" s="466">
        <v>-20</v>
      </c>
      <c r="D627" s="466">
        <v>-23</v>
      </c>
      <c r="E627" s="466">
        <v>27</v>
      </c>
      <c r="F627" s="466">
        <v>21</v>
      </c>
      <c r="G627" s="468">
        <v>31</v>
      </c>
      <c r="H627" s="468">
        <v>24</v>
      </c>
      <c r="I627" s="466">
        <v>4380</v>
      </c>
      <c r="J627" s="466">
        <v>3480</v>
      </c>
      <c r="K627" s="472">
        <f t="shared" si="9"/>
        <v>3880</v>
      </c>
      <c r="L627" s="472">
        <v>666</v>
      </c>
      <c r="M627" s="472">
        <v>666</v>
      </c>
      <c r="N627" s="472">
        <v>666</v>
      </c>
      <c r="O627" s="472">
        <v>666</v>
      </c>
      <c r="P627" s="466">
        <v>18</v>
      </c>
      <c r="Q627" s="468">
        <v>23</v>
      </c>
      <c r="R627" s="466">
        <v>118</v>
      </c>
      <c r="S627" s="468">
        <v>150</v>
      </c>
      <c r="T627" s="466">
        <v>875</v>
      </c>
      <c r="U627" s="468">
        <v>1040</v>
      </c>
      <c r="V627" s="468">
        <v>1.2</v>
      </c>
      <c r="W627" s="466">
        <v>1150</v>
      </c>
      <c r="X627" s="468">
        <v>1290</v>
      </c>
      <c r="Y627" s="466">
        <v>260</v>
      </c>
      <c r="Z627" s="468">
        <v>280</v>
      </c>
      <c r="AA627" s="466">
        <v>2.2000000000000002</v>
      </c>
      <c r="AB627" s="466">
        <v>0.6</v>
      </c>
      <c r="AC627" s="466">
        <v>3.3</v>
      </c>
      <c r="AD627" s="466">
        <v>0.9</v>
      </c>
      <c r="AE627" s="466">
        <v>0.43</v>
      </c>
      <c r="AF627" s="468">
        <v>0.47</v>
      </c>
      <c r="AG627" s="466">
        <v>0.55000000000000004</v>
      </c>
      <c r="AH627" s="468">
        <v>0.61</v>
      </c>
      <c r="AI627" s="466">
        <v>0.85</v>
      </c>
      <c r="AJ627" s="466">
        <v>-6</v>
      </c>
      <c r="AK627" s="466">
        <v>4.5999999999999996</v>
      </c>
      <c r="AL627" s="524">
        <v>24</v>
      </c>
      <c r="AM627" s="524">
        <v>24</v>
      </c>
    </row>
    <row r="628" spans="1:40" ht="25" customHeight="1" outlineLevel="1">
      <c r="A628" s="476" t="s">
        <v>1323</v>
      </c>
      <c r="B628" s="466">
        <v>25</v>
      </c>
      <c r="C628" s="466">
        <v>-20</v>
      </c>
      <c r="D628" s="466">
        <v>-22</v>
      </c>
      <c r="E628" s="466">
        <v>27</v>
      </c>
      <c r="F628" s="466">
        <v>21</v>
      </c>
      <c r="G628" s="468">
        <v>30</v>
      </c>
      <c r="H628" s="468">
        <v>24</v>
      </c>
      <c r="I628" s="466">
        <v>4500</v>
      </c>
      <c r="J628" s="466">
        <v>3600</v>
      </c>
      <c r="K628" s="472">
        <f t="shared" si="9"/>
        <v>4000</v>
      </c>
      <c r="L628" s="472">
        <v>666</v>
      </c>
      <c r="M628" s="472">
        <v>666</v>
      </c>
      <c r="N628" s="472">
        <v>666</v>
      </c>
      <c r="O628" s="472">
        <v>666</v>
      </c>
      <c r="P628" s="466">
        <v>18</v>
      </c>
      <c r="Q628" s="468">
        <v>23</v>
      </c>
      <c r="R628" s="466">
        <v>118</v>
      </c>
      <c r="S628" s="468">
        <v>150</v>
      </c>
      <c r="T628" s="466">
        <v>1000</v>
      </c>
      <c r="U628" s="468">
        <v>1170</v>
      </c>
      <c r="V628" s="468">
        <v>1.3</v>
      </c>
      <c r="W628" s="466">
        <v>1175</v>
      </c>
      <c r="X628" s="468">
        <v>1310</v>
      </c>
      <c r="Y628" s="466">
        <v>240</v>
      </c>
      <c r="Z628" s="468">
        <v>260</v>
      </c>
      <c r="AA628" s="466">
        <v>2</v>
      </c>
      <c r="AB628" s="466">
        <v>0.6</v>
      </c>
      <c r="AC628" s="466">
        <v>2.9</v>
      </c>
      <c r="AD628" s="466">
        <v>0.9</v>
      </c>
      <c r="AE628" s="466">
        <v>0.37</v>
      </c>
      <c r="AF628" s="468">
        <v>0.41</v>
      </c>
      <c r="AG628" s="466">
        <v>0.48</v>
      </c>
      <c r="AH628" s="468">
        <v>0.53</v>
      </c>
      <c r="AI628" s="466">
        <v>0.76</v>
      </c>
      <c r="AJ628" s="466">
        <v>-6</v>
      </c>
      <c r="AK628" s="466">
        <v>3.5</v>
      </c>
      <c r="AL628" s="524">
        <v>24</v>
      </c>
      <c r="AM628" s="524">
        <v>24</v>
      </c>
    </row>
    <row r="629" spans="1:40" ht="25" customHeight="1" outlineLevel="1">
      <c r="A629" s="476" t="s">
        <v>1324</v>
      </c>
      <c r="B629" s="466">
        <v>35</v>
      </c>
      <c r="C629" s="466">
        <v>-19</v>
      </c>
      <c r="D629" s="466">
        <v>-21</v>
      </c>
      <c r="E629" s="466">
        <v>28</v>
      </c>
      <c r="F629" s="466">
        <v>21</v>
      </c>
      <c r="G629" s="468">
        <v>31</v>
      </c>
      <c r="H629" s="468">
        <v>24</v>
      </c>
      <c r="I629" s="466">
        <v>4140</v>
      </c>
      <c r="J629" s="466">
        <v>3250</v>
      </c>
      <c r="K629" s="472">
        <f t="shared" si="9"/>
        <v>3640</v>
      </c>
      <c r="L629" s="472">
        <v>666</v>
      </c>
      <c r="M629" s="472">
        <v>666</v>
      </c>
      <c r="N629" s="472">
        <v>666</v>
      </c>
      <c r="O629" s="472">
        <v>666</v>
      </c>
      <c r="P629" s="466">
        <v>17</v>
      </c>
      <c r="Q629" s="468">
        <v>22</v>
      </c>
      <c r="R629" s="466">
        <v>118</v>
      </c>
      <c r="S629" s="468">
        <v>149</v>
      </c>
      <c r="T629" s="466">
        <v>975</v>
      </c>
      <c r="U629" s="468">
        <v>1140</v>
      </c>
      <c r="V629" s="468">
        <v>1.2</v>
      </c>
      <c r="W629" s="466">
        <v>1175</v>
      </c>
      <c r="X629" s="468">
        <v>1310</v>
      </c>
      <c r="Y629" s="466">
        <v>260</v>
      </c>
      <c r="Z629" s="468">
        <v>280</v>
      </c>
      <c r="AA629" s="466">
        <v>2.6</v>
      </c>
      <c r="AB629" s="466">
        <v>0.6</v>
      </c>
      <c r="AC629" s="466">
        <v>3.9</v>
      </c>
      <c r="AD629" s="466">
        <v>0.9</v>
      </c>
      <c r="AE629" s="466">
        <v>0.42</v>
      </c>
      <c r="AF629" s="468">
        <v>0.46</v>
      </c>
      <c r="AG629" s="466">
        <v>0.54</v>
      </c>
      <c r="AH629" s="468">
        <v>0.59</v>
      </c>
      <c r="AI629" s="466">
        <v>0.84</v>
      </c>
      <c r="AJ629" s="466">
        <v>-5</v>
      </c>
      <c r="AK629" s="466">
        <v>3.2</v>
      </c>
      <c r="AL629" s="524">
        <v>24</v>
      </c>
      <c r="AM629" s="524">
        <v>24</v>
      </c>
    </row>
    <row r="630" spans="1:40" s="473" customFormat="1" ht="25" customHeight="1" outlineLevel="1" thickBot="1">
      <c r="A630" s="477" t="s">
        <v>1325</v>
      </c>
      <c r="B630" s="473">
        <v>10</v>
      </c>
      <c r="C630" s="473">
        <v>-14</v>
      </c>
      <c r="D630" s="473">
        <v>-16</v>
      </c>
      <c r="E630" s="473">
        <v>22</v>
      </c>
      <c r="F630" s="473">
        <v>19</v>
      </c>
      <c r="G630" s="474">
        <v>25</v>
      </c>
      <c r="H630" s="474">
        <v>22</v>
      </c>
      <c r="I630" s="473">
        <v>3990</v>
      </c>
      <c r="J630" s="473">
        <v>3100</v>
      </c>
      <c r="K630" s="472">
        <f t="shared" si="9"/>
        <v>3490</v>
      </c>
      <c r="L630" s="472">
        <v>666</v>
      </c>
      <c r="M630" s="472">
        <v>666</v>
      </c>
      <c r="N630" s="472">
        <v>666</v>
      </c>
      <c r="O630" s="472">
        <v>666</v>
      </c>
      <c r="P630" s="473">
        <v>19</v>
      </c>
      <c r="Q630" s="474">
        <v>24</v>
      </c>
      <c r="R630" s="473">
        <v>135</v>
      </c>
      <c r="S630" s="474">
        <v>168</v>
      </c>
      <c r="T630" s="473">
        <v>1125</v>
      </c>
      <c r="U630" s="474">
        <v>1230</v>
      </c>
      <c r="V630" s="474">
        <v>1.4</v>
      </c>
      <c r="W630" s="473">
        <v>1260</v>
      </c>
      <c r="X630" s="474">
        <v>1350</v>
      </c>
      <c r="Y630" s="473">
        <v>280</v>
      </c>
      <c r="Z630" s="474">
        <v>290</v>
      </c>
      <c r="AA630" s="473">
        <v>1.8</v>
      </c>
      <c r="AB630" s="473">
        <v>0.6</v>
      </c>
      <c r="AC630" s="473">
        <v>2.7</v>
      </c>
      <c r="AD630" s="473">
        <v>0.9</v>
      </c>
      <c r="AE630" s="473">
        <v>0.44</v>
      </c>
      <c r="AF630" s="474">
        <v>0.48</v>
      </c>
      <c r="AG630" s="473">
        <v>0.56000000000000005</v>
      </c>
      <c r="AH630" s="474">
        <v>0.62</v>
      </c>
      <c r="AI630" s="473">
        <v>0.87</v>
      </c>
      <c r="AJ630" s="473">
        <v>-4</v>
      </c>
      <c r="AK630" s="473">
        <v>5.2</v>
      </c>
      <c r="AL630" s="525">
        <v>22</v>
      </c>
      <c r="AM630" s="525">
        <v>22</v>
      </c>
      <c r="AN630" s="701"/>
    </row>
    <row r="631" spans="1:40" s="480" customFormat="1" ht="25" customHeight="1" thickTop="1" thickBot="1">
      <c r="A631" s="478" t="s">
        <v>1326</v>
      </c>
      <c r="AL631" s="526"/>
      <c r="AM631" s="526"/>
      <c r="AN631" s="702"/>
    </row>
    <row r="632" spans="1:40" s="471" customFormat="1" ht="25" customHeight="1" outlineLevel="1" thickTop="1">
      <c r="A632" s="475" t="s">
        <v>1327</v>
      </c>
      <c r="B632" s="471">
        <v>5</v>
      </c>
      <c r="C632" s="471">
        <v>-20</v>
      </c>
      <c r="D632" s="471">
        <v>-22</v>
      </c>
      <c r="E632" s="471">
        <v>26</v>
      </c>
      <c r="F632" s="471">
        <v>21</v>
      </c>
      <c r="G632" s="472">
        <v>30</v>
      </c>
      <c r="H632" s="472">
        <v>24</v>
      </c>
      <c r="I632" s="471">
        <v>4460</v>
      </c>
      <c r="J632" s="471">
        <v>3650</v>
      </c>
      <c r="K632" s="472">
        <f t="shared" si="9"/>
        <v>3960</v>
      </c>
      <c r="L632" s="472">
        <v>666</v>
      </c>
      <c r="M632" s="472">
        <v>666</v>
      </c>
      <c r="N632" s="472">
        <v>666</v>
      </c>
      <c r="O632" s="472">
        <v>666</v>
      </c>
      <c r="P632" s="471">
        <v>16</v>
      </c>
      <c r="Q632" s="472">
        <v>20</v>
      </c>
      <c r="R632" s="471">
        <v>107</v>
      </c>
      <c r="S632" s="472">
        <v>136</v>
      </c>
      <c r="T632" s="471">
        <v>900</v>
      </c>
      <c r="U632" s="472">
        <v>1070</v>
      </c>
      <c r="V632" s="472">
        <v>1.2</v>
      </c>
      <c r="W632" s="471">
        <v>1150</v>
      </c>
      <c r="X632" s="472">
        <v>1290</v>
      </c>
      <c r="Y632" s="471">
        <v>350</v>
      </c>
      <c r="Z632" s="472">
        <v>380</v>
      </c>
      <c r="AA632" s="471">
        <v>2.7</v>
      </c>
      <c r="AB632" s="471">
        <v>0.6</v>
      </c>
      <c r="AC632" s="471">
        <v>4</v>
      </c>
      <c r="AD632" s="471">
        <v>0.9</v>
      </c>
      <c r="AE632" s="471">
        <v>0.44</v>
      </c>
      <c r="AF632" s="472">
        <v>0.48</v>
      </c>
      <c r="AG632" s="471">
        <v>0.56000000000000005</v>
      </c>
      <c r="AH632" s="472">
        <v>0.62</v>
      </c>
      <c r="AI632" s="471">
        <v>0.87</v>
      </c>
      <c r="AJ632" s="471">
        <v>-6</v>
      </c>
      <c r="AK632" s="471">
        <v>5</v>
      </c>
      <c r="AL632" s="490">
        <v>24</v>
      </c>
      <c r="AM632" s="490">
        <v>24</v>
      </c>
      <c r="AN632" s="699"/>
    </row>
    <row r="633" spans="1:40" ht="25" customHeight="1" outlineLevel="1">
      <c r="A633" s="476" t="s">
        <v>1328</v>
      </c>
      <c r="B633" s="466">
        <v>5</v>
      </c>
      <c r="C633" s="466">
        <v>-19</v>
      </c>
      <c r="D633" s="466">
        <v>-21</v>
      </c>
      <c r="E633" s="466">
        <v>27</v>
      </c>
      <c r="F633" s="466">
        <v>21</v>
      </c>
      <c r="G633" s="468">
        <v>31</v>
      </c>
      <c r="H633" s="468">
        <v>24</v>
      </c>
      <c r="I633" s="466">
        <v>4550</v>
      </c>
      <c r="J633" s="466">
        <v>3650</v>
      </c>
      <c r="K633" s="472">
        <f t="shared" si="9"/>
        <v>4050</v>
      </c>
      <c r="L633" s="472">
        <v>666</v>
      </c>
      <c r="M633" s="472">
        <v>666</v>
      </c>
      <c r="N633" s="472">
        <v>666</v>
      </c>
      <c r="O633" s="472">
        <v>666</v>
      </c>
      <c r="P633" s="466">
        <v>15</v>
      </c>
      <c r="Q633" s="468">
        <v>19</v>
      </c>
      <c r="R633" s="466">
        <v>112</v>
      </c>
      <c r="S633" s="468">
        <v>142</v>
      </c>
      <c r="T633" s="466">
        <v>950</v>
      </c>
      <c r="U633" s="468">
        <v>1120</v>
      </c>
      <c r="V633" s="468">
        <v>1.2</v>
      </c>
      <c r="W633" s="466">
        <v>1130</v>
      </c>
      <c r="X633" s="468">
        <v>1250</v>
      </c>
      <c r="Y633" s="466">
        <v>350</v>
      </c>
      <c r="Z633" s="468">
        <v>370</v>
      </c>
      <c r="AA633" s="466">
        <v>2.7</v>
      </c>
      <c r="AB633" s="466">
        <v>0.6</v>
      </c>
      <c r="AC633" s="466">
        <v>4.0999999999999996</v>
      </c>
      <c r="AD633" s="466">
        <v>0.9</v>
      </c>
      <c r="AE633" s="466">
        <v>0.45</v>
      </c>
      <c r="AF633" s="468">
        <v>0.5</v>
      </c>
      <c r="AG633" s="466">
        <v>0.57999999999999996</v>
      </c>
      <c r="AH633" s="468">
        <v>0.64</v>
      </c>
      <c r="AI633" s="466">
        <v>0.91</v>
      </c>
      <c r="AJ633" s="466">
        <v>-6</v>
      </c>
      <c r="AK633" s="466">
        <v>5</v>
      </c>
      <c r="AL633" s="524">
        <v>24</v>
      </c>
      <c r="AM633" s="524">
        <v>24</v>
      </c>
    </row>
    <row r="634" spans="1:40" ht="25" customHeight="1" outlineLevel="1">
      <c r="A634" s="476" t="s">
        <v>1329</v>
      </c>
      <c r="B634" s="466">
        <v>10</v>
      </c>
      <c r="C634" s="466">
        <v>-20</v>
      </c>
      <c r="D634" s="466">
        <v>-22</v>
      </c>
      <c r="E634" s="466">
        <v>27</v>
      </c>
      <c r="F634" s="466">
        <v>21</v>
      </c>
      <c r="G634" s="468">
        <v>31</v>
      </c>
      <c r="H634" s="468">
        <v>24</v>
      </c>
      <c r="I634" s="466">
        <v>4600</v>
      </c>
      <c r="J634" s="466">
        <v>3690</v>
      </c>
      <c r="K634" s="472">
        <f t="shared" si="9"/>
        <v>4100</v>
      </c>
      <c r="L634" s="472">
        <v>666</v>
      </c>
      <c r="M634" s="472">
        <v>666</v>
      </c>
      <c r="N634" s="472">
        <v>666</v>
      </c>
      <c r="O634" s="472">
        <v>666</v>
      </c>
      <c r="P634" s="466">
        <v>16</v>
      </c>
      <c r="Q634" s="468">
        <v>20</v>
      </c>
      <c r="R634" s="466">
        <v>112</v>
      </c>
      <c r="S634" s="468">
        <v>143</v>
      </c>
      <c r="T634" s="466">
        <v>825</v>
      </c>
      <c r="U634" s="468">
        <v>1000</v>
      </c>
      <c r="V634" s="468">
        <v>1.1000000000000001</v>
      </c>
      <c r="W634" s="466">
        <v>1060</v>
      </c>
      <c r="X634" s="468">
        <v>1210</v>
      </c>
      <c r="Y634" s="466">
        <v>350</v>
      </c>
      <c r="Z634" s="468">
        <v>390</v>
      </c>
      <c r="AA634" s="466">
        <v>3.1</v>
      </c>
      <c r="AB634" s="466">
        <v>0.6</v>
      </c>
      <c r="AC634" s="466">
        <v>4.5999999999999996</v>
      </c>
      <c r="AD634" s="466">
        <v>0.9</v>
      </c>
      <c r="AE634" s="466">
        <v>0.47</v>
      </c>
      <c r="AF634" s="468">
        <v>0.52</v>
      </c>
      <c r="AG634" s="466">
        <v>0.6</v>
      </c>
      <c r="AH634" s="468">
        <v>0.66</v>
      </c>
      <c r="AI634" s="466">
        <v>0.94</v>
      </c>
      <c r="AJ634" s="466">
        <v>-6</v>
      </c>
      <c r="AK634" s="466">
        <v>5.5</v>
      </c>
      <c r="AL634" s="524">
        <v>24</v>
      </c>
      <c r="AM634" s="524">
        <v>24</v>
      </c>
    </row>
    <row r="635" spans="1:40" s="473" customFormat="1" ht="25" customHeight="1" outlineLevel="1" thickBot="1">
      <c r="A635" s="477" t="s">
        <v>1330</v>
      </c>
      <c r="B635" s="473">
        <v>10</v>
      </c>
      <c r="C635" s="473">
        <v>-20</v>
      </c>
      <c r="D635" s="473">
        <v>-22</v>
      </c>
      <c r="E635" s="473">
        <v>27</v>
      </c>
      <c r="F635" s="473">
        <v>21</v>
      </c>
      <c r="G635" s="474">
        <v>31</v>
      </c>
      <c r="H635" s="474">
        <v>24</v>
      </c>
      <c r="I635" s="473">
        <v>4770</v>
      </c>
      <c r="J635" s="473">
        <v>3860</v>
      </c>
      <c r="K635" s="472">
        <f t="shared" si="9"/>
        <v>4270</v>
      </c>
      <c r="L635" s="472">
        <v>666</v>
      </c>
      <c r="M635" s="472">
        <v>666</v>
      </c>
      <c r="N635" s="472">
        <v>666</v>
      </c>
      <c r="O635" s="472">
        <v>666</v>
      </c>
      <c r="P635" s="473">
        <v>16</v>
      </c>
      <c r="Q635" s="474">
        <v>20</v>
      </c>
      <c r="R635" s="473">
        <v>96</v>
      </c>
      <c r="S635" s="474">
        <v>123</v>
      </c>
      <c r="T635" s="473">
        <v>800</v>
      </c>
      <c r="U635" s="474">
        <v>970</v>
      </c>
      <c r="V635" s="474">
        <v>1.1000000000000001</v>
      </c>
      <c r="W635" s="473">
        <v>1100</v>
      </c>
      <c r="X635" s="474">
        <v>1250</v>
      </c>
      <c r="Y635" s="473">
        <v>350</v>
      </c>
      <c r="Z635" s="474">
        <v>390</v>
      </c>
      <c r="AA635" s="473">
        <v>3.2</v>
      </c>
      <c r="AB635" s="473">
        <v>0.6</v>
      </c>
      <c r="AC635" s="473">
        <v>4.7</v>
      </c>
      <c r="AD635" s="473">
        <v>0.9</v>
      </c>
      <c r="AE635" s="473">
        <v>0.51</v>
      </c>
      <c r="AF635" s="474">
        <v>0.56000000000000005</v>
      </c>
      <c r="AG635" s="473">
        <v>0.66</v>
      </c>
      <c r="AH635" s="474">
        <v>0.73</v>
      </c>
      <c r="AI635" s="473">
        <v>1.04</v>
      </c>
      <c r="AJ635" s="473">
        <v>-5</v>
      </c>
      <c r="AK635" s="473">
        <v>7.5</v>
      </c>
      <c r="AL635" s="525">
        <v>24</v>
      </c>
      <c r="AM635" s="525">
        <v>24</v>
      </c>
      <c r="AN635" s="701"/>
    </row>
    <row r="636" spans="1:40" s="480" customFormat="1" ht="25" customHeight="1" thickTop="1" thickBot="1">
      <c r="A636" s="478" t="s">
        <v>1331</v>
      </c>
      <c r="AL636" s="526"/>
      <c r="AM636" s="526"/>
      <c r="AN636" s="702"/>
    </row>
    <row r="637" spans="1:40" s="471" customFormat="1" ht="25" customHeight="1" outlineLevel="1" thickTop="1">
      <c r="A637" s="475" t="s">
        <v>1332</v>
      </c>
      <c r="B637" s="471">
        <v>15</v>
      </c>
      <c r="C637" s="471">
        <v>-12</v>
      </c>
      <c r="D637" s="471">
        <v>-14</v>
      </c>
      <c r="E637" s="471">
        <v>21</v>
      </c>
      <c r="F637" s="471">
        <v>18</v>
      </c>
      <c r="G637" s="472">
        <v>25</v>
      </c>
      <c r="H637" s="472">
        <v>22</v>
      </c>
      <c r="I637" s="471">
        <v>4600</v>
      </c>
      <c r="J637" s="471">
        <v>3620</v>
      </c>
      <c r="K637" s="472">
        <f t="shared" si="9"/>
        <v>4100</v>
      </c>
      <c r="L637" s="472">
        <v>666</v>
      </c>
      <c r="M637" s="472">
        <v>666</v>
      </c>
      <c r="N637" s="472">
        <v>666</v>
      </c>
      <c r="O637" s="472">
        <v>666</v>
      </c>
      <c r="P637" s="471">
        <v>15</v>
      </c>
      <c r="Q637" s="472">
        <v>19</v>
      </c>
      <c r="R637" s="471">
        <v>107</v>
      </c>
      <c r="S637" s="472">
        <v>136</v>
      </c>
      <c r="T637" s="471">
        <v>1250</v>
      </c>
      <c r="U637" s="472">
        <v>1420</v>
      </c>
      <c r="V637" s="472">
        <v>1.6</v>
      </c>
      <c r="W637" s="471">
        <v>1400</v>
      </c>
      <c r="X637" s="472">
        <v>1490</v>
      </c>
      <c r="Y637" s="471">
        <v>400</v>
      </c>
      <c r="Z637" s="472">
        <v>410</v>
      </c>
      <c r="AA637" s="471">
        <v>2.4</v>
      </c>
      <c r="AB637" s="471">
        <v>0.7</v>
      </c>
      <c r="AC637" s="471">
        <v>3.5</v>
      </c>
      <c r="AD637" s="471">
        <v>1</v>
      </c>
      <c r="AE637" s="471">
        <v>0.59</v>
      </c>
      <c r="AF637" s="472">
        <v>0.65</v>
      </c>
      <c r="AG637" s="471">
        <v>0.75</v>
      </c>
      <c r="AH637" s="472">
        <v>0.83</v>
      </c>
      <c r="AI637" s="471">
        <v>1.1100000000000001</v>
      </c>
      <c r="AJ637" s="471">
        <v>-4</v>
      </c>
      <c r="AK637" s="471">
        <v>6.5</v>
      </c>
      <c r="AL637" s="490">
        <v>22</v>
      </c>
      <c r="AM637" s="490">
        <v>22</v>
      </c>
      <c r="AN637" s="699"/>
    </row>
    <row r="638" spans="1:40" ht="25" customHeight="1" outlineLevel="1">
      <c r="A638" s="476" t="s">
        <v>1333</v>
      </c>
      <c r="B638" s="466">
        <v>15</v>
      </c>
      <c r="C638" s="466">
        <v>-14</v>
      </c>
      <c r="D638" s="466">
        <v>-16</v>
      </c>
      <c r="E638" s="466">
        <v>24</v>
      </c>
      <c r="F638" s="466">
        <v>19</v>
      </c>
      <c r="G638" s="468">
        <v>28</v>
      </c>
      <c r="H638" s="468">
        <v>22</v>
      </c>
      <c r="I638" s="466">
        <v>5000</v>
      </c>
      <c r="J638" s="466">
        <v>4000</v>
      </c>
      <c r="K638" s="472">
        <f t="shared" si="9"/>
        <v>4500</v>
      </c>
      <c r="L638" s="472">
        <v>666</v>
      </c>
      <c r="M638" s="472">
        <v>666</v>
      </c>
      <c r="N638" s="472">
        <v>666</v>
      </c>
      <c r="O638" s="472">
        <v>666</v>
      </c>
      <c r="P638" s="466">
        <v>18</v>
      </c>
      <c r="Q638" s="468">
        <v>23</v>
      </c>
      <c r="R638" s="466">
        <v>96</v>
      </c>
      <c r="S638" s="468">
        <v>122</v>
      </c>
      <c r="T638" s="466">
        <v>825</v>
      </c>
      <c r="U638" s="468">
        <v>1010</v>
      </c>
      <c r="V638" s="468">
        <v>1.2</v>
      </c>
      <c r="W638" s="466">
        <v>1010</v>
      </c>
      <c r="X638" s="468">
        <v>1110</v>
      </c>
      <c r="Y638" s="466">
        <v>400</v>
      </c>
      <c r="Z638" s="468">
        <v>430</v>
      </c>
      <c r="AA638" s="466">
        <v>3.1</v>
      </c>
      <c r="AB638" s="466">
        <v>0.6</v>
      </c>
      <c r="AC638" s="466">
        <v>4.7</v>
      </c>
      <c r="AD638" s="466">
        <v>0.9</v>
      </c>
      <c r="AE638" s="466">
        <v>0.66</v>
      </c>
      <c r="AF638" s="468">
        <v>0.73</v>
      </c>
      <c r="AG638" s="466">
        <v>0.84</v>
      </c>
      <c r="AH638" s="468">
        <v>0.92</v>
      </c>
      <c r="AI638" s="466">
        <v>1.24</v>
      </c>
      <c r="AJ638" s="466">
        <v>-4</v>
      </c>
      <c r="AK638" s="466">
        <v>7.5</v>
      </c>
      <c r="AL638" s="524">
        <v>22</v>
      </c>
      <c r="AM638" s="524">
        <v>22</v>
      </c>
    </row>
    <row r="639" spans="1:40" ht="25" customHeight="1" outlineLevel="1">
      <c r="A639" s="476" t="s">
        <v>1334</v>
      </c>
      <c r="B639" s="466">
        <v>255</v>
      </c>
      <c r="C639" s="466">
        <v>-24</v>
      </c>
      <c r="D639" s="466">
        <v>-27</v>
      </c>
      <c r="E639" s="466">
        <v>27</v>
      </c>
      <c r="F639" s="466">
        <v>20</v>
      </c>
      <c r="G639" s="468">
        <v>31</v>
      </c>
      <c r="H639" s="468">
        <v>24</v>
      </c>
      <c r="I639" s="466">
        <v>5250</v>
      </c>
      <c r="J639" s="466">
        <v>4240</v>
      </c>
      <c r="K639" s="472">
        <f t="shared" si="9"/>
        <v>4750</v>
      </c>
      <c r="L639" s="472">
        <v>666</v>
      </c>
      <c r="M639" s="472">
        <v>666</v>
      </c>
      <c r="N639" s="472">
        <v>666</v>
      </c>
      <c r="O639" s="472">
        <v>666</v>
      </c>
      <c r="P639" s="466">
        <v>13</v>
      </c>
      <c r="Q639" s="468">
        <v>17</v>
      </c>
      <c r="R639" s="466">
        <v>107</v>
      </c>
      <c r="S639" s="468">
        <v>138</v>
      </c>
      <c r="T639" s="466">
        <v>850</v>
      </c>
      <c r="U639" s="468">
        <v>1090</v>
      </c>
      <c r="V639" s="468">
        <v>1.1000000000000001</v>
      </c>
      <c r="W639" s="466">
        <v>1125</v>
      </c>
      <c r="X639" s="468">
        <v>1290</v>
      </c>
      <c r="Y639" s="466">
        <v>200</v>
      </c>
      <c r="Z639" s="468">
        <v>210</v>
      </c>
      <c r="AA639" s="466">
        <v>4.7</v>
      </c>
      <c r="AB639" s="466">
        <v>0.6</v>
      </c>
      <c r="AC639" s="466">
        <v>6.8</v>
      </c>
      <c r="AD639" s="466">
        <v>0.9</v>
      </c>
      <c r="AE639" s="466">
        <v>0.47</v>
      </c>
      <c r="AF639" s="468">
        <v>0.52</v>
      </c>
      <c r="AG639" s="466">
        <v>0.6</v>
      </c>
      <c r="AH639" s="468">
        <v>0.66</v>
      </c>
      <c r="AI639" s="466">
        <v>0.89</v>
      </c>
      <c r="AJ639" s="466">
        <v>-6</v>
      </c>
      <c r="AK639" s="466">
        <v>5</v>
      </c>
      <c r="AL639" s="524">
        <v>24</v>
      </c>
      <c r="AM639" s="524">
        <v>24</v>
      </c>
    </row>
    <row r="640" spans="1:40" ht="25" customHeight="1" outlineLevel="1">
      <c r="A640" s="476" t="s">
        <v>1335</v>
      </c>
      <c r="B640" s="466">
        <v>5</v>
      </c>
      <c r="C640" s="466">
        <v>-29</v>
      </c>
      <c r="D640" s="466">
        <v>-31</v>
      </c>
      <c r="E640" s="466">
        <v>26</v>
      </c>
      <c r="F640" s="466">
        <v>16</v>
      </c>
      <c r="G640" s="468">
        <v>30</v>
      </c>
      <c r="H640" s="468">
        <v>20</v>
      </c>
      <c r="I640" s="466">
        <v>6900</v>
      </c>
      <c r="J640" s="466">
        <v>5920</v>
      </c>
      <c r="K640" s="472">
        <f t="shared" si="9"/>
        <v>6400</v>
      </c>
      <c r="L640" s="472">
        <v>666</v>
      </c>
      <c r="M640" s="472">
        <v>666</v>
      </c>
      <c r="N640" s="472">
        <v>666</v>
      </c>
      <c r="O640" s="472">
        <v>666</v>
      </c>
      <c r="P640" s="466">
        <v>10</v>
      </c>
      <c r="Q640" s="468">
        <v>13</v>
      </c>
      <c r="R640" s="466">
        <v>106</v>
      </c>
      <c r="S640" s="468">
        <v>143</v>
      </c>
      <c r="T640" s="466">
        <v>475</v>
      </c>
      <c r="U640" s="468">
        <v>660</v>
      </c>
      <c r="V640" s="468">
        <v>1</v>
      </c>
      <c r="W640" s="466">
        <v>950</v>
      </c>
      <c r="X640" s="468">
        <v>1080</v>
      </c>
      <c r="Y640" s="466">
        <v>350</v>
      </c>
      <c r="Z640" s="468">
        <v>400</v>
      </c>
      <c r="AA640" s="466">
        <v>6.3</v>
      </c>
      <c r="AB640" s="466">
        <v>0.4</v>
      </c>
      <c r="AC640" s="466">
        <v>9.3000000000000007</v>
      </c>
      <c r="AD640" s="466">
        <v>0.6</v>
      </c>
      <c r="AE640" s="466">
        <v>0.47</v>
      </c>
      <c r="AF640" s="468">
        <v>0.52</v>
      </c>
      <c r="AG640" s="466">
        <v>0.6</v>
      </c>
      <c r="AH640" s="468">
        <v>0.66</v>
      </c>
      <c r="AI640" s="466">
        <v>0.89</v>
      </c>
      <c r="AJ640" s="466">
        <v>-9</v>
      </c>
      <c r="AK640" s="466">
        <v>6</v>
      </c>
      <c r="AL640" s="524">
        <v>20</v>
      </c>
      <c r="AM640" s="524">
        <v>20</v>
      </c>
    </row>
    <row r="641" spans="1:40" ht="25" customHeight="1" outlineLevel="1">
      <c r="A641" s="476" t="s">
        <v>1336</v>
      </c>
      <c r="B641" s="466">
        <v>5</v>
      </c>
      <c r="C641" s="466">
        <v>-11</v>
      </c>
      <c r="D641" s="466">
        <v>-13</v>
      </c>
      <c r="E641" s="466">
        <v>19</v>
      </c>
      <c r="F641" s="466">
        <v>18</v>
      </c>
      <c r="G641" s="468">
        <v>23</v>
      </c>
      <c r="H641" s="468">
        <v>22</v>
      </c>
      <c r="I641" s="466">
        <v>4900</v>
      </c>
      <c r="J641" s="466">
        <v>3900</v>
      </c>
      <c r="K641" s="472">
        <f t="shared" si="9"/>
        <v>4400</v>
      </c>
      <c r="L641" s="472">
        <v>666</v>
      </c>
      <c r="M641" s="472">
        <v>666</v>
      </c>
      <c r="N641" s="472">
        <v>666</v>
      </c>
      <c r="O641" s="472">
        <v>666</v>
      </c>
      <c r="P641" s="466">
        <v>18</v>
      </c>
      <c r="Q641" s="468">
        <v>23</v>
      </c>
      <c r="R641" s="466">
        <v>130</v>
      </c>
      <c r="S641" s="468">
        <v>164</v>
      </c>
      <c r="T641" s="466">
        <v>1425</v>
      </c>
      <c r="U641" s="468">
        <v>1570</v>
      </c>
      <c r="V641" s="468">
        <v>1.8</v>
      </c>
      <c r="W641" s="466">
        <v>1550</v>
      </c>
      <c r="X641" s="468">
        <v>1620</v>
      </c>
      <c r="Y641" s="466">
        <v>400</v>
      </c>
      <c r="AA641" s="466">
        <v>2.2999999999999998</v>
      </c>
      <c r="AB641" s="466">
        <v>0.7</v>
      </c>
      <c r="AC641" s="466">
        <v>3.4</v>
      </c>
      <c r="AD641" s="466">
        <v>1</v>
      </c>
      <c r="AE641" s="466">
        <v>0.82</v>
      </c>
      <c r="AF641" s="468">
        <v>0.9</v>
      </c>
      <c r="AG641" s="466">
        <v>1.05</v>
      </c>
      <c r="AH641" s="468">
        <v>1.1599999999999999</v>
      </c>
      <c r="AI641" s="466">
        <v>1.56</v>
      </c>
      <c r="AJ641" s="466">
        <v>-4</v>
      </c>
      <c r="AK641" s="466">
        <v>7.5</v>
      </c>
      <c r="AL641" s="524">
        <v>22</v>
      </c>
      <c r="AM641" s="524">
        <v>22</v>
      </c>
    </row>
    <row r="642" spans="1:40" ht="25" customHeight="1" outlineLevel="1">
      <c r="A642" s="476" t="s">
        <v>1337</v>
      </c>
      <c r="B642" s="466">
        <v>5</v>
      </c>
      <c r="C642" s="466">
        <v>-13</v>
      </c>
      <c r="D642" s="466">
        <v>-15</v>
      </c>
      <c r="E642" s="466">
        <v>19</v>
      </c>
      <c r="F642" s="466">
        <v>18</v>
      </c>
      <c r="G642" s="468">
        <v>23</v>
      </c>
      <c r="H642" s="468">
        <v>22</v>
      </c>
      <c r="I642" s="466">
        <v>5000</v>
      </c>
      <c r="J642" s="466">
        <v>4000</v>
      </c>
      <c r="K642" s="472">
        <f t="shared" ref="K642:K699" si="10">I642-500</f>
        <v>4500</v>
      </c>
      <c r="L642" s="472">
        <v>666</v>
      </c>
      <c r="M642" s="472">
        <v>666</v>
      </c>
      <c r="N642" s="472">
        <v>666</v>
      </c>
      <c r="O642" s="472">
        <v>666</v>
      </c>
      <c r="P642" s="466">
        <v>13</v>
      </c>
      <c r="Q642" s="468">
        <v>17</v>
      </c>
      <c r="R642" s="466">
        <v>123</v>
      </c>
      <c r="S642" s="468">
        <v>157</v>
      </c>
      <c r="T642" s="466">
        <v>1175</v>
      </c>
      <c r="U642" s="468">
        <v>1340</v>
      </c>
      <c r="V642" s="468">
        <v>1.5</v>
      </c>
      <c r="W642" s="466">
        <v>1520</v>
      </c>
      <c r="X642" s="468">
        <v>1630</v>
      </c>
      <c r="Y642" s="466">
        <v>450</v>
      </c>
      <c r="Z642" s="468">
        <v>460</v>
      </c>
      <c r="AA642" s="466">
        <v>3.6</v>
      </c>
      <c r="AB642" s="466">
        <v>0.7</v>
      </c>
      <c r="AC642" s="466">
        <v>5.5</v>
      </c>
      <c r="AD642" s="466">
        <v>1.1000000000000001</v>
      </c>
      <c r="AE642" s="466">
        <v>0.61</v>
      </c>
      <c r="AF642" s="468">
        <v>0.67</v>
      </c>
      <c r="AG642" s="466">
        <v>0.78</v>
      </c>
      <c r="AH642" s="468">
        <v>0.86</v>
      </c>
      <c r="AI642" s="466">
        <v>1.1599999999999999</v>
      </c>
      <c r="AJ642" s="466">
        <v>-4</v>
      </c>
      <c r="AK642" s="466">
        <v>8.3000000000000007</v>
      </c>
      <c r="AL642" s="524">
        <v>22</v>
      </c>
      <c r="AM642" s="524">
        <v>22</v>
      </c>
    </row>
    <row r="643" spans="1:40" ht="25" customHeight="1" outlineLevel="1">
      <c r="A643" s="476" t="s">
        <v>1338</v>
      </c>
      <c r="B643" s="466">
        <v>35</v>
      </c>
      <c r="C643" s="466">
        <v>-16</v>
      </c>
      <c r="D643" s="466">
        <v>-18</v>
      </c>
      <c r="E643" s="466">
        <v>26</v>
      </c>
      <c r="F643" s="466">
        <v>20</v>
      </c>
      <c r="G643" s="468">
        <v>30</v>
      </c>
      <c r="H643" s="468">
        <v>23</v>
      </c>
      <c r="I643" s="466">
        <v>4760</v>
      </c>
      <c r="J643" s="466">
        <v>3770</v>
      </c>
      <c r="K643" s="472">
        <f t="shared" si="10"/>
        <v>4260</v>
      </c>
      <c r="L643" s="472">
        <v>666</v>
      </c>
      <c r="M643" s="472">
        <v>666</v>
      </c>
      <c r="N643" s="472">
        <v>666</v>
      </c>
      <c r="O643" s="472">
        <v>666</v>
      </c>
      <c r="P643" s="466">
        <v>13</v>
      </c>
      <c r="Q643" s="468">
        <v>17</v>
      </c>
      <c r="R643" s="466">
        <v>91</v>
      </c>
      <c r="S643" s="468">
        <v>117</v>
      </c>
      <c r="T643" s="466">
        <v>875</v>
      </c>
      <c r="U643" s="468">
        <v>1080</v>
      </c>
      <c r="V643" s="468">
        <v>1.3</v>
      </c>
      <c r="W643" s="466">
        <v>1190</v>
      </c>
      <c r="X643" s="468">
        <v>1310</v>
      </c>
      <c r="Y643" s="466">
        <v>300</v>
      </c>
      <c r="Z643" s="468">
        <v>320</v>
      </c>
      <c r="AA643" s="466">
        <v>3.7</v>
      </c>
      <c r="AB643" s="466">
        <v>0.6</v>
      </c>
      <c r="AC643" s="466">
        <v>5.3</v>
      </c>
      <c r="AD643" s="466">
        <v>0.9</v>
      </c>
      <c r="AE643" s="466">
        <v>0.43</v>
      </c>
      <c r="AF643" s="468">
        <v>0.47</v>
      </c>
      <c r="AG643" s="466">
        <v>0.55000000000000004</v>
      </c>
      <c r="AH643" s="468">
        <v>0.61</v>
      </c>
      <c r="AI643" s="466">
        <v>0.81</v>
      </c>
      <c r="AJ643" s="466">
        <v>-6</v>
      </c>
      <c r="AK643" s="466">
        <v>5</v>
      </c>
      <c r="AL643" s="524">
        <v>23</v>
      </c>
      <c r="AM643" s="524">
        <v>23</v>
      </c>
    </row>
    <row r="644" spans="1:40" ht="25" customHeight="1" outlineLevel="1">
      <c r="A644" s="476" t="s">
        <v>1339</v>
      </c>
      <c r="B644" s="466">
        <v>125</v>
      </c>
      <c r="C644" s="466">
        <v>-18</v>
      </c>
      <c r="D644" s="466">
        <v>-20</v>
      </c>
      <c r="E644" s="466">
        <v>27</v>
      </c>
      <c r="F644" s="466">
        <v>20</v>
      </c>
      <c r="G644" s="468">
        <v>31</v>
      </c>
      <c r="H644" s="468">
        <v>24</v>
      </c>
      <c r="I644" s="466">
        <v>5110</v>
      </c>
      <c r="J644" s="466">
        <v>4110</v>
      </c>
      <c r="K644" s="472">
        <f t="shared" si="10"/>
        <v>4610</v>
      </c>
      <c r="L644" s="472">
        <v>666</v>
      </c>
      <c r="M644" s="472">
        <v>666</v>
      </c>
      <c r="N644" s="472">
        <v>666</v>
      </c>
      <c r="O644" s="472">
        <v>666</v>
      </c>
      <c r="P644" s="466">
        <v>18</v>
      </c>
      <c r="Q644" s="468">
        <v>23</v>
      </c>
      <c r="R644" s="466">
        <v>91</v>
      </c>
      <c r="S644" s="468">
        <v>117</v>
      </c>
      <c r="T644" s="466">
        <v>775</v>
      </c>
      <c r="U644" s="468">
        <v>1010</v>
      </c>
      <c r="V644" s="468">
        <v>1.1000000000000001</v>
      </c>
      <c r="W644" s="466">
        <v>1180</v>
      </c>
      <c r="X644" s="468">
        <v>1350</v>
      </c>
      <c r="Y644" s="466">
        <v>280</v>
      </c>
      <c r="Z644" s="468">
        <v>310</v>
      </c>
      <c r="AA644" s="466">
        <v>3.7</v>
      </c>
      <c r="AB644" s="466">
        <v>0.6</v>
      </c>
      <c r="AC644" s="466">
        <v>5.4</v>
      </c>
      <c r="AD644" s="466">
        <v>0.9</v>
      </c>
      <c r="AE644" s="466">
        <v>0.47</v>
      </c>
      <c r="AF644" s="468">
        <v>0.52</v>
      </c>
      <c r="AG644" s="466">
        <v>0.6</v>
      </c>
      <c r="AH644" s="468">
        <v>0.66</v>
      </c>
      <c r="AI644" s="466">
        <v>0.89</v>
      </c>
      <c r="AJ644" s="466">
        <v>-5</v>
      </c>
      <c r="AK644" s="466">
        <v>6.3</v>
      </c>
      <c r="AL644" s="524">
        <v>24</v>
      </c>
      <c r="AM644" s="524">
        <v>24</v>
      </c>
    </row>
    <row r="645" spans="1:40" ht="25" customHeight="1" outlineLevel="1">
      <c r="A645" s="476" t="s">
        <v>1340</v>
      </c>
      <c r="B645" s="466">
        <v>5</v>
      </c>
      <c r="C645" s="466">
        <v>-14</v>
      </c>
      <c r="D645" s="466">
        <v>-15</v>
      </c>
      <c r="E645" s="466">
        <v>20</v>
      </c>
      <c r="F645" s="466">
        <v>18</v>
      </c>
      <c r="G645" s="468">
        <v>24</v>
      </c>
      <c r="H645" s="468">
        <v>22</v>
      </c>
      <c r="I645" s="466">
        <v>4550</v>
      </c>
      <c r="J645" s="466">
        <v>3570</v>
      </c>
      <c r="K645" s="472">
        <f t="shared" si="10"/>
        <v>4050</v>
      </c>
      <c r="L645" s="472">
        <v>666</v>
      </c>
      <c r="M645" s="472">
        <v>666</v>
      </c>
      <c r="N645" s="472">
        <v>666</v>
      </c>
      <c r="O645" s="472">
        <v>666</v>
      </c>
      <c r="P645" s="466">
        <v>15</v>
      </c>
      <c r="Q645" s="468">
        <v>19</v>
      </c>
      <c r="R645" s="466">
        <v>123</v>
      </c>
      <c r="S645" s="468">
        <v>157</v>
      </c>
      <c r="T645" s="466">
        <v>1350</v>
      </c>
      <c r="U645" s="468">
        <v>1540</v>
      </c>
      <c r="V645" s="468">
        <v>1.8</v>
      </c>
      <c r="W645" s="466">
        <v>1525</v>
      </c>
      <c r="X645" s="468">
        <v>1640</v>
      </c>
      <c r="Y645" s="466">
        <v>400</v>
      </c>
      <c r="Z645" s="468">
        <v>410</v>
      </c>
      <c r="AA645" s="466">
        <v>2.4</v>
      </c>
      <c r="AB645" s="466">
        <v>0.7</v>
      </c>
      <c r="AC645" s="466">
        <v>3.6</v>
      </c>
      <c r="AD645" s="466">
        <v>1</v>
      </c>
      <c r="AE645" s="466">
        <v>0.57999999999999996</v>
      </c>
      <c r="AF645" s="468">
        <v>0.64</v>
      </c>
      <c r="AG645" s="466">
        <v>0.74</v>
      </c>
      <c r="AH645" s="468">
        <v>0.81</v>
      </c>
      <c r="AI645" s="466">
        <v>1.1000000000000001</v>
      </c>
      <c r="AJ645" s="466">
        <v>-4</v>
      </c>
      <c r="AK645" s="466">
        <v>6.5</v>
      </c>
      <c r="AL645" s="524">
        <v>22</v>
      </c>
      <c r="AM645" s="524">
        <v>22</v>
      </c>
    </row>
    <row r="646" spans="1:40" ht="25" customHeight="1" outlineLevel="1">
      <c r="A646" s="476" t="s">
        <v>1289</v>
      </c>
      <c r="B646" s="466">
        <v>60</v>
      </c>
      <c r="C646" s="466">
        <v>-26</v>
      </c>
      <c r="D646" s="466">
        <v>-29</v>
      </c>
      <c r="E646" s="466">
        <v>27</v>
      </c>
      <c r="F646" s="466">
        <v>20</v>
      </c>
      <c r="G646" s="468">
        <v>31</v>
      </c>
      <c r="H646" s="468">
        <v>24</v>
      </c>
      <c r="I646" s="466">
        <v>5020</v>
      </c>
      <c r="J646" s="466">
        <v>4020</v>
      </c>
      <c r="K646" s="472">
        <f t="shared" si="10"/>
        <v>4520</v>
      </c>
      <c r="L646" s="472">
        <v>666</v>
      </c>
      <c r="M646" s="472">
        <v>666</v>
      </c>
      <c r="N646" s="472">
        <v>666</v>
      </c>
      <c r="O646" s="472">
        <v>666</v>
      </c>
      <c r="P646" s="466">
        <v>15</v>
      </c>
      <c r="Q646" s="468">
        <v>19</v>
      </c>
      <c r="R646" s="466">
        <v>86</v>
      </c>
      <c r="S646" s="468">
        <v>111</v>
      </c>
      <c r="T646" s="466">
        <v>775</v>
      </c>
      <c r="U646" s="468">
        <v>1010</v>
      </c>
      <c r="V646" s="468">
        <v>1.1000000000000001</v>
      </c>
      <c r="W646" s="466">
        <v>1030</v>
      </c>
      <c r="X646" s="468">
        <v>1190</v>
      </c>
      <c r="Y646" s="466">
        <v>240</v>
      </c>
      <c r="Z646" s="468">
        <v>260</v>
      </c>
      <c r="AA646" s="466">
        <v>3.4</v>
      </c>
      <c r="AB646" s="466">
        <v>0.6</v>
      </c>
      <c r="AC646" s="466">
        <v>4.9000000000000004</v>
      </c>
      <c r="AD646" s="466">
        <v>0.9</v>
      </c>
      <c r="AE646" s="466">
        <v>0.47</v>
      </c>
      <c r="AF646" s="468">
        <v>0.52</v>
      </c>
      <c r="AG646" s="466">
        <v>0.6</v>
      </c>
      <c r="AH646" s="468">
        <v>0.66</v>
      </c>
      <c r="AI646" s="466">
        <v>0.89</v>
      </c>
      <c r="AJ646" s="466">
        <v>-6</v>
      </c>
      <c r="AK646" s="466">
        <v>5.5</v>
      </c>
      <c r="AL646" s="524">
        <v>24</v>
      </c>
      <c r="AM646" s="524">
        <v>24</v>
      </c>
    </row>
    <row r="647" spans="1:40" ht="25" customHeight="1" outlineLevel="1">
      <c r="A647" s="476" t="s">
        <v>1341</v>
      </c>
      <c r="B647" s="466">
        <v>15</v>
      </c>
      <c r="C647" s="466">
        <v>-31</v>
      </c>
      <c r="D647" s="466">
        <v>-32</v>
      </c>
      <c r="E647" s="466">
        <v>27</v>
      </c>
      <c r="F647" s="466">
        <v>19</v>
      </c>
      <c r="G647" s="468">
        <v>31</v>
      </c>
      <c r="H647" s="468">
        <v>23</v>
      </c>
      <c r="I647" s="466">
        <v>6670</v>
      </c>
      <c r="J647" s="466">
        <v>5700</v>
      </c>
      <c r="K647" s="472">
        <f t="shared" si="10"/>
        <v>6170</v>
      </c>
      <c r="L647" s="472">
        <v>666</v>
      </c>
      <c r="M647" s="472">
        <v>666</v>
      </c>
      <c r="N647" s="472">
        <v>666</v>
      </c>
      <c r="O647" s="472">
        <v>666</v>
      </c>
      <c r="P647" s="466">
        <v>18</v>
      </c>
      <c r="Q647" s="468">
        <v>24</v>
      </c>
      <c r="R647" s="466">
        <v>80</v>
      </c>
      <c r="S647" s="468">
        <v>107</v>
      </c>
      <c r="T647" s="466">
        <v>575</v>
      </c>
      <c r="U647" s="468">
        <v>750</v>
      </c>
      <c r="V647" s="468">
        <v>0.9</v>
      </c>
      <c r="W647" s="466">
        <v>960</v>
      </c>
      <c r="X647" s="468">
        <v>1120</v>
      </c>
      <c r="Y647" s="466">
        <v>160</v>
      </c>
      <c r="Z647" s="468">
        <v>180</v>
      </c>
      <c r="AA647" s="466">
        <v>5.3</v>
      </c>
      <c r="AB647" s="466">
        <v>0.4</v>
      </c>
      <c r="AC647" s="466">
        <v>7.7</v>
      </c>
      <c r="AD647" s="466">
        <v>0.6</v>
      </c>
      <c r="AE647" s="466">
        <v>0.33</v>
      </c>
      <c r="AF647" s="468">
        <v>0.36</v>
      </c>
      <c r="AG647" s="466">
        <v>0.42</v>
      </c>
      <c r="AH647" s="468">
        <v>0.46</v>
      </c>
      <c r="AI647" s="466">
        <v>0.62</v>
      </c>
      <c r="AJ647" s="466">
        <v>-11</v>
      </c>
      <c r="AK647" s="466">
        <v>4.7</v>
      </c>
      <c r="AL647" s="524">
        <v>23</v>
      </c>
      <c r="AM647" s="524">
        <v>23</v>
      </c>
    </row>
    <row r="648" spans="1:40" ht="25" customHeight="1" outlineLevel="1">
      <c r="A648" s="476" t="s">
        <v>1342</v>
      </c>
      <c r="B648" s="466">
        <v>550</v>
      </c>
      <c r="C648" s="466">
        <v>-36</v>
      </c>
      <c r="D648" s="466">
        <v>-38</v>
      </c>
      <c r="E648" s="466">
        <v>24</v>
      </c>
      <c r="F648" s="466">
        <v>17</v>
      </c>
      <c r="G648" s="468">
        <v>28</v>
      </c>
      <c r="H648" s="468">
        <v>20</v>
      </c>
      <c r="I648" s="466">
        <v>7710</v>
      </c>
      <c r="J648" s="466">
        <v>6710</v>
      </c>
      <c r="K648" s="472">
        <f t="shared" si="10"/>
        <v>7210</v>
      </c>
      <c r="L648" s="472">
        <v>666</v>
      </c>
      <c r="M648" s="472">
        <v>666</v>
      </c>
      <c r="N648" s="472">
        <v>666</v>
      </c>
      <c r="O648" s="472">
        <v>666</v>
      </c>
      <c r="P648" s="466">
        <v>15</v>
      </c>
      <c r="Q648" s="468">
        <v>20</v>
      </c>
      <c r="R648" s="466">
        <v>70</v>
      </c>
      <c r="S648" s="468">
        <v>92</v>
      </c>
      <c r="T648" s="466">
        <v>500</v>
      </c>
      <c r="U648" s="468">
        <v>630</v>
      </c>
      <c r="V648" s="468">
        <v>0.9</v>
      </c>
      <c r="W648" s="466">
        <v>880</v>
      </c>
      <c r="X648" s="468">
        <v>1020</v>
      </c>
      <c r="Y648" s="466">
        <v>140</v>
      </c>
      <c r="Z648" s="468">
        <v>160</v>
      </c>
      <c r="AA648" s="466">
        <v>4.8</v>
      </c>
      <c r="AB648" s="466">
        <v>0.3</v>
      </c>
      <c r="AC648" s="466">
        <v>6.8</v>
      </c>
      <c r="AD648" s="466">
        <v>0.4</v>
      </c>
      <c r="AE648" s="466">
        <v>0.31</v>
      </c>
      <c r="AF648" s="468">
        <v>0.34</v>
      </c>
      <c r="AG648" s="466">
        <v>0.4</v>
      </c>
      <c r="AH648" s="468">
        <v>0.44</v>
      </c>
      <c r="AI648" s="466">
        <v>0.61</v>
      </c>
      <c r="AJ648" s="466">
        <v>-14</v>
      </c>
      <c r="AK648" s="466">
        <v>4</v>
      </c>
      <c r="AL648" s="524">
        <v>20</v>
      </c>
      <c r="AM648" s="524">
        <v>20</v>
      </c>
    </row>
    <row r="649" spans="1:40" ht="25" customHeight="1" outlineLevel="1">
      <c r="A649" s="476" t="s">
        <v>1343</v>
      </c>
      <c r="B649" s="466">
        <v>10</v>
      </c>
      <c r="C649" s="466">
        <v>-25</v>
      </c>
      <c r="D649" s="466">
        <v>-27</v>
      </c>
      <c r="E649" s="466">
        <v>22</v>
      </c>
      <c r="F649" s="466">
        <v>18</v>
      </c>
      <c r="G649" s="468">
        <v>26</v>
      </c>
      <c r="H649" s="468">
        <v>22</v>
      </c>
      <c r="I649" s="466">
        <v>6440</v>
      </c>
      <c r="J649" s="466">
        <v>5380</v>
      </c>
      <c r="K649" s="472">
        <f t="shared" si="10"/>
        <v>5940</v>
      </c>
      <c r="L649" s="472">
        <v>666</v>
      </c>
      <c r="M649" s="472">
        <v>666</v>
      </c>
      <c r="N649" s="472">
        <v>666</v>
      </c>
      <c r="O649" s="472">
        <v>666</v>
      </c>
      <c r="P649" s="466">
        <v>13</v>
      </c>
      <c r="Q649" s="468">
        <v>17</v>
      </c>
      <c r="R649" s="466">
        <v>86</v>
      </c>
      <c r="S649" s="468">
        <v>112</v>
      </c>
      <c r="T649" s="466">
        <v>800</v>
      </c>
      <c r="U649" s="468">
        <v>1070</v>
      </c>
      <c r="V649" s="468">
        <v>1.3</v>
      </c>
      <c r="W649" s="466">
        <v>1280</v>
      </c>
      <c r="X649" s="468">
        <v>1440</v>
      </c>
      <c r="Y649" s="466">
        <v>450</v>
      </c>
      <c r="Z649" s="468">
        <v>500</v>
      </c>
      <c r="AA649" s="466">
        <v>6.1</v>
      </c>
      <c r="AB649" s="466">
        <v>0.6</v>
      </c>
      <c r="AC649" s="466">
        <v>8.9</v>
      </c>
      <c r="AD649" s="466">
        <v>0.9</v>
      </c>
      <c r="AE649" s="466">
        <v>0.68</v>
      </c>
      <c r="AF649" s="468">
        <v>0.75</v>
      </c>
      <c r="AG649" s="466">
        <v>0.87</v>
      </c>
      <c r="AH649" s="468">
        <v>0.96</v>
      </c>
      <c r="AI649" s="466">
        <v>1.3</v>
      </c>
      <c r="AJ649" s="466">
        <v>-8</v>
      </c>
      <c r="AK649" s="466">
        <v>7.5</v>
      </c>
      <c r="AL649" s="524">
        <v>22</v>
      </c>
      <c r="AM649" s="524">
        <v>22</v>
      </c>
    </row>
    <row r="650" spans="1:40" ht="25" customHeight="1" outlineLevel="1">
      <c r="A650" s="476" t="s">
        <v>1344</v>
      </c>
      <c r="B650" s="466">
        <v>25</v>
      </c>
      <c r="C650" s="466">
        <v>-16</v>
      </c>
      <c r="D650" s="466">
        <v>-18</v>
      </c>
      <c r="E650" s="466">
        <v>24</v>
      </c>
      <c r="F650" s="466">
        <v>19</v>
      </c>
      <c r="G650" s="468">
        <v>28</v>
      </c>
      <c r="H650" s="468">
        <v>23</v>
      </c>
      <c r="I650" s="466">
        <v>4850</v>
      </c>
      <c r="J650" s="466">
        <v>3860</v>
      </c>
      <c r="K650" s="472">
        <f t="shared" si="10"/>
        <v>4350</v>
      </c>
      <c r="L650" s="472">
        <v>666</v>
      </c>
      <c r="M650" s="472">
        <v>666</v>
      </c>
      <c r="N650" s="472">
        <v>666</v>
      </c>
      <c r="O650" s="472">
        <v>666</v>
      </c>
      <c r="P650" s="466">
        <v>14</v>
      </c>
      <c r="Q650" s="468">
        <v>18</v>
      </c>
      <c r="R650" s="466">
        <v>102</v>
      </c>
      <c r="S650" s="468">
        <v>131</v>
      </c>
      <c r="T650" s="466">
        <v>1000</v>
      </c>
      <c r="U650" s="468">
        <v>1200</v>
      </c>
      <c r="V650" s="468">
        <v>1.3</v>
      </c>
      <c r="W650" s="466">
        <v>1275</v>
      </c>
      <c r="X650" s="468">
        <v>1390</v>
      </c>
      <c r="Y650" s="466">
        <v>350</v>
      </c>
      <c r="Z650" s="468">
        <v>370</v>
      </c>
      <c r="AA650" s="466">
        <v>4.0999999999999996</v>
      </c>
      <c r="AB650" s="466">
        <v>0.6</v>
      </c>
      <c r="AC650" s="466">
        <v>6.1</v>
      </c>
      <c r="AD650" s="466">
        <v>0.9</v>
      </c>
      <c r="AE650" s="466">
        <v>0.45</v>
      </c>
      <c r="AF650" s="468">
        <v>0.5</v>
      </c>
      <c r="AG650" s="466">
        <v>0.57999999999999996</v>
      </c>
      <c r="AH650" s="468">
        <v>0.64</v>
      </c>
      <c r="AI650" s="466">
        <v>0.87</v>
      </c>
      <c r="AJ650" s="466">
        <v>-5</v>
      </c>
      <c r="AK650" s="466">
        <v>6.1</v>
      </c>
      <c r="AL650" s="524">
        <v>23</v>
      </c>
      <c r="AM650" s="524">
        <v>23</v>
      </c>
    </row>
    <row r="651" spans="1:40" ht="25" customHeight="1" outlineLevel="1">
      <c r="A651" s="476" t="s">
        <v>1345</v>
      </c>
      <c r="B651" s="466">
        <v>65</v>
      </c>
      <c r="C651" s="466">
        <v>-15</v>
      </c>
      <c r="D651" s="466">
        <v>-16</v>
      </c>
      <c r="E651" s="466">
        <v>24</v>
      </c>
      <c r="F651" s="466">
        <v>20</v>
      </c>
      <c r="G651" s="468">
        <v>28</v>
      </c>
      <c r="H651" s="468">
        <v>23</v>
      </c>
      <c r="I651" s="466">
        <v>4800</v>
      </c>
      <c r="J651" s="466">
        <v>3810</v>
      </c>
      <c r="K651" s="472">
        <f t="shared" si="10"/>
        <v>4300</v>
      </c>
      <c r="L651" s="472">
        <v>666</v>
      </c>
      <c r="M651" s="472">
        <v>666</v>
      </c>
      <c r="N651" s="472">
        <v>666</v>
      </c>
      <c r="O651" s="472">
        <v>666</v>
      </c>
      <c r="P651" s="466">
        <v>18</v>
      </c>
      <c r="Q651" s="468">
        <v>23</v>
      </c>
      <c r="R651" s="466">
        <v>118</v>
      </c>
      <c r="S651" s="468">
        <v>148</v>
      </c>
      <c r="T651" s="466">
        <v>1200</v>
      </c>
      <c r="U651" s="468">
        <v>1330</v>
      </c>
      <c r="V651" s="468">
        <v>1.6</v>
      </c>
      <c r="W651" s="466">
        <v>1575</v>
      </c>
      <c r="X651" s="468">
        <v>1650</v>
      </c>
      <c r="Y651" s="466">
        <v>400</v>
      </c>
      <c r="Z651" s="468">
        <v>420</v>
      </c>
      <c r="AA651" s="466">
        <v>2.9</v>
      </c>
      <c r="AB651" s="466">
        <v>0.7</v>
      </c>
      <c r="AC651" s="466">
        <v>4.4000000000000004</v>
      </c>
      <c r="AD651" s="466">
        <v>1.1000000000000001</v>
      </c>
      <c r="AE651" s="466">
        <v>0.61</v>
      </c>
      <c r="AF651" s="468">
        <v>0.67</v>
      </c>
      <c r="AG651" s="466">
        <v>0.78</v>
      </c>
      <c r="AH651" s="468">
        <v>0.86</v>
      </c>
      <c r="AI651" s="466">
        <v>1.1599999999999999</v>
      </c>
      <c r="AJ651" s="466">
        <v>-4</v>
      </c>
      <c r="AK651" s="466">
        <v>7.5</v>
      </c>
      <c r="AL651" s="524">
        <v>23</v>
      </c>
      <c r="AM651" s="524">
        <v>23</v>
      </c>
    </row>
    <row r="652" spans="1:40" ht="25" customHeight="1" outlineLevel="1">
      <c r="A652" s="476" t="s">
        <v>1346</v>
      </c>
      <c r="B652" s="466">
        <v>425</v>
      </c>
      <c r="C652" s="466">
        <v>-35</v>
      </c>
      <c r="D652" s="466">
        <v>-37</v>
      </c>
      <c r="E652" s="466">
        <v>24</v>
      </c>
      <c r="F652" s="466">
        <v>17</v>
      </c>
      <c r="G652" s="468">
        <v>28</v>
      </c>
      <c r="H652" s="468">
        <v>21</v>
      </c>
      <c r="I652" s="466">
        <v>7790</v>
      </c>
      <c r="J652" s="466">
        <v>6880</v>
      </c>
      <c r="K652" s="472">
        <f t="shared" si="10"/>
        <v>7290</v>
      </c>
      <c r="L652" s="472">
        <v>666</v>
      </c>
      <c r="M652" s="472">
        <v>666</v>
      </c>
      <c r="N652" s="472">
        <v>666</v>
      </c>
      <c r="O652" s="472">
        <v>666</v>
      </c>
      <c r="P652" s="466">
        <v>15</v>
      </c>
      <c r="Q652" s="468">
        <v>20</v>
      </c>
      <c r="R652" s="466">
        <v>70</v>
      </c>
      <c r="S652" s="468">
        <v>93</v>
      </c>
      <c r="T652" s="466">
        <v>500</v>
      </c>
      <c r="U652" s="468">
        <v>640</v>
      </c>
      <c r="V652" s="468">
        <v>1</v>
      </c>
      <c r="W652" s="466">
        <v>950</v>
      </c>
      <c r="X652" s="468">
        <v>1110</v>
      </c>
      <c r="Y652" s="466">
        <v>120</v>
      </c>
      <c r="Z652" s="468">
        <v>130</v>
      </c>
      <c r="AA652" s="466">
        <v>4.8</v>
      </c>
      <c r="AB652" s="466">
        <v>0.4</v>
      </c>
      <c r="AC652" s="466">
        <v>6.8</v>
      </c>
      <c r="AD652" s="466">
        <v>0.6</v>
      </c>
      <c r="AE652" s="466">
        <v>0.31</v>
      </c>
      <c r="AF652" s="468">
        <v>0.34</v>
      </c>
      <c r="AG652" s="466">
        <v>0.4</v>
      </c>
      <c r="AH652" s="468">
        <v>0.44</v>
      </c>
      <c r="AI652" s="466">
        <v>0.61</v>
      </c>
      <c r="AJ652" s="466">
        <v>-14</v>
      </c>
      <c r="AK652" s="466">
        <v>4</v>
      </c>
      <c r="AL652" s="524">
        <v>21</v>
      </c>
      <c r="AM652" s="524">
        <v>21</v>
      </c>
    </row>
    <row r="653" spans="1:40" ht="25" customHeight="1" outlineLevel="1">
      <c r="A653" s="476" t="s">
        <v>1347</v>
      </c>
      <c r="B653" s="466">
        <v>75</v>
      </c>
      <c r="C653" s="466">
        <v>-15</v>
      </c>
      <c r="D653" s="466">
        <v>-17</v>
      </c>
      <c r="E653" s="466">
        <v>24</v>
      </c>
      <c r="F653" s="466">
        <v>20</v>
      </c>
      <c r="G653" s="468">
        <v>27</v>
      </c>
      <c r="H653" s="468">
        <v>23</v>
      </c>
      <c r="I653" s="466">
        <v>4750</v>
      </c>
      <c r="J653" s="466">
        <v>3760</v>
      </c>
      <c r="K653" s="472">
        <f t="shared" si="10"/>
        <v>4250</v>
      </c>
      <c r="L653" s="472">
        <v>666</v>
      </c>
      <c r="M653" s="472">
        <v>666</v>
      </c>
      <c r="N653" s="472">
        <v>666</v>
      </c>
      <c r="O653" s="472">
        <v>666</v>
      </c>
      <c r="P653" s="466">
        <v>18</v>
      </c>
      <c r="Q653" s="468">
        <v>23</v>
      </c>
      <c r="R653" s="466">
        <v>112</v>
      </c>
      <c r="S653" s="468">
        <v>141</v>
      </c>
      <c r="T653" s="466">
        <v>1125</v>
      </c>
      <c r="U653" s="468">
        <v>1280</v>
      </c>
      <c r="V653" s="468">
        <v>1.4</v>
      </c>
      <c r="W653" s="466">
        <v>1500</v>
      </c>
      <c r="X653" s="468">
        <v>1590</v>
      </c>
      <c r="Y653" s="466">
        <v>400</v>
      </c>
      <c r="Z653" s="468">
        <v>430</v>
      </c>
      <c r="AA653" s="466">
        <v>3</v>
      </c>
      <c r="AB653" s="466">
        <v>0.7</v>
      </c>
      <c r="AC653" s="466">
        <v>4.5999999999999996</v>
      </c>
      <c r="AD653" s="466">
        <v>1.1000000000000001</v>
      </c>
      <c r="AE653" s="466">
        <v>0.59</v>
      </c>
      <c r="AF653" s="468">
        <v>0.65</v>
      </c>
      <c r="AG653" s="466">
        <v>0.75</v>
      </c>
      <c r="AH653" s="468">
        <v>0.83</v>
      </c>
      <c r="AI653" s="466">
        <v>1.1100000000000001</v>
      </c>
      <c r="AJ653" s="466">
        <v>-4</v>
      </c>
      <c r="AK653" s="466">
        <v>4.8</v>
      </c>
      <c r="AL653" s="524">
        <v>23</v>
      </c>
      <c r="AM653" s="524">
        <v>23</v>
      </c>
    </row>
    <row r="654" spans="1:40" s="473" customFormat="1" ht="25" customHeight="1" outlineLevel="1" thickBot="1">
      <c r="A654" s="477" t="s">
        <v>1348</v>
      </c>
      <c r="B654" s="473">
        <v>550</v>
      </c>
      <c r="C654" s="473">
        <v>-36</v>
      </c>
      <c r="D654" s="473">
        <v>-38</v>
      </c>
      <c r="E654" s="473">
        <v>24</v>
      </c>
      <c r="F654" s="473">
        <v>17</v>
      </c>
      <c r="G654" s="474">
        <v>28</v>
      </c>
      <c r="H654" s="474">
        <v>20</v>
      </c>
      <c r="I654" s="473">
        <v>7710</v>
      </c>
      <c r="J654" s="473">
        <v>6710</v>
      </c>
      <c r="K654" s="472">
        <f t="shared" si="10"/>
        <v>7210</v>
      </c>
      <c r="L654" s="472">
        <v>666</v>
      </c>
      <c r="M654" s="472">
        <v>666</v>
      </c>
      <c r="N654" s="472">
        <v>666</v>
      </c>
      <c r="O654" s="472">
        <v>666</v>
      </c>
      <c r="P654" s="473">
        <v>15</v>
      </c>
      <c r="Q654" s="474">
        <v>20</v>
      </c>
      <c r="R654" s="473">
        <v>70</v>
      </c>
      <c r="S654" s="474">
        <v>92</v>
      </c>
      <c r="T654" s="473">
        <v>500</v>
      </c>
      <c r="U654" s="474">
        <v>630</v>
      </c>
      <c r="V654" s="474">
        <v>0.9</v>
      </c>
      <c r="W654" s="473">
        <v>880</v>
      </c>
      <c r="X654" s="474">
        <v>1020</v>
      </c>
      <c r="Y654" s="473">
        <v>140</v>
      </c>
      <c r="Z654" s="474">
        <v>160</v>
      </c>
      <c r="AA654" s="473">
        <v>4.8</v>
      </c>
      <c r="AB654" s="473">
        <v>0.3</v>
      </c>
      <c r="AC654" s="473">
        <v>6.8</v>
      </c>
      <c r="AD654" s="473">
        <v>0.4</v>
      </c>
      <c r="AE654" s="473">
        <v>0.31</v>
      </c>
      <c r="AF654" s="474">
        <v>0.34</v>
      </c>
      <c r="AG654" s="473">
        <v>0.4</v>
      </c>
      <c r="AH654" s="474">
        <v>0.44</v>
      </c>
      <c r="AI654" s="473">
        <v>0.61</v>
      </c>
      <c r="AJ654" s="473">
        <v>-14</v>
      </c>
      <c r="AK654" s="473">
        <v>4</v>
      </c>
      <c r="AL654" s="525">
        <v>20</v>
      </c>
      <c r="AM654" s="525">
        <v>20</v>
      </c>
      <c r="AN654" s="701"/>
    </row>
    <row r="655" spans="1:40" s="480" customFormat="1" ht="25" customHeight="1" thickTop="1" thickBot="1">
      <c r="A655" s="478" t="s">
        <v>1349</v>
      </c>
      <c r="AL655" s="526"/>
      <c r="AM655" s="526"/>
      <c r="AN655" s="702"/>
    </row>
    <row r="656" spans="1:40" s="471" customFormat="1" ht="25" customHeight="1" outlineLevel="1" thickTop="1">
      <c r="A656" s="475" t="s">
        <v>1350</v>
      </c>
      <c r="B656" s="471">
        <v>920</v>
      </c>
      <c r="C656" s="471">
        <v>-44</v>
      </c>
      <c r="D656" s="471">
        <v>-46</v>
      </c>
      <c r="E656" s="471">
        <v>23</v>
      </c>
      <c r="F656" s="471">
        <v>15</v>
      </c>
      <c r="G656" s="472">
        <v>27</v>
      </c>
      <c r="H656" s="472">
        <v>19</v>
      </c>
      <c r="I656" s="471">
        <v>7500</v>
      </c>
      <c r="J656" s="471">
        <v>6500</v>
      </c>
      <c r="K656" s="472">
        <f t="shared" si="10"/>
        <v>7000</v>
      </c>
      <c r="L656" s="472">
        <v>666</v>
      </c>
      <c r="M656" s="472">
        <v>666</v>
      </c>
      <c r="N656" s="472">
        <v>666</v>
      </c>
      <c r="O656" s="472">
        <v>666</v>
      </c>
      <c r="P656" s="471">
        <v>8</v>
      </c>
      <c r="Q656" s="472">
        <v>10</v>
      </c>
      <c r="R656" s="471">
        <v>43</v>
      </c>
      <c r="S656" s="472">
        <v>56</v>
      </c>
      <c r="T656" s="471">
        <v>190</v>
      </c>
      <c r="U656" s="472">
        <v>270</v>
      </c>
      <c r="V656" s="472">
        <v>0.6</v>
      </c>
      <c r="W656" s="471">
        <v>275</v>
      </c>
      <c r="X656" s="472">
        <v>340</v>
      </c>
      <c r="Y656" s="471">
        <v>40</v>
      </c>
      <c r="Z656" s="472">
        <v>60</v>
      </c>
      <c r="AA656" s="471" t="s">
        <v>956</v>
      </c>
      <c r="AB656" s="471">
        <v>0.1</v>
      </c>
      <c r="AC656" s="471">
        <v>3</v>
      </c>
      <c r="AD656" s="471">
        <v>0.2</v>
      </c>
      <c r="AE656" s="471">
        <v>0.27</v>
      </c>
      <c r="AF656" s="472">
        <v>0.28000000000000003</v>
      </c>
      <c r="AG656" s="471">
        <v>0.38</v>
      </c>
      <c r="AH656" s="472">
        <v>0.4</v>
      </c>
      <c r="AI656" s="471">
        <v>0.6</v>
      </c>
      <c r="AJ656" s="471">
        <v>-14</v>
      </c>
      <c r="AK656" s="471">
        <v>2.2000000000000002</v>
      </c>
      <c r="AL656" s="490">
        <v>19</v>
      </c>
      <c r="AM656" s="490">
        <v>19</v>
      </c>
      <c r="AN656" s="699"/>
    </row>
    <row r="657" spans="1:40" ht="25" customHeight="1" outlineLevel="1">
      <c r="A657" s="476" t="s">
        <v>1351</v>
      </c>
      <c r="B657" s="466">
        <v>330</v>
      </c>
      <c r="C657" s="466">
        <v>-50</v>
      </c>
      <c r="D657" s="466">
        <v>-51</v>
      </c>
      <c r="E657" s="466">
        <v>26</v>
      </c>
      <c r="F657" s="466">
        <v>16</v>
      </c>
      <c r="G657" s="468">
        <v>30</v>
      </c>
      <c r="H657" s="468">
        <v>19</v>
      </c>
      <c r="I657" s="466">
        <v>8120</v>
      </c>
      <c r="J657" s="466">
        <v>7100</v>
      </c>
      <c r="K657" s="472">
        <f t="shared" si="10"/>
        <v>7620</v>
      </c>
      <c r="L657" s="472">
        <v>666</v>
      </c>
      <c r="M657" s="472">
        <v>666</v>
      </c>
      <c r="N657" s="472">
        <v>666</v>
      </c>
      <c r="O657" s="472">
        <v>666</v>
      </c>
      <c r="P657" s="466">
        <v>10</v>
      </c>
      <c r="Q657" s="468">
        <v>13</v>
      </c>
      <c r="R657" s="466">
        <v>49</v>
      </c>
      <c r="S657" s="468">
        <v>65</v>
      </c>
      <c r="T657" s="466">
        <v>200</v>
      </c>
      <c r="U657" s="468">
        <v>270</v>
      </c>
      <c r="V657" s="468">
        <v>0.6</v>
      </c>
      <c r="W657" s="466">
        <v>350</v>
      </c>
      <c r="X657" s="468">
        <v>440</v>
      </c>
      <c r="Y657" s="466">
        <v>40</v>
      </c>
      <c r="Z657" s="468">
        <v>50</v>
      </c>
      <c r="AA657" s="466" t="s">
        <v>1401</v>
      </c>
      <c r="AB657" s="466">
        <v>0.1</v>
      </c>
      <c r="AC657" s="466">
        <v>4.4000000000000004</v>
      </c>
      <c r="AD657" s="466">
        <v>0.2</v>
      </c>
      <c r="AE657" s="466">
        <v>0.22</v>
      </c>
      <c r="AF657" s="468">
        <v>0.23</v>
      </c>
      <c r="AG657" s="466">
        <v>0.31</v>
      </c>
      <c r="AH657" s="468">
        <v>0.33</v>
      </c>
      <c r="AI657" s="466">
        <v>0.48</v>
      </c>
      <c r="AJ657" s="466">
        <v>-17</v>
      </c>
      <c r="AK657" s="466">
        <v>2</v>
      </c>
      <c r="AL657" s="524">
        <v>19</v>
      </c>
      <c r="AM657" s="524">
        <v>19</v>
      </c>
    </row>
    <row r="658" spans="1:40" ht="25" customHeight="1" outlineLevel="1">
      <c r="A658" s="476" t="s">
        <v>1352</v>
      </c>
      <c r="B658" s="466">
        <v>815</v>
      </c>
      <c r="C658" s="466">
        <v>-43</v>
      </c>
      <c r="D658" s="466">
        <v>-45</v>
      </c>
      <c r="E658" s="466">
        <v>23</v>
      </c>
      <c r="F658" s="466">
        <v>14</v>
      </c>
      <c r="G658" s="468">
        <v>27</v>
      </c>
      <c r="H658" s="468">
        <v>18</v>
      </c>
      <c r="I658" s="466">
        <v>7800</v>
      </c>
      <c r="J658" s="466">
        <v>6790</v>
      </c>
      <c r="K658" s="472">
        <f t="shared" si="10"/>
        <v>7300</v>
      </c>
      <c r="L658" s="472">
        <v>666</v>
      </c>
      <c r="M658" s="472">
        <v>666</v>
      </c>
      <c r="N658" s="472">
        <v>666</v>
      </c>
      <c r="O658" s="472">
        <v>666</v>
      </c>
      <c r="P658" s="466">
        <v>8</v>
      </c>
      <c r="Q658" s="468">
        <v>10</v>
      </c>
      <c r="R658" s="466">
        <v>49</v>
      </c>
      <c r="S658" s="468">
        <v>64</v>
      </c>
      <c r="T658" s="466">
        <v>190</v>
      </c>
      <c r="U658" s="468">
        <v>290</v>
      </c>
      <c r="V658" s="468">
        <v>0.6</v>
      </c>
      <c r="W658" s="466">
        <v>300</v>
      </c>
      <c r="X658" s="468">
        <v>380</v>
      </c>
      <c r="Y658" s="466">
        <v>80</v>
      </c>
      <c r="Z658" s="468">
        <v>140</v>
      </c>
      <c r="AA658" s="466" t="s">
        <v>956</v>
      </c>
      <c r="AB658" s="466">
        <v>0.1</v>
      </c>
      <c r="AC658" s="466">
        <v>3</v>
      </c>
      <c r="AD658" s="466">
        <v>0.2</v>
      </c>
      <c r="AE658" s="466">
        <v>0.42</v>
      </c>
      <c r="AF658" s="468">
        <v>0.44</v>
      </c>
      <c r="AG658" s="466">
        <v>0.6</v>
      </c>
      <c r="AH658" s="468">
        <v>0.63</v>
      </c>
      <c r="AI658" s="466">
        <v>0.96</v>
      </c>
      <c r="AJ658" s="466">
        <v>-14</v>
      </c>
      <c r="AK658" s="466">
        <v>2.2999999999999998</v>
      </c>
      <c r="AL658" s="524">
        <v>18</v>
      </c>
      <c r="AM658" s="524">
        <v>18</v>
      </c>
    </row>
    <row r="659" spans="1:40" ht="25" customHeight="1" outlineLevel="1">
      <c r="A659" s="476" t="s">
        <v>1353</v>
      </c>
      <c r="B659" s="466">
        <v>670</v>
      </c>
      <c r="C659" s="466">
        <v>-46</v>
      </c>
      <c r="D659" s="466">
        <v>-47</v>
      </c>
      <c r="E659" s="466">
        <v>25</v>
      </c>
      <c r="F659" s="466">
        <v>16</v>
      </c>
      <c r="G659" s="468">
        <v>29</v>
      </c>
      <c r="H659" s="468">
        <v>20</v>
      </c>
      <c r="I659" s="466">
        <v>7300</v>
      </c>
      <c r="J659" s="466">
        <v>6310</v>
      </c>
      <c r="K659" s="472">
        <f t="shared" si="10"/>
        <v>6800</v>
      </c>
      <c r="L659" s="472">
        <v>666</v>
      </c>
      <c r="M659" s="472">
        <v>666</v>
      </c>
      <c r="N659" s="472">
        <v>666</v>
      </c>
      <c r="O659" s="472">
        <v>666</v>
      </c>
      <c r="P659" s="466">
        <v>10</v>
      </c>
      <c r="Q659" s="468">
        <v>13</v>
      </c>
      <c r="R659" s="466">
        <v>33</v>
      </c>
      <c r="S659" s="468">
        <v>43</v>
      </c>
      <c r="T659" s="466">
        <v>215</v>
      </c>
      <c r="U659" s="468">
        <v>300</v>
      </c>
      <c r="V659" s="468">
        <v>0.6</v>
      </c>
      <c r="W659" s="466">
        <v>315</v>
      </c>
      <c r="X659" s="468">
        <v>380</v>
      </c>
      <c r="Y659" s="466">
        <v>40</v>
      </c>
      <c r="Z659" s="468">
        <v>50</v>
      </c>
      <c r="AA659" s="466" t="s">
        <v>1402</v>
      </c>
      <c r="AB659" s="466">
        <v>0.1</v>
      </c>
      <c r="AC659" s="466">
        <v>3.6</v>
      </c>
      <c r="AD659" s="466">
        <v>0.2</v>
      </c>
      <c r="AE659" s="466">
        <v>0.26</v>
      </c>
      <c r="AF659" s="468">
        <v>0.27</v>
      </c>
      <c r="AG659" s="466">
        <v>0.35</v>
      </c>
      <c r="AH659" s="468">
        <v>0.37</v>
      </c>
      <c r="AI659" s="466">
        <v>0.55000000000000004</v>
      </c>
      <c r="AJ659" s="466">
        <v>-14</v>
      </c>
      <c r="AK659" s="466">
        <v>2.2999999999999998</v>
      </c>
      <c r="AL659" s="524">
        <v>20</v>
      </c>
      <c r="AM659" s="524">
        <v>20</v>
      </c>
    </row>
    <row r="660" spans="1:40" ht="25" customHeight="1" outlineLevel="1">
      <c r="A660" s="476" t="s">
        <v>1354</v>
      </c>
      <c r="B660" s="466">
        <v>600</v>
      </c>
      <c r="C660" s="466">
        <v>-45</v>
      </c>
      <c r="D660" s="466">
        <v>-47</v>
      </c>
      <c r="E660" s="466">
        <v>24</v>
      </c>
      <c r="F660" s="466">
        <v>14</v>
      </c>
      <c r="G660" s="468">
        <v>29</v>
      </c>
      <c r="H660" s="468">
        <v>18</v>
      </c>
      <c r="I660" s="466">
        <v>7100</v>
      </c>
      <c r="J660" s="466">
        <v>6120</v>
      </c>
      <c r="K660" s="472">
        <f t="shared" si="10"/>
        <v>6600</v>
      </c>
      <c r="L660" s="472">
        <v>666</v>
      </c>
      <c r="M660" s="472">
        <v>666</v>
      </c>
      <c r="N660" s="472">
        <v>666</v>
      </c>
      <c r="O660" s="472">
        <v>666</v>
      </c>
      <c r="P660" s="466">
        <v>8</v>
      </c>
      <c r="Q660" s="468">
        <v>10</v>
      </c>
      <c r="R660" s="466">
        <v>51</v>
      </c>
      <c r="S660" s="468">
        <v>66</v>
      </c>
      <c r="T660" s="466">
        <v>145</v>
      </c>
      <c r="U660" s="468">
        <v>230</v>
      </c>
      <c r="V660" s="468">
        <v>0.6</v>
      </c>
      <c r="W660" s="466">
        <v>315</v>
      </c>
      <c r="X660" s="468">
        <v>400</v>
      </c>
      <c r="Y660" s="466">
        <v>180</v>
      </c>
      <c r="Z660" s="468">
        <v>310</v>
      </c>
      <c r="AA660" s="466" t="s">
        <v>1403</v>
      </c>
      <c r="AB660" s="466">
        <v>0.1</v>
      </c>
      <c r="AC660" s="466">
        <v>3.3</v>
      </c>
      <c r="AD660" s="466">
        <v>0.2</v>
      </c>
      <c r="AE660" s="466">
        <v>0.24</v>
      </c>
      <c r="AF660" s="468">
        <v>0.25</v>
      </c>
      <c r="AG660" s="466">
        <v>0.34</v>
      </c>
      <c r="AH660" s="468">
        <v>0.36</v>
      </c>
      <c r="AI660" s="466">
        <v>0.54</v>
      </c>
      <c r="AJ660" s="466">
        <v>-11</v>
      </c>
      <c r="AK660" s="466">
        <v>2.5</v>
      </c>
      <c r="AL660" s="524">
        <v>18</v>
      </c>
      <c r="AM660" s="524">
        <v>18</v>
      </c>
    </row>
    <row r="661" spans="1:40" ht="25" customHeight="1" outlineLevel="1">
      <c r="A661" s="476" t="s">
        <v>1355</v>
      </c>
      <c r="B661" s="466">
        <v>595</v>
      </c>
      <c r="C661" s="466">
        <v>-51</v>
      </c>
      <c r="D661" s="466">
        <v>-53</v>
      </c>
      <c r="E661" s="466">
        <v>23</v>
      </c>
      <c r="F661" s="466">
        <v>16</v>
      </c>
      <c r="G661" s="468">
        <v>27</v>
      </c>
      <c r="H661" s="468">
        <v>19</v>
      </c>
      <c r="I661" s="466">
        <v>8300</v>
      </c>
      <c r="J661" s="466">
        <v>7280</v>
      </c>
      <c r="K661" s="472">
        <f t="shared" si="10"/>
        <v>7800</v>
      </c>
      <c r="L661" s="472">
        <v>666</v>
      </c>
      <c r="M661" s="472">
        <v>666</v>
      </c>
      <c r="N661" s="472">
        <v>666</v>
      </c>
      <c r="O661" s="472">
        <v>666</v>
      </c>
      <c r="P661" s="466">
        <v>8</v>
      </c>
      <c r="Q661" s="468">
        <v>10</v>
      </c>
      <c r="R661" s="466">
        <v>59</v>
      </c>
      <c r="S661" s="468">
        <v>77</v>
      </c>
      <c r="T661" s="466">
        <v>290</v>
      </c>
      <c r="U661" s="468">
        <v>390</v>
      </c>
      <c r="V661" s="468">
        <v>0.6</v>
      </c>
      <c r="W661" s="466">
        <v>350</v>
      </c>
      <c r="X661" s="468">
        <v>440</v>
      </c>
      <c r="Y661" s="466">
        <v>40</v>
      </c>
      <c r="Z661" s="468">
        <v>50</v>
      </c>
      <c r="AA661" s="466" t="s">
        <v>1403</v>
      </c>
      <c r="AB661" s="466">
        <v>0.1</v>
      </c>
      <c r="AC661" s="466">
        <v>3.4</v>
      </c>
      <c r="AD661" s="466">
        <v>0.2</v>
      </c>
      <c r="AE661" s="466">
        <v>0.22</v>
      </c>
      <c r="AF661" s="468">
        <v>0.23</v>
      </c>
      <c r="AG661" s="466">
        <v>0.31</v>
      </c>
      <c r="AH661" s="468">
        <v>0.33</v>
      </c>
      <c r="AI661" s="466">
        <v>0.48</v>
      </c>
      <c r="AJ661" s="466">
        <v>-17</v>
      </c>
      <c r="AK661" s="466">
        <v>2.2000000000000002</v>
      </c>
      <c r="AL661" s="524">
        <v>19</v>
      </c>
      <c r="AM661" s="524">
        <v>19</v>
      </c>
    </row>
    <row r="662" spans="1:40" ht="25" customHeight="1" outlineLevel="1">
      <c r="A662" s="476" t="s">
        <v>1356</v>
      </c>
      <c r="B662" s="466">
        <v>690</v>
      </c>
      <c r="C662" s="466">
        <v>-42</v>
      </c>
      <c r="D662" s="466">
        <v>-44</v>
      </c>
      <c r="E662" s="466">
        <v>24</v>
      </c>
      <c r="F662" s="466">
        <v>15</v>
      </c>
      <c r="G662" s="468">
        <v>28</v>
      </c>
      <c r="H662" s="468">
        <v>19</v>
      </c>
      <c r="I662" s="466">
        <v>6770</v>
      </c>
      <c r="J662" s="466">
        <v>5800</v>
      </c>
      <c r="K662" s="472">
        <f t="shared" si="10"/>
        <v>6270</v>
      </c>
      <c r="L662" s="472">
        <v>666</v>
      </c>
      <c r="M662" s="472">
        <v>666</v>
      </c>
      <c r="N662" s="472">
        <v>666</v>
      </c>
      <c r="O662" s="472">
        <v>666</v>
      </c>
      <c r="P662" s="466">
        <v>10</v>
      </c>
      <c r="Q662" s="468">
        <v>13</v>
      </c>
      <c r="R662" s="466">
        <v>38</v>
      </c>
      <c r="S662" s="468">
        <v>49</v>
      </c>
      <c r="T662" s="466">
        <v>200</v>
      </c>
      <c r="U662" s="468">
        <v>300</v>
      </c>
      <c r="V662" s="468">
        <v>0.5</v>
      </c>
      <c r="W662" s="466">
        <v>340</v>
      </c>
      <c r="X662" s="468">
        <v>400</v>
      </c>
      <c r="Y662" s="466">
        <v>40</v>
      </c>
      <c r="Z662" s="468">
        <v>50</v>
      </c>
      <c r="AA662" s="466" t="s">
        <v>924</v>
      </c>
      <c r="AB662" s="466">
        <v>0.1</v>
      </c>
      <c r="AC662" s="466">
        <v>4.5999999999999996</v>
      </c>
      <c r="AD662" s="466">
        <v>0.2</v>
      </c>
      <c r="AE662" s="466">
        <v>0.26</v>
      </c>
      <c r="AF662" s="468">
        <v>0.27</v>
      </c>
      <c r="AG662" s="466">
        <v>0.34</v>
      </c>
      <c r="AH662" s="468">
        <v>0.36</v>
      </c>
      <c r="AI662" s="466">
        <v>0.49</v>
      </c>
      <c r="AJ662" s="466">
        <v>-12</v>
      </c>
      <c r="AK662" s="466">
        <v>2.2000000000000002</v>
      </c>
      <c r="AL662" s="524">
        <v>19</v>
      </c>
      <c r="AM662" s="524">
        <v>19</v>
      </c>
    </row>
    <row r="663" spans="1:40" ht="25" customHeight="1" outlineLevel="1">
      <c r="A663" s="476" t="s">
        <v>1357</v>
      </c>
      <c r="B663" s="466">
        <v>685</v>
      </c>
      <c r="C663" s="466">
        <v>-46</v>
      </c>
      <c r="D663" s="466">
        <v>-48</v>
      </c>
      <c r="E663" s="466">
        <v>26</v>
      </c>
      <c r="F663" s="466">
        <v>16</v>
      </c>
      <c r="G663" s="468">
        <v>30</v>
      </c>
      <c r="H663" s="468">
        <v>20</v>
      </c>
      <c r="I663" s="466">
        <v>7470</v>
      </c>
      <c r="J663" s="466">
        <v>6470</v>
      </c>
      <c r="K663" s="472">
        <f t="shared" si="10"/>
        <v>6970</v>
      </c>
      <c r="L663" s="472">
        <v>666</v>
      </c>
      <c r="M663" s="472">
        <v>666</v>
      </c>
      <c r="N663" s="472">
        <v>666</v>
      </c>
      <c r="O663" s="472">
        <v>666</v>
      </c>
      <c r="P663" s="466">
        <v>10</v>
      </c>
      <c r="Q663" s="468">
        <v>13</v>
      </c>
      <c r="R663" s="466">
        <v>54</v>
      </c>
      <c r="S663" s="468">
        <v>69</v>
      </c>
      <c r="T663" s="466">
        <v>250</v>
      </c>
      <c r="U663" s="468">
        <v>360</v>
      </c>
      <c r="V663" s="468">
        <v>0.6</v>
      </c>
      <c r="W663" s="466">
        <v>410</v>
      </c>
      <c r="X663" s="468">
        <v>510</v>
      </c>
      <c r="Y663" s="466">
        <v>60</v>
      </c>
      <c r="Z663" s="468">
        <v>70</v>
      </c>
      <c r="AA663" s="466" t="s">
        <v>1404</v>
      </c>
      <c r="AB663" s="466">
        <v>0.1</v>
      </c>
      <c r="AC663" s="466">
        <v>4.9000000000000004</v>
      </c>
      <c r="AD663" s="466">
        <v>0.2</v>
      </c>
      <c r="AE663" s="466">
        <v>0.26</v>
      </c>
      <c r="AF663" s="468">
        <v>0.27</v>
      </c>
      <c r="AG663" s="466">
        <v>0.35</v>
      </c>
      <c r="AH663" s="468">
        <v>0.37</v>
      </c>
      <c r="AI663" s="466">
        <v>0.55000000000000004</v>
      </c>
      <c r="AJ663" s="466">
        <v>-15</v>
      </c>
      <c r="AK663" s="466">
        <v>2</v>
      </c>
      <c r="AL663" s="524">
        <v>20</v>
      </c>
      <c r="AM663" s="524">
        <v>20</v>
      </c>
    </row>
    <row r="664" spans="1:40" s="473" customFormat="1" ht="25" customHeight="1" outlineLevel="1" thickBot="1">
      <c r="A664" s="477" t="s">
        <v>1358</v>
      </c>
      <c r="B664" s="473">
        <v>655</v>
      </c>
      <c r="C664" s="473">
        <v>-41</v>
      </c>
      <c r="D664" s="473">
        <v>-43</v>
      </c>
      <c r="E664" s="473">
        <v>25</v>
      </c>
      <c r="F664" s="473">
        <v>15</v>
      </c>
      <c r="G664" s="474">
        <v>30</v>
      </c>
      <c r="H664" s="474">
        <v>19</v>
      </c>
      <c r="I664" s="473">
        <v>6580</v>
      </c>
      <c r="J664" s="473">
        <v>5610</v>
      </c>
      <c r="K664" s="472">
        <f t="shared" si="10"/>
        <v>6080</v>
      </c>
      <c r="L664" s="472">
        <v>666</v>
      </c>
      <c r="M664" s="472">
        <v>666</v>
      </c>
      <c r="N664" s="472">
        <v>666</v>
      </c>
      <c r="O664" s="472">
        <v>666</v>
      </c>
      <c r="P664" s="473">
        <v>8</v>
      </c>
      <c r="Q664" s="474">
        <v>10</v>
      </c>
      <c r="R664" s="473">
        <v>43</v>
      </c>
      <c r="S664" s="474">
        <v>56</v>
      </c>
      <c r="T664" s="473">
        <v>170</v>
      </c>
      <c r="U664" s="474">
        <v>260</v>
      </c>
      <c r="V664" s="474">
        <v>0.5</v>
      </c>
      <c r="W664" s="473">
        <v>275</v>
      </c>
      <c r="X664" s="474">
        <v>340</v>
      </c>
      <c r="Y664" s="473">
        <v>40</v>
      </c>
      <c r="Z664" s="474">
        <v>60</v>
      </c>
      <c r="AA664" s="473" t="s">
        <v>983</v>
      </c>
      <c r="AB664" s="473">
        <v>0.1</v>
      </c>
      <c r="AC664" s="473">
        <v>3.2</v>
      </c>
      <c r="AD664" s="473">
        <v>0.2</v>
      </c>
      <c r="AE664" s="473">
        <v>0.28999999999999998</v>
      </c>
      <c r="AF664" s="474">
        <v>0.3</v>
      </c>
      <c r="AG664" s="473">
        <v>0.38</v>
      </c>
      <c r="AH664" s="474">
        <v>0.4</v>
      </c>
      <c r="AI664" s="473">
        <v>0.56000000000000005</v>
      </c>
      <c r="AJ664" s="473">
        <v>-11</v>
      </c>
      <c r="AK664" s="473">
        <v>3.7</v>
      </c>
      <c r="AL664" s="525">
        <v>19</v>
      </c>
      <c r="AM664" s="525">
        <v>19</v>
      </c>
      <c r="AN664" s="701"/>
    </row>
    <row r="665" spans="1:40" s="480" customFormat="1" ht="25" customHeight="1" thickTop="1" thickBot="1">
      <c r="A665" s="478" t="s">
        <v>1359</v>
      </c>
      <c r="AL665" s="526"/>
      <c r="AM665" s="526"/>
      <c r="AN665" s="702"/>
    </row>
    <row r="666" spans="1:40" s="471" customFormat="1" ht="25" customHeight="1" outlineLevel="1" thickTop="1">
      <c r="A666" s="475" t="s">
        <v>1360</v>
      </c>
      <c r="B666" s="471">
        <v>5</v>
      </c>
      <c r="C666" s="471">
        <v>-42</v>
      </c>
      <c r="D666" s="471">
        <v>-44</v>
      </c>
      <c r="E666" s="471">
        <v>26</v>
      </c>
      <c r="F666" s="471">
        <v>17</v>
      </c>
      <c r="G666" s="472">
        <v>29</v>
      </c>
      <c r="H666" s="472">
        <v>20</v>
      </c>
      <c r="I666" s="471">
        <v>9600</v>
      </c>
      <c r="J666" s="471">
        <v>8540</v>
      </c>
      <c r="K666" s="472">
        <f t="shared" si="10"/>
        <v>9100</v>
      </c>
      <c r="L666" s="472">
        <v>666</v>
      </c>
      <c r="M666" s="472">
        <v>666</v>
      </c>
      <c r="N666" s="472">
        <v>666</v>
      </c>
      <c r="O666" s="472">
        <v>666</v>
      </c>
      <c r="P666" s="471">
        <v>6</v>
      </c>
      <c r="Q666" s="472">
        <v>8</v>
      </c>
      <c r="R666" s="471">
        <v>49</v>
      </c>
      <c r="S666" s="472">
        <v>69</v>
      </c>
      <c r="T666" s="471">
        <v>115</v>
      </c>
      <c r="U666" s="472">
        <v>170</v>
      </c>
      <c r="V666" s="472">
        <v>0.7</v>
      </c>
      <c r="W666" s="471">
        <v>250</v>
      </c>
      <c r="X666" s="472">
        <v>310</v>
      </c>
      <c r="Y666" s="471">
        <v>60</v>
      </c>
      <c r="Z666" s="472">
        <v>80</v>
      </c>
      <c r="AA666" s="471" t="s">
        <v>1405</v>
      </c>
      <c r="AB666" s="471">
        <v>0.1</v>
      </c>
      <c r="AC666" s="471">
        <v>4.3</v>
      </c>
      <c r="AD666" s="471">
        <v>0.2</v>
      </c>
      <c r="AE666" s="471">
        <v>0.31</v>
      </c>
      <c r="AF666" s="472">
        <v>0.33</v>
      </c>
      <c r="AG666" s="471">
        <v>0.4</v>
      </c>
      <c r="AH666" s="472">
        <v>0.42</v>
      </c>
      <c r="AI666" s="471">
        <v>0.57999999999999996</v>
      </c>
      <c r="AJ666" s="471">
        <v>-17</v>
      </c>
      <c r="AK666" s="471">
        <v>2.9</v>
      </c>
      <c r="AL666" s="490">
        <v>20</v>
      </c>
      <c r="AM666" s="490">
        <v>20</v>
      </c>
      <c r="AN666" s="699"/>
    </row>
    <row r="667" spans="1:40" ht="25" customHeight="1" outlineLevel="1">
      <c r="A667" s="476" t="s">
        <v>1417</v>
      </c>
      <c r="B667" s="466">
        <v>160</v>
      </c>
      <c r="C667" s="466">
        <v>-42</v>
      </c>
      <c r="D667" s="466">
        <v>-44</v>
      </c>
      <c r="E667" s="466">
        <v>25</v>
      </c>
      <c r="F667" s="466">
        <v>17</v>
      </c>
      <c r="G667" s="468">
        <v>28</v>
      </c>
      <c r="H667" s="468">
        <v>20</v>
      </c>
      <c r="I667" s="466">
        <v>8300</v>
      </c>
      <c r="J667" s="466">
        <v>7280</v>
      </c>
      <c r="K667" s="472">
        <f t="shared" si="10"/>
        <v>7800</v>
      </c>
      <c r="L667" s="472">
        <v>666</v>
      </c>
      <c r="M667" s="472">
        <v>666</v>
      </c>
      <c r="N667" s="472">
        <v>666</v>
      </c>
      <c r="O667" s="472">
        <v>666</v>
      </c>
      <c r="P667" s="466">
        <v>10</v>
      </c>
      <c r="Q667" s="468">
        <v>13</v>
      </c>
      <c r="R667" s="466">
        <v>60</v>
      </c>
      <c r="S667" s="468">
        <v>81</v>
      </c>
      <c r="T667" s="466">
        <v>175</v>
      </c>
      <c r="U667" s="468">
        <v>230</v>
      </c>
      <c r="V667" s="468">
        <v>0.6</v>
      </c>
      <c r="W667" s="466">
        <v>275</v>
      </c>
      <c r="X667" s="468">
        <v>330</v>
      </c>
      <c r="Y667" s="466">
        <v>80</v>
      </c>
      <c r="Z667" s="468">
        <v>90</v>
      </c>
      <c r="AA667" s="466" t="s">
        <v>1402</v>
      </c>
      <c r="AB667" s="466">
        <v>0.1</v>
      </c>
      <c r="AC667" s="466">
        <v>3.5</v>
      </c>
      <c r="AD667" s="466">
        <v>0.2</v>
      </c>
      <c r="AE667" s="466">
        <v>0.31</v>
      </c>
      <c r="AF667" s="468">
        <v>0.33</v>
      </c>
      <c r="AG667" s="466">
        <v>0.4</v>
      </c>
      <c r="AH667" s="468">
        <v>0.42</v>
      </c>
      <c r="AI667" s="466">
        <v>0.57999999999999996</v>
      </c>
      <c r="AJ667" s="466">
        <v>-17</v>
      </c>
      <c r="AK667" s="466">
        <v>3.5</v>
      </c>
      <c r="AL667" s="524">
        <v>20</v>
      </c>
      <c r="AM667" s="524">
        <v>20</v>
      </c>
    </row>
    <row r="668" spans="1:40" ht="25" customHeight="1" outlineLevel="1">
      <c r="A668" s="476" t="s">
        <v>1361</v>
      </c>
      <c r="B668" s="466">
        <v>195</v>
      </c>
      <c r="C668" s="466">
        <v>-42</v>
      </c>
      <c r="D668" s="466">
        <v>-44</v>
      </c>
      <c r="E668" s="466">
        <v>22</v>
      </c>
      <c r="F668" s="466">
        <v>16</v>
      </c>
      <c r="G668" s="468">
        <v>25</v>
      </c>
      <c r="H668" s="468">
        <v>19</v>
      </c>
      <c r="I668" s="466">
        <v>9300</v>
      </c>
      <c r="J668" s="466">
        <v>8250</v>
      </c>
      <c r="K668" s="472">
        <f t="shared" si="10"/>
        <v>8800</v>
      </c>
      <c r="L668" s="472">
        <v>666</v>
      </c>
      <c r="M668" s="472">
        <v>666</v>
      </c>
      <c r="N668" s="472">
        <v>666</v>
      </c>
      <c r="O668" s="472">
        <v>666</v>
      </c>
      <c r="P668" s="466">
        <v>8</v>
      </c>
      <c r="Q668" s="468">
        <v>11</v>
      </c>
      <c r="R668" s="466">
        <v>60</v>
      </c>
      <c r="S668" s="468">
        <v>82</v>
      </c>
      <c r="T668" s="466">
        <v>160</v>
      </c>
      <c r="U668" s="468">
        <v>210</v>
      </c>
      <c r="V668" s="468">
        <v>0.7</v>
      </c>
      <c r="W668" s="466">
        <v>250</v>
      </c>
      <c r="X668" s="468">
        <v>310</v>
      </c>
      <c r="Y668" s="466">
        <v>80</v>
      </c>
      <c r="Z668" s="468">
        <v>90</v>
      </c>
      <c r="AA668" s="466" t="s">
        <v>924</v>
      </c>
      <c r="AB668" s="466">
        <v>0.1</v>
      </c>
      <c r="AC668" s="466">
        <v>4.7</v>
      </c>
      <c r="AD668" s="466">
        <v>0.2</v>
      </c>
      <c r="AE668" s="466">
        <v>0.41</v>
      </c>
      <c r="AF668" s="468">
        <v>0.43</v>
      </c>
      <c r="AG668" s="466">
        <v>0.53</v>
      </c>
      <c r="AH668" s="468">
        <v>0.56000000000000005</v>
      </c>
      <c r="AI668" s="466">
        <v>0.79</v>
      </c>
      <c r="AJ668" s="466">
        <v>-17</v>
      </c>
      <c r="AK668" s="466">
        <v>4.4000000000000004</v>
      </c>
      <c r="AL668" s="524">
        <v>19</v>
      </c>
      <c r="AM668" s="524">
        <v>19</v>
      </c>
    </row>
    <row r="669" spans="1:40" ht="25" customHeight="1" outlineLevel="1">
      <c r="A669" s="476" t="s">
        <v>1362</v>
      </c>
      <c r="B669" s="466">
        <v>100</v>
      </c>
      <c r="C669" s="466">
        <v>-43</v>
      </c>
      <c r="D669" s="466">
        <v>-45</v>
      </c>
      <c r="E669" s="466">
        <v>28</v>
      </c>
      <c r="F669" s="466">
        <v>18</v>
      </c>
      <c r="G669" s="468">
        <v>31</v>
      </c>
      <c r="H669" s="468">
        <v>21</v>
      </c>
      <c r="I669" s="466">
        <v>8700</v>
      </c>
      <c r="J669" s="466">
        <v>7660</v>
      </c>
      <c r="K669" s="472">
        <f t="shared" si="10"/>
        <v>8200</v>
      </c>
      <c r="L669" s="472">
        <v>666</v>
      </c>
      <c r="M669" s="472">
        <v>666</v>
      </c>
      <c r="N669" s="472">
        <v>666</v>
      </c>
      <c r="O669" s="472">
        <v>666</v>
      </c>
      <c r="P669" s="466">
        <v>9</v>
      </c>
      <c r="Q669" s="468">
        <v>12</v>
      </c>
      <c r="R669" s="466">
        <v>60</v>
      </c>
      <c r="S669" s="468">
        <v>82</v>
      </c>
      <c r="T669" s="466">
        <v>140</v>
      </c>
      <c r="U669" s="468">
        <v>190</v>
      </c>
      <c r="V669" s="468">
        <v>0.6</v>
      </c>
      <c r="W669" s="466">
        <v>280</v>
      </c>
      <c r="X669" s="468">
        <v>340</v>
      </c>
      <c r="Y669" s="466">
        <v>80</v>
      </c>
      <c r="Z669" s="468">
        <v>90</v>
      </c>
      <c r="AA669" s="466" t="s">
        <v>1401</v>
      </c>
      <c r="AB669" s="466">
        <v>0.1</v>
      </c>
      <c r="AC669" s="466">
        <v>4.5999999999999996</v>
      </c>
      <c r="AD669" s="466">
        <v>0.2</v>
      </c>
      <c r="AE669" s="466">
        <v>0.34</v>
      </c>
      <c r="AF669" s="468">
        <v>0.36</v>
      </c>
      <c r="AG669" s="466">
        <v>0.44</v>
      </c>
      <c r="AH669" s="468">
        <v>0.46</v>
      </c>
      <c r="AI669" s="466">
        <v>0.63</v>
      </c>
      <c r="AJ669" s="466">
        <v>-17</v>
      </c>
      <c r="AK669" s="466">
        <v>2.8</v>
      </c>
      <c r="AL669" s="524">
        <v>21</v>
      </c>
      <c r="AM669" s="524">
        <v>21</v>
      </c>
    </row>
    <row r="670" spans="1:40" ht="25" customHeight="1" outlineLevel="1">
      <c r="A670" s="476" t="s">
        <v>1363</v>
      </c>
      <c r="B670" s="466">
        <v>25</v>
      </c>
      <c r="C670" s="466">
        <v>-44</v>
      </c>
      <c r="D670" s="466">
        <v>-46</v>
      </c>
      <c r="E670" s="466">
        <v>26</v>
      </c>
      <c r="F670" s="466">
        <v>17</v>
      </c>
      <c r="G670" s="468">
        <v>29</v>
      </c>
      <c r="H670" s="468">
        <v>20</v>
      </c>
      <c r="I670" s="466">
        <v>9150</v>
      </c>
      <c r="J670" s="466">
        <v>8100</v>
      </c>
      <c r="K670" s="472">
        <f t="shared" si="10"/>
        <v>8650</v>
      </c>
      <c r="L670" s="472">
        <v>666</v>
      </c>
      <c r="M670" s="472">
        <v>666</v>
      </c>
      <c r="N670" s="472">
        <v>666</v>
      </c>
      <c r="O670" s="472">
        <v>666</v>
      </c>
      <c r="P670" s="466">
        <v>6</v>
      </c>
      <c r="Q670" s="468">
        <v>8</v>
      </c>
      <c r="R670" s="466">
        <v>50</v>
      </c>
      <c r="S670" s="468">
        <v>70</v>
      </c>
      <c r="T670" s="466">
        <v>145</v>
      </c>
      <c r="U670" s="468">
        <v>200</v>
      </c>
      <c r="V670" s="468">
        <v>0.7</v>
      </c>
      <c r="W670" s="466">
        <v>315</v>
      </c>
      <c r="X670" s="468">
        <v>390</v>
      </c>
      <c r="Y670" s="466">
        <v>60</v>
      </c>
      <c r="Z670" s="468">
        <v>80</v>
      </c>
      <c r="AA670" s="466" t="s">
        <v>1404</v>
      </c>
      <c r="AB670" s="466">
        <v>0.1</v>
      </c>
      <c r="AC670" s="466">
        <v>5</v>
      </c>
      <c r="AD670" s="466">
        <v>0.2</v>
      </c>
      <c r="AE670" s="466">
        <v>0.31</v>
      </c>
      <c r="AF670" s="468">
        <v>0.33</v>
      </c>
      <c r="AG670" s="466">
        <v>0.4</v>
      </c>
      <c r="AH670" s="468">
        <v>0.42</v>
      </c>
      <c r="AI670" s="466">
        <v>0.61</v>
      </c>
      <c r="AJ670" s="466">
        <v>-17</v>
      </c>
      <c r="AK670" s="466">
        <v>2.2999999999999998</v>
      </c>
      <c r="AL670" s="524">
        <v>20</v>
      </c>
      <c r="AM670" s="524">
        <v>20</v>
      </c>
    </row>
    <row r="671" spans="1:40" ht="25" customHeight="1" outlineLevel="1">
      <c r="A671" s="476" t="s">
        <v>1364</v>
      </c>
      <c r="B671" s="466">
        <v>150</v>
      </c>
      <c r="C671" s="466">
        <v>-40</v>
      </c>
      <c r="D671" s="466">
        <v>-43</v>
      </c>
      <c r="E671" s="466">
        <v>28</v>
      </c>
      <c r="F671" s="466">
        <v>18</v>
      </c>
      <c r="G671" s="468">
        <v>32</v>
      </c>
      <c r="H671" s="468">
        <v>21</v>
      </c>
      <c r="I671" s="466">
        <v>7620</v>
      </c>
      <c r="J671" s="466">
        <v>6620</v>
      </c>
      <c r="K671" s="472">
        <f t="shared" si="10"/>
        <v>7120</v>
      </c>
      <c r="L671" s="472">
        <v>666</v>
      </c>
      <c r="M671" s="472">
        <v>666</v>
      </c>
      <c r="N671" s="472">
        <v>666</v>
      </c>
      <c r="O671" s="472">
        <v>666</v>
      </c>
      <c r="P671" s="466">
        <v>10</v>
      </c>
      <c r="Q671" s="468">
        <v>13</v>
      </c>
      <c r="R671" s="466">
        <v>71</v>
      </c>
      <c r="S671" s="468">
        <v>94</v>
      </c>
      <c r="T671" s="466">
        <v>210</v>
      </c>
      <c r="U671" s="468">
        <v>270</v>
      </c>
      <c r="V671" s="468">
        <v>0.6</v>
      </c>
      <c r="W671" s="466">
        <v>350</v>
      </c>
      <c r="X671" s="468">
        <v>420</v>
      </c>
      <c r="Y671" s="466">
        <v>100</v>
      </c>
      <c r="Z671" s="468">
        <v>110</v>
      </c>
      <c r="AA671" s="466" t="s">
        <v>1406</v>
      </c>
      <c r="AB671" s="466">
        <v>0.1</v>
      </c>
      <c r="AC671" s="466">
        <v>3.6</v>
      </c>
      <c r="AD671" s="466">
        <v>0.2</v>
      </c>
      <c r="AE671" s="466">
        <v>0.27</v>
      </c>
      <c r="AF671" s="468">
        <v>0.28000000000000003</v>
      </c>
      <c r="AG671" s="466">
        <v>0.35</v>
      </c>
      <c r="AH671" s="468">
        <v>0.37</v>
      </c>
      <c r="AI671" s="466">
        <v>0.53</v>
      </c>
      <c r="AJ671" s="466">
        <v>-16</v>
      </c>
      <c r="AK671" s="466">
        <v>3</v>
      </c>
      <c r="AL671" s="524">
        <v>21</v>
      </c>
      <c r="AM671" s="524">
        <v>21</v>
      </c>
    </row>
    <row r="672" spans="1:40" ht="25" customHeight="1" outlineLevel="1">
      <c r="A672" s="476" t="s">
        <v>1365</v>
      </c>
      <c r="B672" s="466">
        <v>160</v>
      </c>
      <c r="C672" s="466">
        <v>-40</v>
      </c>
      <c r="D672" s="466">
        <v>-42</v>
      </c>
      <c r="E672" s="466">
        <v>26</v>
      </c>
      <c r="F672" s="466">
        <v>18</v>
      </c>
      <c r="G672" s="468">
        <v>30</v>
      </c>
      <c r="H672" s="468">
        <v>21</v>
      </c>
      <c r="I672" s="466">
        <v>7750</v>
      </c>
      <c r="J672" s="466">
        <v>6740</v>
      </c>
      <c r="K672" s="472">
        <f t="shared" si="10"/>
        <v>7250</v>
      </c>
      <c r="L672" s="472">
        <v>666</v>
      </c>
      <c r="M672" s="472">
        <v>666</v>
      </c>
      <c r="N672" s="472">
        <v>666</v>
      </c>
      <c r="O672" s="472">
        <v>666</v>
      </c>
      <c r="P672" s="466">
        <v>10</v>
      </c>
      <c r="Q672" s="468">
        <v>13</v>
      </c>
      <c r="R672" s="466">
        <v>60</v>
      </c>
      <c r="S672" s="468">
        <v>80</v>
      </c>
      <c r="T672" s="466">
        <v>175</v>
      </c>
      <c r="U672" s="468">
        <v>230</v>
      </c>
      <c r="V672" s="468">
        <v>0.6</v>
      </c>
      <c r="W672" s="466">
        <v>300</v>
      </c>
      <c r="X672" s="468">
        <v>360</v>
      </c>
      <c r="Y672" s="466">
        <v>140</v>
      </c>
      <c r="Z672" s="468">
        <v>160</v>
      </c>
      <c r="AA672" s="466" t="s">
        <v>1402</v>
      </c>
      <c r="AB672" s="466">
        <v>0.1</v>
      </c>
      <c r="AC672" s="466">
        <v>3.5</v>
      </c>
      <c r="AD672" s="466">
        <v>0.2</v>
      </c>
      <c r="AE672" s="466">
        <v>0.3</v>
      </c>
      <c r="AF672" s="468">
        <v>0.32</v>
      </c>
      <c r="AG672" s="466">
        <v>0.39</v>
      </c>
      <c r="AH672" s="468">
        <v>0.41</v>
      </c>
      <c r="AI672" s="466">
        <v>0.6</v>
      </c>
      <c r="AJ672" s="466">
        <v>-16</v>
      </c>
      <c r="AK672" s="466">
        <v>3.3</v>
      </c>
      <c r="AL672" s="524">
        <v>21</v>
      </c>
      <c r="AM672" s="524">
        <v>21</v>
      </c>
    </row>
    <row r="673" spans="1:40" ht="25" customHeight="1" outlineLevel="1">
      <c r="A673" s="476" t="s">
        <v>1366</v>
      </c>
      <c r="B673" s="466">
        <v>120</v>
      </c>
      <c r="C673" s="466">
        <v>-42</v>
      </c>
      <c r="D673" s="466">
        <v>-44</v>
      </c>
      <c r="E673" s="466">
        <v>28</v>
      </c>
      <c r="F673" s="466">
        <v>19</v>
      </c>
      <c r="G673" s="468">
        <v>31</v>
      </c>
      <c r="H673" s="468">
        <v>22</v>
      </c>
      <c r="I673" s="466">
        <v>7660</v>
      </c>
      <c r="J673" s="466">
        <v>6660</v>
      </c>
      <c r="K673" s="472">
        <f t="shared" si="10"/>
        <v>7160</v>
      </c>
      <c r="L673" s="472">
        <v>666</v>
      </c>
      <c r="M673" s="472">
        <v>666</v>
      </c>
      <c r="N673" s="472">
        <v>666</v>
      </c>
      <c r="O673" s="472">
        <v>666</v>
      </c>
      <c r="P673" s="466">
        <v>12</v>
      </c>
      <c r="Q673" s="468">
        <v>16</v>
      </c>
      <c r="R673" s="466">
        <v>76</v>
      </c>
      <c r="S673" s="468">
        <v>100</v>
      </c>
      <c r="T673" s="466">
        <v>225</v>
      </c>
      <c r="U673" s="468">
        <v>290</v>
      </c>
      <c r="V673" s="468">
        <v>0.6</v>
      </c>
      <c r="W673" s="466">
        <v>360</v>
      </c>
      <c r="X673" s="468">
        <v>430</v>
      </c>
      <c r="Y673" s="466">
        <v>80</v>
      </c>
      <c r="AA673" s="466" t="s">
        <v>1402</v>
      </c>
      <c r="AB673" s="466">
        <v>0.1</v>
      </c>
      <c r="AC673" s="466">
        <v>3.3</v>
      </c>
      <c r="AD673" s="466">
        <v>0.1</v>
      </c>
      <c r="AE673" s="466">
        <v>0.3</v>
      </c>
      <c r="AF673" s="468">
        <v>0.32</v>
      </c>
      <c r="AG673" s="466">
        <v>0.39</v>
      </c>
      <c r="AH673" s="468">
        <v>0.41</v>
      </c>
      <c r="AI673" s="466">
        <v>0.6</v>
      </c>
      <c r="AJ673" s="466">
        <v>-16</v>
      </c>
      <c r="AK673" s="466">
        <v>2.4</v>
      </c>
      <c r="AL673" s="524">
        <v>22</v>
      </c>
      <c r="AM673" s="524">
        <v>22</v>
      </c>
    </row>
    <row r="674" spans="1:40" ht="25" customHeight="1" outlineLevel="1">
      <c r="A674" s="476" t="s">
        <v>1367</v>
      </c>
      <c r="B674" s="466">
        <v>205</v>
      </c>
      <c r="C674" s="466">
        <v>-41</v>
      </c>
      <c r="D674" s="466">
        <v>-43</v>
      </c>
      <c r="E674" s="466">
        <v>28</v>
      </c>
      <c r="F674" s="466">
        <v>19</v>
      </c>
      <c r="G674" s="468">
        <v>32</v>
      </c>
      <c r="H674" s="468">
        <v>22</v>
      </c>
      <c r="I674" s="466">
        <v>7300</v>
      </c>
      <c r="J674" s="466">
        <v>6310</v>
      </c>
      <c r="K674" s="472">
        <f t="shared" si="10"/>
        <v>6800</v>
      </c>
      <c r="L674" s="472">
        <v>666</v>
      </c>
      <c r="M674" s="472">
        <v>666</v>
      </c>
      <c r="N674" s="472">
        <v>666</v>
      </c>
      <c r="O674" s="472">
        <v>666</v>
      </c>
      <c r="P674" s="466">
        <v>10</v>
      </c>
      <c r="Q674" s="468">
        <v>13</v>
      </c>
      <c r="R674" s="466">
        <v>65</v>
      </c>
      <c r="S674" s="468">
        <v>86</v>
      </c>
      <c r="T674" s="466">
        <v>250</v>
      </c>
      <c r="U674" s="468">
        <v>310</v>
      </c>
      <c r="V674" s="468">
        <v>0.6</v>
      </c>
      <c r="W674" s="466">
        <v>350</v>
      </c>
      <c r="X674" s="468">
        <v>410</v>
      </c>
      <c r="Y674" s="466">
        <v>80</v>
      </c>
      <c r="Z674" s="468">
        <v>90</v>
      </c>
      <c r="AA674" s="466" t="s">
        <v>1402</v>
      </c>
      <c r="AB674" s="466">
        <v>0.2</v>
      </c>
      <c r="AC674" s="466">
        <v>3.5</v>
      </c>
      <c r="AD674" s="466">
        <v>0.3</v>
      </c>
      <c r="AE674" s="466">
        <v>0.3</v>
      </c>
      <c r="AF674" s="468">
        <v>0.32</v>
      </c>
      <c r="AG674" s="466">
        <v>0.39</v>
      </c>
      <c r="AH674" s="468">
        <v>0.41</v>
      </c>
      <c r="AI674" s="466">
        <v>0.6</v>
      </c>
      <c r="AJ674" s="466">
        <v>-15</v>
      </c>
      <c r="AK674" s="466">
        <v>2.7</v>
      </c>
      <c r="AL674" s="524">
        <v>22</v>
      </c>
      <c r="AM674" s="524">
        <v>22</v>
      </c>
    </row>
    <row r="675" spans="1:40" ht="25" customHeight="1" outlineLevel="1">
      <c r="A675" s="476" t="s">
        <v>1368</v>
      </c>
      <c r="B675" s="466">
        <v>45</v>
      </c>
      <c r="C675" s="466">
        <v>-38</v>
      </c>
      <c r="D675" s="466">
        <v>-41</v>
      </c>
      <c r="E675" s="466">
        <v>27</v>
      </c>
      <c r="F675" s="466">
        <v>18</v>
      </c>
      <c r="G675" s="468">
        <v>31</v>
      </c>
      <c r="H675" s="468">
        <v>21</v>
      </c>
      <c r="I675" s="466">
        <v>7550</v>
      </c>
      <c r="J675" s="466">
        <v>6550</v>
      </c>
      <c r="K675" s="472">
        <f t="shared" si="10"/>
        <v>7050</v>
      </c>
      <c r="L675" s="472">
        <v>666</v>
      </c>
      <c r="M675" s="472">
        <v>666</v>
      </c>
      <c r="N675" s="472">
        <v>666</v>
      </c>
      <c r="O675" s="472">
        <v>666</v>
      </c>
      <c r="P675" s="466">
        <v>10</v>
      </c>
      <c r="Q675" s="468">
        <v>13</v>
      </c>
      <c r="R675" s="466">
        <v>60</v>
      </c>
      <c r="S675" s="468">
        <v>79</v>
      </c>
      <c r="T675" s="466">
        <v>200</v>
      </c>
      <c r="U675" s="468">
        <v>260</v>
      </c>
      <c r="V675" s="468">
        <v>0.6</v>
      </c>
      <c r="W675" s="466">
        <v>325</v>
      </c>
      <c r="X675" s="468">
        <v>390</v>
      </c>
      <c r="Y675" s="466">
        <v>140</v>
      </c>
      <c r="Z675" s="468">
        <v>160</v>
      </c>
      <c r="AA675" s="466" t="s">
        <v>1406</v>
      </c>
      <c r="AB675" s="466">
        <v>0.1</v>
      </c>
      <c r="AC675" s="466">
        <v>3.7</v>
      </c>
      <c r="AD675" s="466">
        <v>0.2</v>
      </c>
      <c r="AE675" s="466">
        <v>0.27</v>
      </c>
      <c r="AF675" s="468">
        <v>0.28000000000000003</v>
      </c>
      <c r="AG675" s="466">
        <v>0.35</v>
      </c>
      <c r="AH675" s="468">
        <v>0.37</v>
      </c>
      <c r="AI675" s="466">
        <v>0.5</v>
      </c>
      <c r="AJ675" s="466">
        <v>-16</v>
      </c>
      <c r="AK675" s="466">
        <v>3.3</v>
      </c>
      <c r="AL675" s="524">
        <v>21</v>
      </c>
      <c r="AM675" s="524">
        <v>21</v>
      </c>
    </row>
    <row r="676" spans="1:40" ht="25" customHeight="1" outlineLevel="1">
      <c r="A676" s="476" t="s">
        <v>1369</v>
      </c>
      <c r="B676" s="466">
        <v>45</v>
      </c>
      <c r="C676" s="466">
        <v>-43</v>
      </c>
      <c r="D676" s="466">
        <v>-45</v>
      </c>
      <c r="E676" s="466">
        <v>26</v>
      </c>
      <c r="F676" s="466">
        <v>17</v>
      </c>
      <c r="G676" s="468">
        <v>30</v>
      </c>
      <c r="H676" s="468">
        <v>20</v>
      </c>
      <c r="I676" s="466">
        <v>9600</v>
      </c>
      <c r="J676" s="466">
        <v>8540</v>
      </c>
      <c r="K676" s="472">
        <f t="shared" si="10"/>
        <v>9100</v>
      </c>
      <c r="L676" s="472">
        <v>666</v>
      </c>
      <c r="M676" s="472">
        <v>666</v>
      </c>
      <c r="N676" s="472">
        <v>666</v>
      </c>
      <c r="O676" s="472">
        <v>666</v>
      </c>
      <c r="P676" s="466">
        <v>6</v>
      </c>
      <c r="Q676" s="468">
        <v>9</v>
      </c>
      <c r="R676" s="466">
        <v>49</v>
      </c>
      <c r="S676" s="468">
        <v>69</v>
      </c>
      <c r="T676" s="466">
        <v>115</v>
      </c>
      <c r="U676" s="468">
        <v>160</v>
      </c>
      <c r="V676" s="468">
        <v>0.7</v>
      </c>
      <c r="W676" s="466">
        <v>425</v>
      </c>
      <c r="X676" s="468">
        <v>530</v>
      </c>
      <c r="Y676" s="466">
        <v>60</v>
      </c>
      <c r="Z676" s="468">
        <v>80</v>
      </c>
      <c r="AA676" s="466" t="s">
        <v>1407</v>
      </c>
      <c r="AB676" s="466">
        <v>0.1</v>
      </c>
      <c r="AC676" s="466">
        <v>4.9000000000000004</v>
      </c>
      <c r="AD676" s="466">
        <v>0.2</v>
      </c>
      <c r="AE676" s="466">
        <v>0.31</v>
      </c>
      <c r="AF676" s="468">
        <v>0.33</v>
      </c>
      <c r="AG676" s="466">
        <v>0.4</v>
      </c>
      <c r="AH676" s="468">
        <v>0.42</v>
      </c>
      <c r="AI676" s="466">
        <v>0.57999999999999996</v>
      </c>
      <c r="AJ676" s="466">
        <v>-16</v>
      </c>
      <c r="AK676" s="466">
        <v>2.6</v>
      </c>
      <c r="AL676" s="524">
        <v>20</v>
      </c>
      <c r="AM676" s="524">
        <v>20</v>
      </c>
    </row>
    <row r="677" spans="1:40" ht="25" customHeight="1" outlineLevel="1">
      <c r="A677" s="476" t="s">
        <v>1370</v>
      </c>
      <c r="B677" s="466">
        <v>5</v>
      </c>
      <c r="C677" s="466">
        <v>-44</v>
      </c>
      <c r="D677" s="466">
        <v>-46</v>
      </c>
      <c r="E677" s="466">
        <v>11</v>
      </c>
      <c r="F677" s="466">
        <v>8</v>
      </c>
      <c r="G677" s="468">
        <v>15</v>
      </c>
      <c r="H677" s="468">
        <v>12</v>
      </c>
      <c r="I677" s="466">
        <v>12900</v>
      </c>
      <c r="J677" s="466">
        <v>11730</v>
      </c>
      <c r="K677" s="472">
        <f t="shared" si="10"/>
        <v>12400</v>
      </c>
      <c r="L677" s="472">
        <v>666</v>
      </c>
      <c r="M677" s="472">
        <v>666</v>
      </c>
      <c r="N677" s="472">
        <v>666</v>
      </c>
      <c r="O677" s="472">
        <v>666</v>
      </c>
      <c r="P677" s="466">
        <v>3</v>
      </c>
      <c r="Q677" s="468">
        <v>5</v>
      </c>
      <c r="R677" s="466">
        <v>33</v>
      </c>
      <c r="S677" s="468">
        <v>52</v>
      </c>
      <c r="T677" s="466">
        <v>25</v>
      </c>
      <c r="U677" s="468">
        <v>40</v>
      </c>
      <c r="V677" s="468">
        <v>0.9</v>
      </c>
      <c r="W677" s="466">
        <v>100</v>
      </c>
      <c r="X677" s="468">
        <v>140</v>
      </c>
      <c r="Y677" s="466">
        <v>140</v>
      </c>
      <c r="Z677" s="468">
        <v>210</v>
      </c>
      <c r="AA677" s="466" t="s">
        <v>938</v>
      </c>
      <c r="AB677" s="466">
        <v>0.1</v>
      </c>
      <c r="AC677" s="466">
        <v>2.2999999999999998</v>
      </c>
      <c r="AD677" s="466">
        <v>0.2</v>
      </c>
      <c r="AE677" s="466">
        <v>0.45</v>
      </c>
      <c r="AF677" s="468">
        <v>0.47</v>
      </c>
      <c r="AG677" s="466">
        <v>0.57999999999999996</v>
      </c>
      <c r="AH677" s="468">
        <v>0.61</v>
      </c>
      <c r="AI677" s="466">
        <v>0.87</v>
      </c>
      <c r="AJ677" s="466">
        <v>-20</v>
      </c>
      <c r="AK677" s="466">
        <v>4.3</v>
      </c>
      <c r="AL677" s="524">
        <v>12</v>
      </c>
      <c r="AM677" s="524">
        <v>12</v>
      </c>
    </row>
    <row r="678" spans="1:40" ht="25" customHeight="1" outlineLevel="1">
      <c r="A678" s="476" t="s">
        <v>1371</v>
      </c>
      <c r="B678" s="466">
        <v>65</v>
      </c>
      <c r="C678" s="466">
        <v>-43</v>
      </c>
      <c r="D678" s="466">
        <v>-45</v>
      </c>
      <c r="E678" s="466">
        <v>28</v>
      </c>
      <c r="F678" s="466">
        <v>18</v>
      </c>
      <c r="G678" s="468">
        <v>31</v>
      </c>
      <c r="H678" s="468">
        <v>21</v>
      </c>
      <c r="I678" s="466">
        <v>8510</v>
      </c>
      <c r="J678" s="466">
        <v>7480</v>
      </c>
      <c r="K678" s="472">
        <f t="shared" si="10"/>
        <v>8010</v>
      </c>
      <c r="L678" s="472">
        <v>666</v>
      </c>
      <c r="M678" s="472">
        <v>666</v>
      </c>
      <c r="N678" s="472">
        <v>666</v>
      </c>
      <c r="O678" s="472">
        <v>666</v>
      </c>
      <c r="P678" s="466">
        <v>9</v>
      </c>
      <c r="Q678" s="468">
        <v>12</v>
      </c>
      <c r="R678" s="466">
        <v>60</v>
      </c>
      <c r="S678" s="468">
        <v>81</v>
      </c>
      <c r="T678" s="466">
        <v>165</v>
      </c>
      <c r="U678" s="468">
        <v>220</v>
      </c>
      <c r="V678" s="468">
        <v>0.6</v>
      </c>
      <c r="W678" s="466">
        <v>320</v>
      </c>
      <c r="X678" s="468">
        <v>390</v>
      </c>
      <c r="Y678" s="466">
        <v>80</v>
      </c>
      <c r="AA678" s="466" t="s">
        <v>924</v>
      </c>
      <c r="AB678" s="466">
        <v>0.1</v>
      </c>
      <c r="AC678" s="466">
        <v>4.9000000000000004</v>
      </c>
      <c r="AD678" s="466">
        <v>0.2</v>
      </c>
      <c r="AE678" s="466">
        <v>0.34</v>
      </c>
      <c r="AF678" s="468">
        <v>0.36</v>
      </c>
      <c r="AG678" s="466">
        <v>0.44</v>
      </c>
      <c r="AH678" s="468">
        <v>0.46</v>
      </c>
      <c r="AI678" s="466">
        <v>0.63</v>
      </c>
      <c r="AJ678" s="466">
        <v>-17</v>
      </c>
      <c r="AK678" s="466">
        <v>3.1</v>
      </c>
      <c r="AL678" s="524">
        <v>21</v>
      </c>
      <c r="AM678" s="524">
        <v>21</v>
      </c>
    </row>
    <row r="679" spans="1:40" ht="25" customHeight="1" outlineLevel="1">
      <c r="A679" s="476" t="s">
        <v>1372</v>
      </c>
      <c r="B679" s="466">
        <v>1340</v>
      </c>
      <c r="C679" s="466">
        <v>-49</v>
      </c>
      <c r="D679" s="466">
        <v>-51</v>
      </c>
      <c r="E679" s="466">
        <v>26</v>
      </c>
      <c r="F679" s="466">
        <v>16</v>
      </c>
      <c r="G679" s="468">
        <v>30</v>
      </c>
      <c r="H679" s="468">
        <v>20</v>
      </c>
      <c r="I679" s="466">
        <v>7700</v>
      </c>
      <c r="J679" s="466">
        <v>6700</v>
      </c>
      <c r="K679" s="472">
        <f t="shared" si="10"/>
        <v>7200</v>
      </c>
      <c r="L679" s="472">
        <v>666</v>
      </c>
      <c r="M679" s="472">
        <v>666</v>
      </c>
      <c r="N679" s="472">
        <v>666</v>
      </c>
      <c r="O679" s="472">
        <v>666</v>
      </c>
      <c r="P679" s="466">
        <v>10</v>
      </c>
      <c r="Q679" s="468">
        <v>13</v>
      </c>
      <c r="R679" s="466">
        <v>44</v>
      </c>
      <c r="S679" s="468">
        <v>57</v>
      </c>
      <c r="T679" s="466">
        <v>315</v>
      </c>
      <c r="U679" s="468">
        <v>430</v>
      </c>
      <c r="V679" s="468">
        <v>0.8</v>
      </c>
      <c r="W679" s="466">
        <v>640</v>
      </c>
      <c r="X679" s="468">
        <v>750</v>
      </c>
      <c r="Y679" s="466">
        <v>40</v>
      </c>
      <c r="Z679" s="468">
        <v>50</v>
      </c>
      <c r="AA679" s="466" t="s">
        <v>1408</v>
      </c>
      <c r="AB679" s="466">
        <v>0.1</v>
      </c>
      <c r="AC679" s="466">
        <v>6.7</v>
      </c>
      <c r="AD679" s="466">
        <v>0.2</v>
      </c>
      <c r="AE679" s="466">
        <v>0.34</v>
      </c>
      <c r="AF679" s="468">
        <v>0.36</v>
      </c>
      <c r="AG679" s="466">
        <v>0.44</v>
      </c>
      <c r="AH679" s="468">
        <v>0.46</v>
      </c>
      <c r="AI679" s="466">
        <v>0.66</v>
      </c>
      <c r="AJ679" s="466">
        <v>-16</v>
      </c>
      <c r="AK679" s="466">
        <v>3</v>
      </c>
      <c r="AL679" s="524">
        <v>20</v>
      </c>
      <c r="AM679" s="524">
        <v>20</v>
      </c>
    </row>
    <row r="680" spans="1:40" ht="25" customHeight="1" outlineLevel="1">
      <c r="A680" s="476" t="s">
        <v>1373</v>
      </c>
      <c r="B680" s="466">
        <v>10</v>
      </c>
      <c r="C680" s="466">
        <v>-39</v>
      </c>
      <c r="D680" s="466">
        <v>-41</v>
      </c>
      <c r="E680" s="466">
        <v>18</v>
      </c>
      <c r="F680" s="466">
        <v>12</v>
      </c>
      <c r="G680" s="468">
        <v>23</v>
      </c>
      <c r="H680" s="468">
        <v>16</v>
      </c>
      <c r="I680" s="466">
        <v>10700</v>
      </c>
      <c r="J680" s="466">
        <v>9600</v>
      </c>
      <c r="K680" s="472">
        <f t="shared" si="10"/>
        <v>10200</v>
      </c>
      <c r="L680" s="472">
        <v>666</v>
      </c>
      <c r="M680" s="472">
        <v>666</v>
      </c>
      <c r="N680" s="472">
        <v>666</v>
      </c>
      <c r="O680" s="472">
        <v>666</v>
      </c>
      <c r="P680" s="466">
        <v>3</v>
      </c>
      <c r="Q680" s="468">
        <v>4</v>
      </c>
      <c r="R680" s="466">
        <v>44</v>
      </c>
      <c r="S680" s="468">
        <v>65</v>
      </c>
      <c r="T680" s="466">
        <v>80</v>
      </c>
      <c r="U680" s="468">
        <v>120</v>
      </c>
      <c r="V680" s="468">
        <v>0.9</v>
      </c>
      <c r="W680" s="466">
        <v>250</v>
      </c>
      <c r="X680" s="468">
        <v>310</v>
      </c>
      <c r="Y680" s="466">
        <v>120</v>
      </c>
      <c r="Z680" s="468">
        <v>140</v>
      </c>
      <c r="AA680" s="466" t="s">
        <v>1032</v>
      </c>
      <c r="AB680" s="466">
        <v>0.1</v>
      </c>
      <c r="AC680" s="466">
        <v>3.3</v>
      </c>
      <c r="AD680" s="466">
        <v>0.2</v>
      </c>
      <c r="AE680" s="466">
        <v>0.67</v>
      </c>
      <c r="AF680" s="468">
        <v>0.7</v>
      </c>
      <c r="AG680" s="466">
        <v>0.86</v>
      </c>
      <c r="AH680" s="468">
        <v>0.9</v>
      </c>
      <c r="AI680" s="466">
        <v>1.23</v>
      </c>
      <c r="AJ680" s="466">
        <v>-18</v>
      </c>
      <c r="AK680" s="466">
        <v>4.9000000000000004</v>
      </c>
      <c r="AL680" s="524">
        <v>16</v>
      </c>
      <c r="AM680" s="524">
        <v>16</v>
      </c>
    </row>
    <row r="681" spans="1:40" ht="25" customHeight="1" outlineLevel="1">
      <c r="A681" s="476" t="s">
        <v>1374</v>
      </c>
      <c r="B681" s="466">
        <v>80</v>
      </c>
      <c r="C681" s="466">
        <v>-42</v>
      </c>
      <c r="D681" s="466">
        <v>-44</v>
      </c>
      <c r="E681" s="466">
        <v>28</v>
      </c>
      <c r="F681" s="466">
        <v>18</v>
      </c>
      <c r="G681" s="468">
        <v>31</v>
      </c>
      <c r="H681" s="468">
        <v>21</v>
      </c>
      <c r="I681" s="466">
        <v>8050</v>
      </c>
      <c r="J681" s="466">
        <v>7040</v>
      </c>
      <c r="K681" s="472">
        <f t="shared" si="10"/>
        <v>7550</v>
      </c>
      <c r="L681" s="472">
        <v>666</v>
      </c>
      <c r="M681" s="472">
        <v>666</v>
      </c>
      <c r="N681" s="472">
        <v>666</v>
      </c>
      <c r="O681" s="472">
        <v>666</v>
      </c>
      <c r="P681" s="466">
        <v>10</v>
      </c>
      <c r="Q681" s="468">
        <v>13</v>
      </c>
      <c r="R681" s="466">
        <v>54</v>
      </c>
      <c r="S681" s="468">
        <v>71</v>
      </c>
      <c r="T681" s="466">
        <v>220</v>
      </c>
      <c r="U681" s="468">
        <v>290</v>
      </c>
      <c r="V681" s="468">
        <v>0.6</v>
      </c>
      <c r="W681" s="466">
        <v>350</v>
      </c>
      <c r="X681" s="468">
        <v>420</v>
      </c>
      <c r="Y681" s="466">
        <v>80</v>
      </c>
      <c r="AA681" s="466" t="s">
        <v>1405</v>
      </c>
      <c r="AB681" s="466">
        <v>0.1</v>
      </c>
      <c r="AC681" s="466">
        <v>4.3</v>
      </c>
      <c r="AD681" s="466">
        <v>0.2</v>
      </c>
      <c r="AE681" s="466">
        <v>0.3</v>
      </c>
      <c r="AF681" s="468">
        <v>0.32</v>
      </c>
      <c r="AG681" s="466">
        <v>0.39</v>
      </c>
      <c r="AH681" s="468">
        <v>0.41</v>
      </c>
      <c r="AI681" s="466">
        <v>0.6</v>
      </c>
      <c r="AJ681" s="466">
        <v>-16</v>
      </c>
      <c r="AK681" s="466">
        <v>3</v>
      </c>
      <c r="AL681" s="524">
        <v>21</v>
      </c>
      <c r="AM681" s="524">
        <v>21</v>
      </c>
    </row>
    <row r="682" spans="1:40" s="473" customFormat="1" ht="25" customHeight="1" outlineLevel="1" thickBot="1">
      <c r="A682" s="477" t="s">
        <v>1375</v>
      </c>
      <c r="B682" s="473">
        <v>160</v>
      </c>
      <c r="C682" s="473">
        <v>-41</v>
      </c>
      <c r="D682" s="473">
        <v>-44</v>
      </c>
      <c r="E682" s="473">
        <v>25</v>
      </c>
      <c r="F682" s="473">
        <v>17</v>
      </c>
      <c r="G682" s="474">
        <v>29</v>
      </c>
      <c r="H682" s="474">
        <v>20</v>
      </c>
      <c r="I682" s="473">
        <v>8170</v>
      </c>
      <c r="J682" s="473">
        <v>7150</v>
      </c>
      <c r="K682" s="472">
        <f t="shared" si="10"/>
        <v>7670</v>
      </c>
      <c r="L682" s="472">
        <v>666</v>
      </c>
      <c r="M682" s="472">
        <v>666</v>
      </c>
      <c r="N682" s="472">
        <v>666</v>
      </c>
      <c r="O682" s="472">
        <v>666</v>
      </c>
      <c r="P682" s="473">
        <v>10</v>
      </c>
      <c r="Q682" s="474">
        <v>13</v>
      </c>
      <c r="R682" s="473">
        <v>60</v>
      </c>
      <c r="S682" s="474">
        <v>81</v>
      </c>
      <c r="T682" s="473">
        <v>175</v>
      </c>
      <c r="U682" s="474">
        <v>230</v>
      </c>
      <c r="V682" s="474">
        <v>0.6</v>
      </c>
      <c r="W682" s="473">
        <v>275</v>
      </c>
      <c r="X682" s="474">
        <v>330</v>
      </c>
      <c r="Y682" s="473">
        <v>100</v>
      </c>
      <c r="Z682" s="474">
        <v>110</v>
      </c>
      <c r="AA682" s="473" t="s">
        <v>1403</v>
      </c>
      <c r="AB682" s="473">
        <v>0.1</v>
      </c>
      <c r="AC682" s="473">
        <v>3.4</v>
      </c>
      <c r="AD682" s="473">
        <v>0.2</v>
      </c>
      <c r="AE682" s="473">
        <v>0.31</v>
      </c>
      <c r="AF682" s="474">
        <v>0.33</v>
      </c>
      <c r="AG682" s="473">
        <v>0.4</v>
      </c>
      <c r="AH682" s="474">
        <v>0.42</v>
      </c>
      <c r="AI682" s="473">
        <v>0.57999999999999996</v>
      </c>
      <c r="AJ682" s="473">
        <v>-17</v>
      </c>
      <c r="AK682" s="473">
        <v>3.8</v>
      </c>
      <c r="AL682" s="525">
        <v>20</v>
      </c>
      <c r="AM682" s="525">
        <v>20</v>
      </c>
      <c r="AN682" s="701"/>
    </row>
    <row r="683" spans="1:40" s="480" customFormat="1" ht="25" customHeight="1" thickTop="1" thickBot="1">
      <c r="A683" s="478" t="s">
        <v>1376</v>
      </c>
      <c r="AL683" s="526"/>
      <c r="AM683" s="526"/>
      <c r="AN683" s="702"/>
    </row>
    <row r="684" spans="1:40" s="471" customFormat="1" ht="25" customHeight="1" outlineLevel="1" thickTop="1">
      <c r="A684" s="475" t="s">
        <v>1377</v>
      </c>
      <c r="B684" s="471">
        <v>5</v>
      </c>
      <c r="C684" s="471">
        <v>-43</v>
      </c>
      <c r="D684" s="471">
        <v>-44</v>
      </c>
      <c r="E684" s="471">
        <v>13</v>
      </c>
      <c r="F684" s="471">
        <v>8</v>
      </c>
      <c r="G684" s="472">
        <v>18</v>
      </c>
      <c r="H684" s="472">
        <v>12</v>
      </c>
      <c r="I684" s="471">
        <v>13030</v>
      </c>
      <c r="J684" s="471">
        <v>11860</v>
      </c>
      <c r="K684" s="472">
        <f t="shared" si="10"/>
        <v>12530</v>
      </c>
      <c r="L684" s="472">
        <v>666</v>
      </c>
      <c r="M684" s="472">
        <v>666</v>
      </c>
      <c r="N684" s="472">
        <v>666</v>
      </c>
      <c r="O684" s="472">
        <v>666</v>
      </c>
      <c r="P684" s="471">
        <v>4</v>
      </c>
      <c r="Q684" s="472"/>
      <c r="R684" s="471">
        <v>22</v>
      </c>
      <c r="S684" s="472">
        <v>32</v>
      </c>
      <c r="T684" s="471">
        <v>30</v>
      </c>
      <c r="U684" s="472"/>
      <c r="V684" s="472">
        <v>1</v>
      </c>
      <c r="W684" s="471">
        <v>0</v>
      </c>
      <c r="X684" s="472"/>
      <c r="Y684" s="471">
        <v>40</v>
      </c>
      <c r="Z684" s="472"/>
      <c r="AA684" s="471" t="s">
        <v>1409</v>
      </c>
      <c r="AB684" s="471">
        <v>0.1</v>
      </c>
      <c r="AC684" s="471">
        <v>4</v>
      </c>
      <c r="AD684" s="471">
        <v>0.2</v>
      </c>
      <c r="AE684" s="471">
        <v>0.59</v>
      </c>
      <c r="AF684" s="472">
        <v>0.62</v>
      </c>
      <c r="AG684" s="471">
        <v>79</v>
      </c>
      <c r="AH684" s="472"/>
      <c r="AI684" s="471">
        <v>1.06</v>
      </c>
      <c r="AJ684" s="471">
        <v>-22</v>
      </c>
      <c r="AK684" s="471">
        <v>4.3</v>
      </c>
      <c r="AL684" s="490">
        <v>12</v>
      </c>
      <c r="AM684" s="490">
        <v>12</v>
      </c>
      <c r="AN684" s="699"/>
    </row>
    <row r="685" spans="1:40" ht="25" customHeight="1" outlineLevel="1">
      <c r="A685" s="476" t="s">
        <v>1378</v>
      </c>
      <c r="B685" s="466">
        <v>15</v>
      </c>
      <c r="C685" s="466">
        <v>-42</v>
      </c>
      <c r="D685" s="466">
        <v>-44</v>
      </c>
      <c r="E685" s="466">
        <v>14</v>
      </c>
      <c r="F685" s="466">
        <v>10</v>
      </c>
      <c r="G685" s="468">
        <v>19</v>
      </c>
      <c r="H685" s="468">
        <v>14</v>
      </c>
      <c r="I685" s="466">
        <v>11900</v>
      </c>
      <c r="J685" s="466">
        <v>10760</v>
      </c>
      <c r="K685" s="472">
        <f t="shared" si="10"/>
        <v>11400</v>
      </c>
      <c r="L685" s="472">
        <v>666</v>
      </c>
      <c r="M685" s="472">
        <v>666</v>
      </c>
      <c r="N685" s="472">
        <v>666</v>
      </c>
      <c r="O685" s="472">
        <v>666</v>
      </c>
      <c r="P685" s="466">
        <v>4</v>
      </c>
      <c r="R685" s="466">
        <v>38</v>
      </c>
      <c r="S685" s="468">
        <v>56</v>
      </c>
      <c r="T685" s="466">
        <v>0</v>
      </c>
      <c r="V685" s="468">
        <v>0.9</v>
      </c>
      <c r="W685" s="466">
        <v>0</v>
      </c>
      <c r="Y685" s="466">
        <v>0</v>
      </c>
      <c r="AA685" s="466" t="s">
        <v>1406</v>
      </c>
      <c r="AB685" s="466">
        <v>0.1</v>
      </c>
      <c r="AC685" s="466">
        <v>3.9</v>
      </c>
      <c r="AD685" s="466">
        <v>0.2</v>
      </c>
      <c r="AE685" s="466">
        <v>0.43</v>
      </c>
      <c r="AF685" s="468">
        <v>0.45</v>
      </c>
      <c r="AG685" s="466">
        <v>58</v>
      </c>
      <c r="AI685" s="466">
        <v>0.78</v>
      </c>
      <c r="AJ685" s="466">
        <v>-20</v>
      </c>
      <c r="AK685" s="466">
        <v>4</v>
      </c>
      <c r="AL685" s="524">
        <v>14</v>
      </c>
      <c r="AM685" s="524">
        <v>14</v>
      </c>
    </row>
    <row r="686" spans="1:40" ht="25" customHeight="1" outlineLevel="1">
      <c r="A686" s="476" t="s">
        <v>1379</v>
      </c>
      <c r="B686" s="466">
        <v>5</v>
      </c>
      <c r="C686" s="466">
        <v>-40</v>
      </c>
      <c r="D686" s="466">
        <v>-41</v>
      </c>
      <c r="E686" s="466">
        <v>22</v>
      </c>
      <c r="F686" s="466">
        <v>16</v>
      </c>
      <c r="G686" s="468">
        <v>27</v>
      </c>
      <c r="H686" s="468">
        <v>20</v>
      </c>
      <c r="I686" s="466">
        <v>9850</v>
      </c>
      <c r="J686" s="466">
        <v>8780</v>
      </c>
      <c r="K686" s="472">
        <f t="shared" si="10"/>
        <v>9350</v>
      </c>
      <c r="L686" s="472">
        <v>666</v>
      </c>
      <c r="M686" s="472">
        <v>666</v>
      </c>
      <c r="N686" s="472">
        <v>666</v>
      </c>
      <c r="O686" s="472">
        <v>666</v>
      </c>
      <c r="P686" s="466">
        <v>12</v>
      </c>
      <c r="R686" s="466">
        <v>65</v>
      </c>
      <c r="S686" s="468">
        <v>94</v>
      </c>
      <c r="T686" s="466">
        <v>90</v>
      </c>
      <c r="V686" s="468">
        <v>0.9</v>
      </c>
      <c r="W686" s="466">
        <v>50</v>
      </c>
      <c r="Y686" s="466">
        <v>60</v>
      </c>
      <c r="AA686" s="466" t="s">
        <v>924</v>
      </c>
      <c r="AB686" s="466">
        <v>0.2</v>
      </c>
      <c r="AC686" s="466">
        <v>4.9000000000000004</v>
      </c>
      <c r="AD686" s="466">
        <v>0.3</v>
      </c>
      <c r="AE686" s="466">
        <v>0.45</v>
      </c>
      <c r="AF686" s="468">
        <v>0.47</v>
      </c>
      <c r="AG686" s="466">
        <v>61</v>
      </c>
      <c r="AI686" s="466">
        <v>0.83</v>
      </c>
      <c r="AJ686" s="466">
        <v>-19</v>
      </c>
      <c r="AK686" s="466">
        <v>6.6</v>
      </c>
      <c r="AL686" s="524">
        <v>20</v>
      </c>
      <c r="AM686" s="524">
        <v>20</v>
      </c>
    </row>
    <row r="687" spans="1:40" ht="25" customHeight="1" outlineLevel="1">
      <c r="A687" s="476" t="s">
        <v>1380</v>
      </c>
      <c r="B687" s="466">
        <v>5</v>
      </c>
      <c r="C687" s="466">
        <v>-42</v>
      </c>
      <c r="D687" s="466">
        <v>-44</v>
      </c>
      <c r="E687" s="466">
        <v>23</v>
      </c>
      <c r="F687" s="466">
        <v>15</v>
      </c>
      <c r="G687" s="468">
        <v>28</v>
      </c>
      <c r="H687" s="468">
        <v>19</v>
      </c>
      <c r="I687" s="466">
        <v>10700</v>
      </c>
      <c r="J687" s="466">
        <v>9600</v>
      </c>
      <c r="K687" s="472">
        <f t="shared" si="10"/>
        <v>10200</v>
      </c>
      <c r="L687" s="472">
        <v>666</v>
      </c>
      <c r="M687" s="472">
        <v>666</v>
      </c>
      <c r="N687" s="472">
        <v>666</v>
      </c>
      <c r="O687" s="472">
        <v>666</v>
      </c>
      <c r="P687" s="466">
        <v>7</v>
      </c>
      <c r="R687" s="466">
        <v>55</v>
      </c>
      <c r="S687" s="468">
        <v>80</v>
      </c>
      <c r="T687" s="466">
        <v>10</v>
      </c>
      <c r="V687" s="468">
        <v>0.8</v>
      </c>
      <c r="W687" s="466">
        <v>10</v>
      </c>
      <c r="Y687" s="466">
        <v>0</v>
      </c>
      <c r="AA687" s="466" t="s">
        <v>985</v>
      </c>
      <c r="AB687" s="466">
        <v>0.2</v>
      </c>
      <c r="AC687" s="466">
        <v>5.5</v>
      </c>
      <c r="AD687" s="466">
        <v>0.3</v>
      </c>
      <c r="AE687" s="466">
        <v>0.42</v>
      </c>
      <c r="AF687" s="468">
        <v>0.44</v>
      </c>
      <c r="AG687" s="466">
        <v>57</v>
      </c>
      <c r="AI687" s="466">
        <v>0.77</v>
      </c>
      <c r="AJ687" s="466">
        <v>-20</v>
      </c>
      <c r="AK687" s="466">
        <v>6.5</v>
      </c>
      <c r="AL687" s="524">
        <v>19</v>
      </c>
      <c r="AM687" s="524">
        <v>19</v>
      </c>
    </row>
    <row r="688" spans="1:40" ht="25" customHeight="1" outlineLevel="1">
      <c r="A688" s="476" t="s">
        <v>1381</v>
      </c>
      <c r="B688" s="466">
        <v>5</v>
      </c>
      <c r="C688" s="466">
        <v>-47</v>
      </c>
      <c r="D688" s="466">
        <v>-48</v>
      </c>
      <c r="E688" s="466">
        <v>12</v>
      </c>
      <c r="F688" s="466">
        <v>8</v>
      </c>
      <c r="G688" s="468">
        <v>17</v>
      </c>
      <c r="H688" s="468">
        <v>12</v>
      </c>
      <c r="I688" s="466">
        <v>13500</v>
      </c>
      <c r="J688" s="466">
        <v>12310</v>
      </c>
      <c r="K688" s="472">
        <f t="shared" si="10"/>
        <v>13000</v>
      </c>
      <c r="L688" s="472">
        <v>666</v>
      </c>
      <c r="M688" s="472">
        <v>666</v>
      </c>
      <c r="N688" s="472">
        <v>666</v>
      </c>
      <c r="O688" s="472">
        <v>666</v>
      </c>
      <c r="P688" s="466">
        <v>4</v>
      </c>
      <c r="R688" s="466">
        <v>27</v>
      </c>
      <c r="S688" s="468">
        <v>39</v>
      </c>
      <c r="T688" s="466">
        <v>40</v>
      </c>
      <c r="V688" s="468">
        <v>1</v>
      </c>
      <c r="W688" s="466">
        <v>90</v>
      </c>
      <c r="Y688" s="466">
        <v>40</v>
      </c>
      <c r="AA688" s="466" t="s">
        <v>931</v>
      </c>
      <c r="AB688" s="466">
        <v>0.1</v>
      </c>
      <c r="AC688" s="466">
        <v>2.5</v>
      </c>
      <c r="AD688" s="466">
        <v>0.2</v>
      </c>
      <c r="AE688" s="466">
        <v>0.43</v>
      </c>
      <c r="AF688" s="468">
        <v>0.45</v>
      </c>
      <c r="AG688" s="466">
        <v>58</v>
      </c>
      <c r="AI688" s="466">
        <v>0.78</v>
      </c>
      <c r="AJ688" s="466">
        <v>-21</v>
      </c>
      <c r="AK688" s="466">
        <v>4.3</v>
      </c>
      <c r="AL688" s="524">
        <v>12</v>
      </c>
      <c r="AM688" s="524">
        <v>12</v>
      </c>
    </row>
    <row r="689" spans="1:39" ht="25" customHeight="1" outlineLevel="1">
      <c r="A689" s="476" t="s">
        <v>1382</v>
      </c>
      <c r="B689" s="466">
        <v>10</v>
      </c>
      <c r="C689" s="466">
        <v>-40</v>
      </c>
      <c r="D689" s="466">
        <v>-41</v>
      </c>
      <c r="E689" s="466">
        <v>20</v>
      </c>
      <c r="F689" s="466">
        <v>14</v>
      </c>
      <c r="G689" s="468">
        <v>25</v>
      </c>
      <c r="H689" s="468">
        <v>18</v>
      </c>
      <c r="I689" s="466">
        <v>10500</v>
      </c>
      <c r="J689" s="466">
        <v>9410</v>
      </c>
      <c r="K689" s="472">
        <f t="shared" si="10"/>
        <v>10000</v>
      </c>
      <c r="L689" s="472">
        <v>666</v>
      </c>
      <c r="M689" s="472">
        <v>666</v>
      </c>
      <c r="N689" s="472">
        <v>666</v>
      </c>
      <c r="O689" s="472">
        <v>666</v>
      </c>
      <c r="P689" s="466">
        <v>7</v>
      </c>
      <c r="R689" s="466">
        <v>60</v>
      </c>
      <c r="S689" s="468">
        <v>88</v>
      </c>
      <c r="T689" s="466">
        <v>40</v>
      </c>
      <c r="V689" s="468">
        <v>0.9</v>
      </c>
      <c r="W689" s="466">
        <v>20</v>
      </c>
      <c r="Y689" s="466">
        <v>70</v>
      </c>
      <c r="AA689" s="466" t="s">
        <v>1410</v>
      </c>
      <c r="AB689" s="466">
        <v>0.2</v>
      </c>
      <c r="AC689" s="466">
        <v>6</v>
      </c>
      <c r="AD689" s="466">
        <v>0.3</v>
      </c>
      <c r="AE689" s="466">
        <v>0.44</v>
      </c>
      <c r="AF689" s="468">
        <v>0.46</v>
      </c>
      <c r="AG689" s="466">
        <v>59</v>
      </c>
      <c r="AI689" s="466">
        <v>0.79</v>
      </c>
      <c r="AJ689" s="466">
        <v>-19</v>
      </c>
      <c r="AK689" s="466">
        <v>6.7</v>
      </c>
      <c r="AL689" s="524">
        <v>18</v>
      </c>
      <c r="AM689" s="524">
        <v>18</v>
      </c>
    </row>
    <row r="690" spans="1:39" ht="25" customHeight="1" outlineLevel="1">
      <c r="A690" s="476" t="s">
        <v>1383</v>
      </c>
      <c r="B690" s="466">
        <v>45</v>
      </c>
      <c r="C690" s="466">
        <v>-40</v>
      </c>
      <c r="D690" s="466">
        <v>-41</v>
      </c>
      <c r="E690" s="466">
        <v>17</v>
      </c>
      <c r="F690" s="466">
        <v>12</v>
      </c>
      <c r="G690" s="468">
        <v>21</v>
      </c>
      <c r="H690" s="468">
        <v>16</v>
      </c>
      <c r="I690" s="466">
        <v>9980</v>
      </c>
      <c r="J690" s="466">
        <v>8900</v>
      </c>
      <c r="K690" s="472">
        <f t="shared" si="10"/>
        <v>9480</v>
      </c>
      <c r="L690" s="472">
        <v>666</v>
      </c>
      <c r="M690" s="472">
        <v>666</v>
      </c>
      <c r="N690" s="472">
        <v>666</v>
      </c>
      <c r="O690" s="472">
        <v>666</v>
      </c>
      <c r="P690" s="466">
        <v>7</v>
      </c>
      <c r="R690" s="466">
        <v>58</v>
      </c>
      <c r="S690" s="468">
        <v>83</v>
      </c>
      <c r="T690" s="466">
        <v>10</v>
      </c>
      <c r="V690" s="468">
        <v>0.9</v>
      </c>
      <c r="W690" s="466">
        <v>50</v>
      </c>
      <c r="Y690" s="466">
        <v>30</v>
      </c>
      <c r="AA690" s="466" t="s">
        <v>1401</v>
      </c>
      <c r="AB690" s="466">
        <v>0.2</v>
      </c>
      <c r="AC690" s="466">
        <v>4.7</v>
      </c>
      <c r="AD690" s="466">
        <v>0.3</v>
      </c>
      <c r="AE690" s="466">
        <v>0.51</v>
      </c>
      <c r="AF690" s="468">
        <v>0.54</v>
      </c>
      <c r="AG690" s="466">
        <v>68</v>
      </c>
      <c r="AI690" s="466">
        <v>0.91</v>
      </c>
      <c r="AJ690" s="466">
        <v>-16</v>
      </c>
      <c r="AK690" s="466">
        <v>4.8</v>
      </c>
      <c r="AL690" s="524">
        <v>16</v>
      </c>
      <c r="AM690" s="524">
        <v>16</v>
      </c>
    </row>
    <row r="691" spans="1:39" ht="25" customHeight="1" outlineLevel="1">
      <c r="A691" s="476" t="s">
        <v>1384</v>
      </c>
      <c r="B691" s="466">
        <v>15</v>
      </c>
      <c r="C691" s="466">
        <v>-41</v>
      </c>
      <c r="D691" s="466">
        <v>-44</v>
      </c>
      <c r="E691" s="466">
        <v>18</v>
      </c>
      <c r="F691" s="466">
        <v>13</v>
      </c>
      <c r="G691" s="468">
        <v>23</v>
      </c>
      <c r="H691" s="468">
        <v>17</v>
      </c>
      <c r="I691" s="466">
        <v>11670</v>
      </c>
      <c r="J691" s="466">
        <v>10540</v>
      </c>
      <c r="K691" s="472">
        <f t="shared" si="10"/>
        <v>11170</v>
      </c>
      <c r="L691" s="472">
        <v>666</v>
      </c>
      <c r="M691" s="472">
        <v>666</v>
      </c>
      <c r="N691" s="472">
        <v>666</v>
      </c>
      <c r="O691" s="472">
        <v>666</v>
      </c>
      <c r="P691" s="466">
        <v>6</v>
      </c>
      <c r="R691" s="466">
        <v>38</v>
      </c>
      <c r="S691" s="468">
        <v>58</v>
      </c>
      <c r="T691" s="466">
        <v>0</v>
      </c>
      <c r="V691" s="468">
        <v>0.9</v>
      </c>
      <c r="W691" s="466">
        <v>70</v>
      </c>
      <c r="Y691" s="466">
        <v>20</v>
      </c>
      <c r="AA691" s="466" t="s">
        <v>956</v>
      </c>
      <c r="AB691" s="466">
        <v>0.1</v>
      </c>
      <c r="AC691" s="466">
        <v>3</v>
      </c>
      <c r="AD691" s="466">
        <v>0.2</v>
      </c>
      <c r="AE691" s="466">
        <v>0.39</v>
      </c>
      <c r="AF691" s="468">
        <v>0.41</v>
      </c>
      <c r="AG691" s="466">
        <v>53</v>
      </c>
      <c r="AI691" s="466">
        <v>0.71</v>
      </c>
      <c r="AJ691" s="466">
        <v>-21</v>
      </c>
      <c r="AK691" s="466">
        <v>5</v>
      </c>
      <c r="AL691" s="524">
        <v>17</v>
      </c>
      <c r="AM691" s="524">
        <v>17</v>
      </c>
    </row>
    <row r="692" spans="1:39" ht="25" customHeight="1" outlineLevel="1">
      <c r="A692" s="476" t="s">
        <v>1385</v>
      </c>
      <c r="B692" s="466">
        <v>10</v>
      </c>
      <c r="C692" s="466">
        <v>-46</v>
      </c>
      <c r="D692" s="466">
        <v>-48</v>
      </c>
      <c r="E692" s="466">
        <v>12</v>
      </c>
      <c r="F692" s="466">
        <v>9</v>
      </c>
      <c r="G692" s="468">
        <v>17</v>
      </c>
      <c r="H692" s="468">
        <v>13</v>
      </c>
      <c r="I692" s="466">
        <v>13600</v>
      </c>
      <c r="J692" s="466">
        <v>12410</v>
      </c>
      <c r="K692" s="472">
        <f t="shared" si="10"/>
        <v>13100</v>
      </c>
      <c r="L692" s="472">
        <v>666</v>
      </c>
      <c r="M692" s="472">
        <v>666</v>
      </c>
      <c r="N692" s="472">
        <v>666</v>
      </c>
      <c r="O692" s="472">
        <v>666</v>
      </c>
      <c r="P692" s="466">
        <v>5</v>
      </c>
      <c r="R692" s="466">
        <v>27</v>
      </c>
      <c r="S692" s="468">
        <v>42</v>
      </c>
      <c r="T692" s="466">
        <v>40</v>
      </c>
      <c r="V692" s="468">
        <v>1</v>
      </c>
      <c r="W692" s="466">
        <v>0</v>
      </c>
      <c r="Y692" s="466">
        <v>80</v>
      </c>
      <c r="AA692" s="466" t="s">
        <v>956</v>
      </c>
      <c r="AB692" s="466">
        <v>0.1</v>
      </c>
      <c r="AC692" s="466">
        <v>3.1</v>
      </c>
      <c r="AD692" s="466">
        <v>0.2</v>
      </c>
      <c r="AE692" s="466">
        <v>0.47</v>
      </c>
      <c r="AF692" s="468">
        <v>0.49</v>
      </c>
      <c r="AG692" s="466">
        <v>63</v>
      </c>
      <c r="AI692" s="466">
        <v>0.85</v>
      </c>
      <c r="AJ692" s="466">
        <v>-20</v>
      </c>
      <c r="AK692" s="466">
        <v>4.3</v>
      </c>
      <c r="AL692" s="524">
        <v>13</v>
      </c>
      <c r="AM692" s="524">
        <v>13</v>
      </c>
    </row>
    <row r="693" spans="1:39" ht="25" customHeight="1" outlineLevel="1">
      <c r="A693" s="476" t="s">
        <v>1386</v>
      </c>
      <c r="B693" s="466">
        <v>10</v>
      </c>
      <c r="C693" s="466">
        <v>-41</v>
      </c>
      <c r="D693" s="466">
        <v>-42</v>
      </c>
      <c r="E693" s="466">
        <v>21</v>
      </c>
      <c r="F693" s="466">
        <v>15</v>
      </c>
      <c r="G693" s="468">
        <v>26</v>
      </c>
      <c r="H693" s="468">
        <v>19</v>
      </c>
      <c r="I693" s="466">
        <v>10500</v>
      </c>
      <c r="J693" s="466">
        <v>9410</v>
      </c>
      <c r="K693" s="472">
        <f t="shared" si="10"/>
        <v>10000</v>
      </c>
      <c r="L693" s="472">
        <v>666</v>
      </c>
      <c r="M693" s="472">
        <v>666</v>
      </c>
      <c r="N693" s="472">
        <v>666</v>
      </c>
      <c r="O693" s="472">
        <v>666</v>
      </c>
      <c r="P693" s="466">
        <v>7</v>
      </c>
      <c r="R693" s="466">
        <v>65</v>
      </c>
      <c r="S693" s="468">
        <v>95</v>
      </c>
      <c r="T693" s="466">
        <v>40</v>
      </c>
      <c r="V693" s="468">
        <v>0.9</v>
      </c>
      <c r="W693" s="466">
        <v>0</v>
      </c>
      <c r="Y693" s="466">
        <v>70</v>
      </c>
      <c r="AA693" s="466" t="s">
        <v>924</v>
      </c>
      <c r="AB693" s="466">
        <v>0.2</v>
      </c>
      <c r="AC693" s="466">
        <v>4.9000000000000004</v>
      </c>
      <c r="AD693" s="466">
        <v>0.3</v>
      </c>
      <c r="AE693" s="466">
        <v>0.47</v>
      </c>
      <c r="AF693" s="468">
        <v>0.49</v>
      </c>
      <c r="AG693" s="466">
        <v>63</v>
      </c>
      <c r="AI693" s="466">
        <v>0.85</v>
      </c>
      <c r="AJ693" s="466">
        <v>-19</v>
      </c>
      <c r="AK693" s="466">
        <v>6.7</v>
      </c>
      <c r="AL693" s="524">
        <v>19</v>
      </c>
      <c r="AM693" s="524">
        <v>19</v>
      </c>
    </row>
    <row r="694" spans="1:39" ht="25" customHeight="1" outlineLevel="1">
      <c r="A694" s="476" t="s">
        <v>1387</v>
      </c>
      <c r="B694" s="466">
        <v>5</v>
      </c>
      <c r="C694" s="466">
        <v>-40</v>
      </c>
      <c r="D694" s="466">
        <v>-42</v>
      </c>
      <c r="E694" s="466">
        <v>14</v>
      </c>
      <c r="F694" s="466">
        <v>10</v>
      </c>
      <c r="G694" s="468">
        <v>19</v>
      </c>
      <c r="H694" s="468">
        <v>14</v>
      </c>
      <c r="I694" s="466">
        <v>11300</v>
      </c>
      <c r="J694" s="466">
        <v>10180</v>
      </c>
      <c r="K694" s="472">
        <f t="shared" si="10"/>
        <v>10800</v>
      </c>
      <c r="L694" s="472">
        <v>666</v>
      </c>
      <c r="M694" s="472">
        <v>666</v>
      </c>
      <c r="N694" s="472">
        <v>666</v>
      </c>
      <c r="O694" s="472">
        <v>666</v>
      </c>
      <c r="P694" s="466">
        <v>7</v>
      </c>
      <c r="R694" s="466">
        <v>44</v>
      </c>
      <c r="S694" s="468">
        <v>61</v>
      </c>
      <c r="T694" s="466">
        <v>90</v>
      </c>
      <c r="V694" s="468">
        <v>0.9</v>
      </c>
      <c r="W694" s="466">
        <v>80</v>
      </c>
      <c r="Y694" s="466">
        <v>70</v>
      </c>
      <c r="AA694" s="466" t="s">
        <v>1411</v>
      </c>
      <c r="AB694" s="466">
        <v>0.2</v>
      </c>
      <c r="AC694" s="466">
        <v>6.8</v>
      </c>
      <c r="AD694" s="466">
        <v>0.3</v>
      </c>
      <c r="AE694" s="466">
        <v>0.43</v>
      </c>
      <c r="AF694" s="468">
        <v>0.45</v>
      </c>
      <c r="AG694" s="466">
        <v>58</v>
      </c>
      <c r="AI694" s="466">
        <v>0.78</v>
      </c>
      <c r="AJ694" s="466">
        <v>-17</v>
      </c>
      <c r="AK694" s="466">
        <v>5</v>
      </c>
      <c r="AL694" s="524">
        <v>14</v>
      </c>
      <c r="AM694" s="524">
        <v>14</v>
      </c>
    </row>
    <row r="695" spans="1:39" ht="25" customHeight="1" outlineLevel="1">
      <c r="A695" s="476" t="s">
        <v>1388</v>
      </c>
      <c r="B695" s="466">
        <v>10</v>
      </c>
      <c r="C695" s="466">
        <v>-41</v>
      </c>
      <c r="D695" s="466">
        <v>-43</v>
      </c>
      <c r="E695" s="466">
        <v>23</v>
      </c>
      <c r="F695" s="466">
        <v>16</v>
      </c>
      <c r="G695" s="468">
        <v>27</v>
      </c>
      <c r="H695" s="468">
        <v>19</v>
      </c>
      <c r="I695" s="466">
        <v>10300</v>
      </c>
      <c r="J695" s="466">
        <v>9210</v>
      </c>
      <c r="K695" s="472">
        <f t="shared" si="10"/>
        <v>9800</v>
      </c>
      <c r="L695" s="472">
        <v>666</v>
      </c>
      <c r="M695" s="472">
        <v>666</v>
      </c>
      <c r="N695" s="472">
        <v>666</v>
      </c>
      <c r="O695" s="472">
        <v>666</v>
      </c>
      <c r="P695" s="466">
        <v>9</v>
      </c>
      <c r="R695" s="466">
        <v>65</v>
      </c>
      <c r="S695" s="468">
        <v>94</v>
      </c>
      <c r="T695" s="466">
        <v>90</v>
      </c>
      <c r="V695" s="468">
        <v>0.8</v>
      </c>
      <c r="W695" s="466">
        <v>80</v>
      </c>
      <c r="Y695" s="466">
        <v>90</v>
      </c>
      <c r="AA695" s="466" t="s">
        <v>985</v>
      </c>
      <c r="AB695" s="466">
        <v>0.1</v>
      </c>
      <c r="AC695" s="466">
        <v>5.4</v>
      </c>
      <c r="AD695" s="466">
        <v>0.2</v>
      </c>
      <c r="AE695" s="466">
        <v>0.36</v>
      </c>
      <c r="AF695" s="468">
        <v>0.38</v>
      </c>
      <c r="AG695" s="466">
        <v>48</v>
      </c>
      <c r="AI695" s="466">
        <v>0.65</v>
      </c>
      <c r="AJ695" s="466">
        <v>-19</v>
      </c>
      <c r="AK695" s="466">
        <v>5.0999999999999996</v>
      </c>
      <c r="AL695" s="524">
        <v>19</v>
      </c>
      <c r="AM695" s="524">
        <v>19</v>
      </c>
    </row>
    <row r="696" spans="1:39" ht="25" customHeight="1" outlineLevel="1">
      <c r="A696" s="476" t="s">
        <v>1389</v>
      </c>
      <c r="B696" s="466">
        <v>30</v>
      </c>
      <c r="C696" s="466">
        <v>-37</v>
      </c>
      <c r="D696" s="466">
        <v>-39</v>
      </c>
      <c r="E696" s="466">
        <v>16</v>
      </c>
      <c r="F696" s="466">
        <v>13</v>
      </c>
      <c r="G696" s="468">
        <v>21</v>
      </c>
      <c r="H696" s="468">
        <v>17</v>
      </c>
      <c r="I696" s="466">
        <v>10000</v>
      </c>
      <c r="J696" s="466">
        <v>8920</v>
      </c>
      <c r="K696" s="472">
        <f t="shared" si="10"/>
        <v>9500</v>
      </c>
      <c r="L696" s="472">
        <v>666</v>
      </c>
      <c r="M696" s="472">
        <v>666</v>
      </c>
      <c r="N696" s="472">
        <v>666</v>
      </c>
      <c r="O696" s="472">
        <v>666</v>
      </c>
      <c r="P696" s="466">
        <v>8</v>
      </c>
      <c r="R696" s="466">
        <v>54</v>
      </c>
      <c r="S696" s="468">
        <v>81</v>
      </c>
      <c r="T696" s="466">
        <v>60</v>
      </c>
      <c r="V696" s="468">
        <v>0.9</v>
      </c>
      <c r="W696" s="466">
        <v>10</v>
      </c>
      <c r="Y696" s="466">
        <v>30</v>
      </c>
      <c r="AA696" s="466" t="s">
        <v>1412</v>
      </c>
      <c r="AB696" s="466">
        <v>0.2</v>
      </c>
      <c r="AC696" s="466">
        <v>7.5</v>
      </c>
      <c r="AD696" s="466">
        <v>0.3</v>
      </c>
      <c r="AE696" s="466">
        <v>0.61</v>
      </c>
      <c r="AF696" s="468">
        <v>0.64</v>
      </c>
      <c r="AG696" s="466">
        <v>82</v>
      </c>
      <c r="AI696" s="466">
        <v>1.1000000000000001</v>
      </c>
      <c r="AJ696" s="466">
        <v>-17</v>
      </c>
      <c r="AK696" s="466">
        <v>7</v>
      </c>
      <c r="AL696" s="524">
        <v>17</v>
      </c>
      <c r="AM696" s="524">
        <v>17</v>
      </c>
    </row>
    <row r="697" spans="1:39" ht="25" customHeight="1" outlineLevel="1">
      <c r="A697" s="476" t="s">
        <v>1390</v>
      </c>
      <c r="B697" s="466">
        <v>25</v>
      </c>
      <c r="C697" s="466">
        <v>-42</v>
      </c>
      <c r="D697" s="466">
        <v>-43</v>
      </c>
      <c r="E697" s="466">
        <v>11</v>
      </c>
      <c r="F697" s="466">
        <v>9</v>
      </c>
      <c r="G697" s="468">
        <v>16</v>
      </c>
      <c r="H697" s="468">
        <v>13</v>
      </c>
      <c r="I697" s="466">
        <v>12360</v>
      </c>
      <c r="J697" s="466">
        <v>11210</v>
      </c>
      <c r="K697" s="472">
        <f t="shared" si="10"/>
        <v>11860</v>
      </c>
      <c r="L697" s="472">
        <v>666</v>
      </c>
      <c r="M697" s="472">
        <v>666</v>
      </c>
      <c r="N697" s="472">
        <v>666</v>
      </c>
      <c r="O697" s="472">
        <v>666</v>
      </c>
      <c r="P697" s="466">
        <v>5</v>
      </c>
      <c r="R697" s="466">
        <v>27</v>
      </c>
      <c r="S697" s="468">
        <v>42</v>
      </c>
      <c r="T697" s="466">
        <v>80</v>
      </c>
      <c r="V697" s="468">
        <v>0.9</v>
      </c>
      <c r="W697" s="466">
        <v>80</v>
      </c>
      <c r="Y697" s="466">
        <v>20</v>
      </c>
      <c r="AA697" s="466" t="s">
        <v>983</v>
      </c>
      <c r="AB697" s="466">
        <v>0.1</v>
      </c>
      <c r="AC697" s="466">
        <v>3.2</v>
      </c>
      <c r="AD697" s="466">
        <v>0.2</v>
      </c>
      <c r="AE697" s="466">
        <v>0.46</v>
      </c>
      <c r="AF697" s="468">
        <v>0.48</v>
      </c>
      <c r="AG697" s="466">
        <v>62</v>
      </c>
      <c r="AI697" s="466">
        <v>0.84</v>
      </c>
      <c r="AJ697" s="466">
        <v>-19</v>
      </c>
      <c r="AK697" s="466">
        <v>6.1</v>
      </c>
      <c r="AL697" s="524">
        <v>13</v>
      </c>
      <c r="AM697" s="524">
        <v>13</v>
      </c>
    </row>
    <row r="698" spans="1:39" ht="25" customHeight="1" outlineLevel="1">
      <c r="A698" s="476" t="s">
        <v>1391</v>
      </c>
      <c r="B698" s="466">
        <v>5</v>
      </c>
      <c r="C698" s="466">
        <v>-32</v>
      </c>
      <c r="D698" s="466">
        <v>-34</v>
      </c>
      <c r="E698" s="466">
        <v>12</v>
      </c>
      <c r="F698" s="466">
        <v>10</v>
      </c>
      <c r="G698" s="468">
        <v>16</v>
      </c>
      <c r="H698" s="468">
        <v>14</v>
      </c>
      <c r="I698" s="466">
        <v>9000</v>
      </c>
      <c r="J698" s="466">
        <v>7960</v>
      </c>
      <c r="K698" s="472">
        <f t="shared" si="10"/>
        <v>8500</v>
      </c>
      <c r="L698" s="472">
        <v>666</v>
      </c>
      <c r="M698" s="472">
        <v>666</v>
      </c>
      <c r="N698" s="472">
        <v>666</v>
      </c>
      <c r="O698" s="472">
        <v>666</v>
      </c>
      <c r="P698" s="466">
        <v>7</v>
      </c>
      <c r="R698" s="466">
        <v>71</v>
      </c>
      <c r="S698" s="468">
        <v>99</v>
      </c>
      <c r="T698" s="466">
        <v>50</v>
      </c>
      <c r="V698" s="468">
        <v>0.9</v>
      </c>
      <c r="W698" s="466">
        <v>50</v>
      </c>
      <c r="Y698" s="466">
        <v>20</v>
      </c>
      <c r="AA698" s="466" t="s">
        <v>1413</v>
      </c>
      <c r="AB698" s="466">
        <v>0.2</v>
      </c>
      <c r="AC698" s="466">
        <v>9</v>
      </c>
      <c r="AD698" s="466">
        <v>0.3</v>
      </c>
      <c r="AE698" s="466">
        <v>0.96</v>
      </c>
      <c r="AF698" s="468">
        <v>1.01</v>
      </c>
      <c r="AG698" s="466">
        <v>29</v>
      </c>
      <c r="AI698" s="466">
        <v>1.74</v>
      </c>
      <c r="AJ698" s="466">
        <v>-14</v>
      </c>
      <c r="AK698" s="466">
        <v>9.5</v>
      </c>
      <c r="AL698" s="524">
        <v>14</v>
      </c>
      <c r="AM698" s="524">
        <v>14</v>
      </c>
    </row>
    <row r="699" spans="1:39" ht="25" customHeight="1" outlineLevel="1">
      <c r="A699" s="476" t="s">
        <v>1392</v>
      </c>
      <c r="B699" s="466">
        <v>15</v>
      </c>
      <c r="C699" s="466">
        <v>-41</v>
      </c>
      <c r="D699" s="466">
        <v>-42</v>
      </c>
      <c r="E699" s="466">
        <v>20</v>
      </c>
      <c r="F699" s="466">
        <v>14</v>
      </c>
      <c r="G699" s="468">
        <v>25</v>
      </c>
      <c r="H699" s="468">
        <v>18</v>
      </c>
      <c r="I699" s="466">
        <v>10720</v>
      </c>
      <c r="J699" s="466">
        <v>9620</v>
      </c>
      <c r="K699" s="472">
        <f t="shared" si="10"/>
        <v>10220</v>
      </c>
      <c r="L699" s="472">
        <v>666</v>
      </c>
      <c r="M699" s="472">
        <v>666</v>
      </c>
      <c r="N699" s="472">
        <v>666</v>
      </c>
      <c r="O699" s="472">
        <v>666</v>
      </c>
      <c r="P699" s="466">
        <v>7</v>
      </c>
      <c r="R699" s="466">
        <v>65</v>
      </c>
      <c r="S699" s="468">
        <v>97</v>
      </c>
      <c r="T699" s="466">
        <v>10</v>
      </c>
      <c r="V699" s="468">
        <v>0.9</v>
      </c>
      <c r="W699" s="466">
        <v>50</v>
      </c>
      <c r="Y699" s="466">
        <v>30</v>
      </c>
      <c r="AA699" s="466" t="s">
        <v>1414</v>
      </c>
      <c r="AB699" s="466">
        <v>0.2</v>
      </c>
      <c r="AC699" s="466">
        <v>6.2</v>
      </c>
      <c r="AD699" s="466">
        <v>0.3</v>
      </c>
      <c r="AE699" s="466">
        <v>0.45</v>
      </c>
      <c r="AF699" s="468">
        <v>0.47</v>
      </c>
      <c r="AG699" s="466">
        <v>61</v>
      </c>
      <c r="AI699" s="466">
        <v>0.83</v>
      </c>
      <c r="AJ699" s="466">
        <v>-18</v>
      </c>
      <c r="AK699" s="466">
        <v>5.5</v>
      </c>
      <c r="AL699" s="524">
        <v>18</v>
      </c>
      <c r="AM699" s="524">
        <v>18</v>
      </c>
    </row>
    <row r="700" spans="1:39" ht="20" customHeight="1"/>
    <row r="702" spans="1:39" ht="41" customHeight="1">
      <c r="A702" s="749" t="s">
        <v>1683</v>
      </c>
      <c r="AL702" s="476" t="s">
        <v>1538</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FB036-DF10-754E-AF8F-00CA9B0D712D}">
  <sheetPr codeName="Sheet9">
    <tabColor rgb="FF0432FF"/>
  </sheetPr>
  <dimension ref="A1:S75"/>
  <sheetViews>
    <sheetView zoomScale="80" zoomScaleNormal="80" workbookViewId="0">
      <selection activeCell="F13" sqref="F13"/>
    </sheetView>
  </sheetViews>
  <sheetFormatPr baseColWidth="10" defaultRowHeight="11"/>
  <cols>
    <col min="1" max="1" width="34.75" style="156" customWidth="1"/>
    <col min="2" max="2" width="4" customWidth="1"/>
    <col min="3" max="3" width="140.75" customWidth="1"/>
    <col min="4" max="4" width="14" customWidth="1"/>
    <col min="5" max="5" width="22.75" customWidth="1"/>
    <col min="6" max="6" width="119.75" customWidth="1"/>
    <col min="7" max="7" width="10.25" customWidth="1"/>
    <col min="8" max="8" width="21" style="379" customWidth="1"/>
    <col min="9" max="9" width="142.5" customWidth="1"/>
    <col min="11" max="11" width="38.75" customWidth="1"/>
    <col min="15" max="15" width="8.25" customWidth="1"/>
    <col min="16" max="16" width="4.25" hidden="1" customWidth="1"/>
    <col min="17" max="17" width="10.75" hidden="1" customWidth="1"/>
    <col min="18" max="18" width="27.5" customWidth="1"/>
  </cols>
  <sheetData>
    <row r="1" spans="1:19" ht="16" customHeight="1">
      <c r="A1" s="577"/>
      <c r="B1" s="403"/>
      <c r="C1" s="403"/>
      <c r="D1" s="403"/>
      <c r="E1" s="403"/>
      <c r="F1" s="403"/>
      <c r="G1" s="403"/>
      <c r="H1" s="404"/>
      <c r="I1" s="403"/>
      <c r="J1" s="403"/>
    </row>
    <row r="2" spans="1:19" s="576" customFormat="1" ht="38" customHeight="1" thickBot="1">
      <c r="A2" s="578" t="s">
        <v>1515</v>
      </c>
      <c r="B2" s="578"/>
      <c r="C2" s="578"/>
      <c r="D2" s="579"/>
      <c r="E2" s="578" t="s">
        <v>505</v>
      </c>
      <c r="F2" s="578"/>
      <c r="G2" s="579"/>
      <c r="H2" s="578" t="s">
        <v>1446</v>
      </c>
      <c r="I2" s="578"/>
      <c r="J2" s="580"/>
    </row>
    <row r="3" spans="1:19" ht="21" customHeight="1" thickTop="1">
      <c r="A3" s="676">
        <v>20.43</v>
      </c>
      <c r="B3" s="677" t="s">
        <v>444</v>
      </c>
      <c r="C3" s="695" t="s">
        <v>1557</v>
      </c>
      <c r="D3" s="582"/>
      <c r="E3" s="583">
        <v>1.204</v>
      </c>
      <c r="F3" s="582" t="s">
        <v>438</v>
      </c>
      <c r="G3" s="582"/>
      <c r="H3" s="584" t="str">
        <f>E44</f>
        <v>Alexandria</v>
      </c>
      <c r="I3" s="585" t="s">
        <v>1451</v>
      </c>
      <c r="J3" s="403"/>
      <c r="Q3" s="5"/>
      <c r="R3" s="5" t="s">
        <v>430</v>
      </c>
      <c r="S3" s="5"/>
    </row>
    <row r="4" spans="1:19" ht="19">
      <c r="A4" s="753">
        <v>0.5585</v>
      </c>
      <c r="B4" s="581" t="s">
        <v>444</v>
      </c>
      <c r="C4" s="697" t="s">
        <v>1529</v>
      </c>
      <c r="D4" s="587"/>
      <c r="E4" s="583">
        <v>1005</v>
      </c>
      <c r="F4" s="585" t="s">
        <v>439</v>
      </c>
      <c r="G4" s="585"/>
      <c r="H4" s="588" cm="1">
        <f t="array" ref="H4">IFERROR(_xlfn.XLOOKUP(REPORT!H$19,_xlfn._xlws.FILTER(CANADA!A$6:A$699,CANADA!A$6:A$699=REPORT!H$19),_xlfn._xlws.FILTER(CANADA!E$6:E$699,CANADA!A$6:A$699=REPORT!H$19)),"City Not Found")</f>
        <v>30</v>
      </c>
      <c r="I4" s="585" t="s">
        <v>1447</v>
      </c>
      <c r="J4" s="403"/>
      <c r="Q4" s="5">
        <v>1.2</v>
      </c>
      <c r="R4" s="5" t="s">
        <v>435</v>
      </c>
      <c r="S4" s="5" t="s">
        <v>432</v>
      </c>
    </row>
    <row r="5" spans="1:19" ht="19">
      <c r="A5" s="577"/>
      <c r="B5" s="403"/>
      <c r="C5" s="403"/>
      <c r="D5" s="587"/>
      <c r="E5" s="588">
        <f>A9*E3</f>
        <v>9632</v>
      </c>
      <c r="F5" s="582" t="s">
        <v>440</v>
      </c>
      <c r="G5" s="585"/>
      <c r="H5" s="588" cm="1">
        <f t="array" ref="H5">IFERROR(_xlfn.XLOOKUP(REPORT!H$19,_xlfn._xlws.FILTER(CANADA!A$6:A$699,CANADA!A$6:A$699=REPORT!H$19),_xlfn._xlws.FILTER(CANADA!F$6:F$699,CANADA!A$6:A$699=REPORT!H$19)),"City Not Found")</f>
        <v>23</v>
      </c>
      <c r="I5" s="585" t="s">
        <v>1448</v>
      </c>
      <c r="J5" s="403"/>
      <c r="Q5" s="5"/>
      <c r="R5" s="5"/>
      <c r="S5" s="5"/>
    </row>
    <row r="6" spans="1:19" ht="26">
      <c r="A6" s="678">
        <f>1+A64/A55</f>
        <v>1.5947761576343724</v>
      </c>
      <c r="B6" s="679"/>
      <c r="C6" s="681" t="s">
        <v>1526</v>
      </c>
      <c r="D6" s="590"/>
      <c r="E6" s="592">
        <v>2501000</v>
      </c>
      <c r="F6" s="585" t="s">
        <v>1445</v>
      </c>
      <c r="G6" s="582"/>
      <c r="H6" s="588" cm="1">
        <f t="array" ref="H6">IFERROR(_xlfn.XLOOKUP(REPORT!H$19,_xlfn._xlws.FILTER(CANADA!A$6:A$699,CANADA!A$6:A$699=REPORT!H$19),_xlfn._xlws.FILTER(CANADA!G$6:G$699,CANADA!A$6:A$699=REPORT!H$19)),"City Not Found")</f>
        <v>34</v>
      </c>
      <c r="I6" s="585" t="s">
        <v>1450</v>
      </c>
      <c r="J6" s="403"/>
      <c r="Q6" s="5"/>
      <c r="R6" s="5"/>
      <c r="S6" s="5"/>
    </row>
    <row r="7" spans="1:19" ht="19">
      <c r="A7" s="586">
        <v>10</v>
      </c>
      <c r="B7" s="581" t="s">
        <v>444</v>
      </c>
      <c r="C7" s="587" t="s">
        <v>506</v>
      </c>
      <c r="D7" s="582"/>
      <c r="E7" s="589">
        <f>A8</f>
        <v>24</v>
      </c>
      <c r="F7" s="590" t="s">
        <v>516</v>
      </c>
      <c r="G7" s="585"/>
      <c r="H7" s="588" cm="1">
        <f t="array" ref="H7">IFERROR(_xlfn.XLOOKUP(REPORT!H$19,_xlfn._xlws.FILTER(CANADA!A$6:A$699,CANADA!A$6:A$699=REPORT!H$19),_xlfn._xlws.FILTER(CANADA!H$6:H$699,CANADA!A$6:A$699=REPORT!H$19)),"City Not Found")</f>
        <v>26</v>
      </c>
      <c r="I7" s="585" t="s">
        <v>1449</v>
      </c>
      <c r="J7" s="403"/>
      <c r="Q7" s="5"/>
      <c r="R7" s="5"/>
      <c r="S7" s="5"/>
    </row>
    <row r="8" spans="1:19" ht="19">
      <c r="A8" s="589">
        <f>REPORT!H24</f>
        <v>24</v>
      </c>
      <c r="B8" s="581" t="s">
        <v>1525</v>
      </c>
      <c r="C8" s="590" t="s">
        <v>1497</v>
      </c>
      <c r="D8" s="582"/>
      <c r="E8" s="583">
        <f>A13*A21</f>
        <v>46841356503.610008</v>
      </c>
      <c r="F8" s="582" t="s">
        <v>460</v>
      </c>
      <c r="G8" s="590"/>
      <c r="H8" s="588">
        <f>E54</f>
        <v>120</v>
      </c>
      <c r="I8" s="585" t="s">
        <v>1455</v>
      </c>
      <c r="J8" s="403"/>
      <c r="Q8" s="5"/>
      <c r="R8" s="5"/>
      <c r="S8" s="5"/>
    </row>
    <row r="9" spans="1:19" ht="19">
      <c r="A9" s="588">
        <f>REPORT!D105</f>
        <v>8000</v>
      </c>
      <c r="B9" s="696" t="s">
        <v>1525</v>
      </c>
      <c r="C9" s="582" t="s">
        <v>455</v>
      </c>
      <c r="D9" s="582"/>
      <c r="E9" s="593">
        <f>E8/(E5*E4)</f>
        <v>4838.9031280071822</v>
      </c>
      <c r="F9" s="587" t="s">
        <v>452</v>
      </c>
      <c r="G9" s="582"/>
      <c r="H9" s="588">
        <f>H8*0.025</f>
        <v>3</v>
      </c>
      <c r="I9" s="585" t="s">
        <v>1456</v>
      </c>
      <c r="J9" s="403"/>
      <c r="Q9" s="5"/>
      <c r="R9" s="5"/>
      <c r="S9" s="5"/>
    </row>
    <row r="10" spans="1:19" ht="19">
      <c r="A10" s="588">
        <f>REPORT!D101</f>
        <v>2476.6199999999994</v>
      </c>
      <c r="B10" s="696" t="s">
        <v>1525</v>
      </c>
      <c r="C10" s="582" t="s">
        <v>507</v>
      </c>
      <c r="D10" s="582"/>
      <c r="E10" s="593">
        <f>A8+E9</f>
        <v>4862.9031280071822</v>
      </c>
      <c r="F10" s="587" t="s">
        <v>453</v>
      </c>
      <c r="G10" s="587"/>
      <c r="H10" s="588">
        <f>REPORT!D21</f>
        <v>196</v>
      </c>
      <c r="I10" s="585" t="s">
        <v>1468</v>
      </c>
      <c r="J10" s="403"/>
      <c r="Q10" s="5">
        <v>1</v>
      </c>
      <c r="R10" s="5" t="s">
        <v>1</v>
      </c>
      <c r="S10" s="5" t="s">
        <v>431</v>
      </c>
    </row>
    <row r="11" spans="1:19" ht="19">
      <c r="A11" s="588">
        <f>REPORT!D102</f>
        <v>1100.42</v>
      </c>
      <c r="B11" s="696" t="s">
        <v>1525</v>
      </c>
      <c r="C11" s="582" t="s">
        <v>508</v>
      </c>
      <c r="D11" s="582"/>
      <c r="E11" s="588">
        <f>610.94 * EXP(17.625 * H5 / (H5 + 243.04))</f>
        <v>2803.8136482807117</v>
      </c>
      <c r="F11" s="587" t="s">
        <v>1474</v>
      </c>
      <c r="G11" s="587"/>
      <c r="H11" s="595">
        <f>REPORT!D59</f>
        <v>0.45</v>
      </c>
      <c r="I11" s="585" t="s">
        <v>1481</v>
      </c>
      <c r="J11" s="403"/>
      <c r="Q11" s="5"/>
      <c r="R11" s="5"/>
      <c r="S11" s="5"/>
    </row>
    <row r="12" spans="1:19" ht="19">
      <c r="A12" s="588">
        <f>A10+A11</f>
        <v>3577.0399999999995</v>
      </c>
      <c r="B12" s="696" t="s">
        <v>1525</v>
      </c>
      <c r="C12" s="582" t="s">
        <v>509</v>
      </c>
      <c r="D12" s="582"/>
      <c r="E12" s="588">
        <f>610.94 * EXP(17.625 * H7 / (H7 + 243.04))</f>
        <v>3355.2349528281752</v>
      </c>
      <c r="F12" s="587" t="s">
        <v>1473</v>
      </c>
      <c r="G12" s="587"/>
      <c r="H12" s="588">
        <f>REPORT!D129</f>
        <v>76437.534022957116</v>
      </c>
      <c r="I12" s="585" t="s">
        <v>1452</v>
      </c>
      <c r="J12" s="403"/>
      <c r="Q12" s="5"/>
      <c r="R12" s="5"/>
      <c r="S12" s="5"/>
    </row>
    <row r="13" spans="1:19" ht="19">
      <c r="A13" s="594">
        <f>E37</f>
        <v>-114.06790923686401</v>
      </c>
      <c r="B13" s="696" t="s">
        <v>1525</v>
      </c>
      <c r="C13" s="582" t="s">
        <v>534</v>
      </c>
      <c r="D13" s="582"/>
      <c r="E13" s="597">
        <v>101325</v>
      </c>
      <c r="F13" s="587" t="s">
        <v>1492</v>
      </c>
      <c r="G13" s="587"/>
      <c r="H13" s="588">
        <f>H12/120</f>
        <v>636.9794501913093</v>
      </c>
      <c r="I13" s="585" t="s">
        <v>1457</v>
      </c>
      <c r="J13" s="403"/>
      <c r="Q13" s="5"/>
      <c r="R13" s="5"/>
      <c r="S13" s="5"/>
    </row>
    <row r="14" spans="1:19" ht="19">
      <c r="A14" s="596">
        <f>REPORT!G101</f>
        <v>0.27834106264768871</v>
      </c>
      <c r="B14" s="696" t="s">
        <v>1525</v>
      </c>
      <c r="C14" s="582" t="s">
        <v>510</v>
      </c>
      <c r="D14" s="582"/>
      <c r="E14" s="588">
        <f>IFERROR(VLOOKUP(E44,CANADA!A6:B699,2,FALSE),"City Not Found")</f>
        <v>80</v>
      </c>
      <c r="F14" s="587" t="s">
        <v>1510</v>
      </c>
      <c r="G14" s="587"/>
      <c r="H14" s="588">
        <f>H13*1.5</f>
        <v>955.46917528696395</v>
      </c>
      <c r="I14" s="585" t="s">
        <v>1459</v>
      </c>
      <c r="J14" s="403"/>
      <c r="Q14" s="5"/>
      <c r="R14" s="5"/>
      <c r="S14" s="5"/>
    </row>
    <row r="15" spans="1:19" ht="19" customHeight="1">
      <c r="A15" s="596">
        <f>REPORT!G102</f>
        <v>0.32432432432432429</v>
      </c>
      <c r="B15" s="696" t="s">
        <v>1525</v>
      </c>
      <c r="C15" s="582" t="s">
        <v>511</v>
      </c>
      <c r="D15" s="582"/>
      <c r="E15" s="598">
        <f>E13*EXP(-E14/8434)</f>
        <v>100368.43409126908</v>
      </c>
      <c r="F15" s="587" t="s">
        <v>1491</v>
      </c>
      <c r="G15" s="587"/>
      <c r="H15" s="588">
        <f>H14/24</f>
        <v>39.811215636956831</v>
      </c>
      <c r="I15" s="585" t="s">
        <v>1458</v>
      </c>
      <c r="J15" s="403"/>
      <c r="Q15" s="5">
        <v>1005</v>
      </c>
      <c r="R15" s="5" t="s">
        <v>436</v>
      </c>
    </row>
    <row r="16" spans="1:19" ht="19">
      <c r="A16" s="588">
        <f>A8-A3</f>
        <v>3.5700000000000003</v>
      </c>
      <c r="B16" s="696" t="s">
        <v>1525</v>
      </c>
      <c r="C16" s="582" t="s">
        <v>512</v>
      </c>
      <c r="D16" s="582"/>
      <c r="E16" s="588">
        <f>E11*1</f>
        <v>2803.8136482807117</v>
      </c>
      <c r="F16" s="587" t="s">
        <v>1471</v>
      </c>
      <c r="G16" s="587"/>
      <c r="H16" s="588">
        <f>(H26*E3*E4*(H27-H5))/1000</f>
        <v>4.0334000000000003</v>
      </c>
      <c r="I16" s="585" t="s">
        <v>1460</v>
      </c>
      <c r="J16" s="403"/>
      <c r="Q16" s="5"/>
      <c r="R16" s="5"/>
    </row>
    <row r="17" spans="1:19" ht="19">
      <c r="A17" s="588">
        <f>A8-A7</f>
        <v>14</v>
      </c>
      <c r="B17" s="696" t="s">
        <v>1525</v>
      </c>
      <c r="C17" s="582" t="s">
        <v>513</v>
      </c>
      <c r="D17" s="582"/>
      <c r="E17" s="596">
        <f>0.62198*E16/(E15-E11)</f>
        <v>1.7874471350777098E-2</v>
      </c>
      <c r="F17" s="587" t="s">
        <v>1477</v>
      </c>
      <c r="G17" s="587"/>
      <c r="H17" s="588">
        <f>(H26*E3*E4*(H27-H7))/1000</f>
        <v>-8.0668000000000006</v>
      </c>
      <c r="I17" s="585" t="s">
        <v>1461</v>
      </c>
      <c r="J17" s="403"/>
      <c r="Q17" s="5">
        <v>25</v>
      </c>
      <c r="R17" s="155">
        <f>Q17+R20</f>
        <v>25.829187396351575</v>
      </c>
      <c r="S17" s="5" t="s">
        <v>433</v>
      </c>
    </row>
    <row r="18" spans="1:19" ht="19">
      <c r="A18" s="583">
        <f>A14*A10*A16</f>
        <v>2460.9618019910317</v>
      </c>
      <c r="B18" s="581" t="s">
        <v>444</v>
      </c>
      <c r="C18" s="582" t="s">
        <v>514</v>
      </c>
      <c r="D18" s="582"/>
      <c r="E18" s="596">
        <f>0.62198*E16/(E15-E12)</f>
        <v>1.7976069529147407E-2</v>
      </c>
      <c r="F18" s="587" t="s">
        <v>1478</v>
      </c>
      <c r="G18" s="587"/>
      <c r="H18" s="404"/>
      <c r="I18" s="403"/>
      <c r="J18" s="403"/>
      <c r="Q18" s="5"/>
      <c r="R18" s="155"/>
      <c r="S18" s="5"/>
    </row>
    <row r="19" spans="1:19" ht="19">
      <c r="A19" s="583">
        <f>A15*A11*A17</f>
        <v>4996.5016216216209</v>
      </c>
      <c r="B19" s="581" t="s">
        <v>444</v>
      </c>
      <c r="C19" s="582" t="s">
        <v>515</v>
      </c>
      <c r="D19" s="582"/>
      <c r="E19" s="588">
        <f>610.94 * EXP(17.625 * A8 / (H5 + 243.04))</f>
        <v>2995.855830676463</v>
      </c>
      <c r="F19" s="587" t="s">
        <v>1475</v>
      </c>
      <c r="G19" s="587"/>
      <c r="H19" s="601" t="s">
        <v>1484</v>
      </c>
      <c r="I19" s="403"/>
      <c r="J19" s="403"/>
      <c r="Q19" s="5"/>
      <c r="R19" s="155"/>
      <c r="S19" s="5"/>
    </row>
    <row r="20" spans="1:19" ht="19">
      <c r="A20" s="583">
        <f>((A10/A12)*A18)+(A11/A12*A19)</f>
        <v>3240.9806802585081</v>
      </c>
      <c r="B20" s="581" t="s">
        <v>444</v>
      </c>
      <c r="C20" s="582" t="s">
        <v>818</v>
      </c>
      <c r="D20" s="582"/>
      <c r="E20" s="588">
        <f>610.94 * EXP(17.625 * A8 / (H7 + 243.04))</f>
        <v>2943.208724707205</v>
      </c>
      <c r="F20" s="587" t="s">
        <v>1476</v>
      </c>
      <c r="G20" s="587"/>
      <c r="H20" s="584">
        <f>H15-H16</f>
        <v>35.777815636956831</v>
      </c>
      <c r="I20" s="585" t="s">
        <v>1462</v>
      </c>
      <c r="J20" s="403"/>
      <c r="Q20" s="5">
        <v>1000</v>
      </c>
      <c r="R20" s="5">
        <f>Q20/(Q4*Q15)</f>
        <v>0.82918739635157546</v>
      </c>
      <c r="S20" s="5" t="s">
        <v>437</v>
      </c>
    </row>
    <row r="21" spans="1:19" ht="19" customHeight="1">
      <c r="A21" s="599">
        <f>A13*(3.6*10^6)</f>
        <v>-410644473.25271046</v>
      </c>
      <c r="B21" s="581" t="s">
        <v>444</v>
      </c>
      <c r="C21" s="582" t="s">
        <v>434</v>
      </c>
      <c r="D21" s="582"/>
      <c r="E21" s="588">
        <f>E11*H11</f>
        <v>1261.7161417263203</v>
      </c>
      <c r="F21" s="587" t="s">
        <v>1471</v>
      </c>
      <c r="G21" s="587"/>
      <c r="H21" s="584">
        <f>H20*0.2843451361</f>
        <v>10.173247856651198</v>
      </c>
      <c r="I21" s="585" t="s">
        <v>1465</v>
      </c>
      <c r="J21" s="403"/>
      <c r="Q21" s="5">
        <f>Q20*3.6*10^6</f>
        <v>3600000000</v>
      </c>
      <c r="R21" s="5"/>
      <c r="S21" s="5" t="s">
        <v>434</v>
      </c>
    </row>
    <row r="22" spans="1:19" ht="19" customHeight="1">
      <c r="A22" s="600">
        <f>(A21/A20)</f>
        <v>-126703.77079198032</v>
      </c>
      <c r="B22" s="581" t="s">
        <v>444</v>
      </c>
      <c r="C22" s="582" t="s">
        <v>820</v>
      </c>
      <c r="D22" s="582"/>
      <c r="E22" s="596">
        <f>0.62198*E21/(E15-E21)</f>
        <v>7.9183553049398236E-3</v>
      </c>
      <c r="F22" s="587" t="s">
        <v>1472</v>
      </c>
      <c r="G22" s="587"/>
      <c r="H22" s="584">
        <f>H15-H17</f>
        <v>47.878015636956832</v>
      </c>
      <c r="I22" s="585" t="s">
        <v>1463</v>
      </c>
      <c r="J22" s="403"/>
    </row>
    <row r="23" spans="1:19" ht="19" customHeight="1">
      <c r="A23" s="602">
        <f>A22/3600</f>
        <v>-35.195491886661202</v>
      </c>
      <c r="B23" s="581" t="s">
        <v>444</v>
      </c>
      <c r="C23" s="582" t="s">
        <v>441</v>
      </c>
      <c r="D23" s="582"/>
      <c r="E23" s="596">
        <f>E17-E22</f>
        <v>9.9561160458372742E-3</v>
      </c>
      <c r="F23" s="587" t="s">
        <v>1479</v>
      </c>
      <c r="G23" s="587"/>
      <c r="H23" s="584">
        <f>H22*0.2843451361</f>
        <v>13.613880872488419</v>
      </c>
      <c r="I23" s="585" t="s">
        <v>1464</v>
      </c>
      <c r="J23" s="403"/>
    </row>
    <row r="24" spans="1:19" ht="19" customHeight="1">
      <c r="A24" s="603">
        <f>A23/24</f>
        <v>-1.4664788286108834</v>
      </c>
      <c r="B24" s="581" t="s">
        <v>444</v>
      </c>
      <c r="C24" s="582" t="s">
        <v>442</v>
      </c>
      <c r="D24" s="582"/>
      <c r="E24" s="596">
        <f>E18-E22</f>
        <v>1.0057714224207584E-2</v>
      </c>
      <c r="F24" s="587" t="s">
        <v>1480</v>
      </c>
      <c r="G24" s="587"/>
      <c r="H24" s="404"/>
      <c r="I24" s="403"/>
      <c r="J24" s="403"/>
    </row>
    <row r="25" spans="1:19" ht="19" customHeight="1">
      <c r="A25" s="604">
        <f>A13*(A24-1)</f>
        <v>281.34608315663291</v>
      </c>
      <c r="B25" s="581" t="s">
        <v>444</v>
      </c>
      <c r="C25" s="582" t="s">
        <v>819</v>
      </c>
      <c r="D25" s="582"/>
      <c r="E25" s="608">
        <f>E10-E9</f>
        <v>24</v>
      </c>
      <c r="F25" s="582" t="s">
        <v>518</v>
      </c>
      <c r="G25" s="587"/>
      <c r="H25" s="588">
        <f>REPORT!H120</f>
        <v>12000</v>
      </c>
      <c r="I25" s="585" t="s">
        <v>1488</v>
      </c>
      <c r="J25" s="403"/>
    </row>
    <row r="26" spans="1:19" ht="18" customHeight="1">
      <c r="A26" s="583"/>
      <c r="B26" s="591"/>
      <c r="C26" s="582"/>
      <c r="D26" s="607"/>
      <c r="E26" s="403"/>
      <c r="F26" s="403"/>
      <c r="G26" s="403"/>
      <c r="H26" s="588">
        <f>H25/3600</f>
        <v>3.3333333333333335</v>
      </c>
      <c r="I26" s="585" t="s">
        <v>1454</v>
      </c>
      <c r="J26" s="403"/>
    </row>
    <row r="27" spans="1:19" ht="18" customHeight="1" thickBot="1">
      <c r="A27" s="583"/>
      <c r="B27" s="605"/>
      <c r="C27" s="606" t="s">
        <v>456</v>
      </c>
      <c r="D27" s="582"/>
      <c r="E27" s="403"/>
      <c r="F27" s="403"/>
      <c r="G27" s="582"/>
      <c r="H27" s="588">
        <f>REPORT!H24</f>
        <v>24</v>
      </c>
      <c r="I27" s="585" t="s">
        <v>1453</v>
      </c>
      <c r="J27" s="403"/>
    </row>
    <row r="28" spans="1:19" ht="18" customHeight="1">
      <c r="A28" s="596">
        <f>IF(REPORT!L119="None", REPORT!D120, REPORT!D120*REPORT!L119)</f>
        <v>3333.333333333333</v>
      </c>
      <c r="B28" s="581" t="s">
        <v>444</v>
      </c>
      <c r="C28" s="582" t="s">
        <v>457</v>
      </c>
      <c r="D28" s="582"/>
      <c r="E28" s="403"/>
      <c r="F28" s="403"/>
      <c r="G28" s="403"/>
      <c r="H28" s="404"/>
      <c r="I28" s="403"/>
      <c r="J28" s="403"/>
    </row>
    <row r="29" spans="1:19" ht="18" customHeight="1" thickBot="1">
      <c r="A29" s="609">
        <f>A28/1000</f>
        <v>3.333333333333333</v>
      </c>
      <c r="B29" s="581" t="s">
        <v>444</v>
      </c>
      <c r="C29" s="582" t="s">
        <v>525</v>
      </c>
      <c r="D29" s="582"/>
      <c r="E29" s="583" t="s">
        <v>450</v>
      </c>
      <c r="F29" s="610" t="s">
        <v>1778</v>
      </c>
      <c r="G29" s="610"/>
      <c r="H29" s="613" t="s">
        <v>1512</v>
      </c>
      <c r="I29" s="426"/>
      <c r="J29" s="403"/>
    </row>
    <row r="30" spans="1:19" ht="18" customHeight="1">
      <c r="A30" s="609">
        <f>A29*E3</f>
        <v>4.0133333333333328</v>
      </c>
      <c r="B30" s="581" t="s">
        <v>444</v>
      </c>
      <c r="C30" s="582" t="s">
        <v>458</v>
      </c>
      <c r="D30" s="611"/>
      <c r="E30" s="583">
        <f>SCHEDULES!G4</f>
        <v>177.24938313599998</v>
      </c>
      <c r="F30" s="582" t="s">
        <v>445</v>
      </c>
      <c r="G30" s="582"/>
      <c r="H30" s="615" t="s">
        <v>1482</v>
      </c>
      <c r="I30" s="616"/>
      <c r="J30" s="403"/>
    </row>
    <row r="31" spans="1:19" ht="18" customHeight="1">
      <c r="A31" s="596">
        <f>A30*E4*A16</f>
        <v>14399.237999999999</v>
      </c>
      <c r="B31" s="581" t="s">
        <v>444</v>
      </c>
      <c r="C31" s="611" t="s">
        <v>461</v>
      </c>
      <c r="D31" s="582"/>
      <c r="E31" s="583">
        <f>REPORT!D65*SCHEDULES!D4*REPORT!H15</f>
        <v>119884.8</v>
      </c>
      <c r="F31" s="582" t="s">
        <v>446</v>
      </c>
      <c r="G31" s="582"/>
      <c r="H31" s="584">
        <f>H26*E3*E4*(H4-H27)</f>
        <v>24200.400000000001</v>
      </c>
      <c r="I31" s="585" t="s">
        <v>1493</v>
      </c>
      <c r="J31" s="403"/>
    </row>
    <row r="32" spans="1:19" ht="18" customHeight="1">
      <c r="A32" s="612">
        <f>A31*86400</f>
        <v>1244094163.2</v>
      </c>
      <c r="B32" s="581" t="s">
        <v>444</v>
      </c>
      <c r="C32" s="582" t="s">
        <v>459</v>
      </c>
      <c r="D32" s="582"/>
      <c r="E32" s="583">
        <f>REPORT!D66*REPORT!H15*SCHEDULES!D4</f>
        <v>25689.600000000002</v>
      </c>
      <c r="F32" s="582" t="s">
        <v>447</v>
      </c>
      <c r="G32" s="582"/>
      <c r="H32" s="584">
        <f>H26*E3*E4*(H6-H27)</f>
        <v>40334</v>
      </c>
      <c r="I32" s="585" t="s">
        <v>1494</v>
      </c>
      <c r="J32" s="403"/>
    </row>
    <row r="33" spans="1:10" ht="18" customHeight="1">
      <c r="A33" s="614">
        <f>A32/3600000</f>
        <v>345.58171200000004</v>
      </c>
      <c r="B33" s="581" t="s">
        <v>444</v>
      </c>
      <c r="C33" s="582" t="s">
        <v>821</v>
      </c>
      <c r="D33" s="582"/>
      <c r="E33" s="583">
        <f>REPORT!D67*REPORT!H15*SCHEDULES!D4</f>
        <v>85632</v>
      </c>
      <c r="F33" s="582" t="s">
        <v>448</v>
      </c>
      <c r="G33" s="582"/>
      <c r="H33" s="584">
        <f>H31*(86400/3600)/1000</f>
        <v>580.80960000000005</v>
      </c>
      <c r="I33" s="585" t="s">
        <v>1466</v>
      </c>
      <c r="J33" s="403"/>
    </row>
    <row r="34" spans="1:10" ht="18" customHeight="1">
      <c r="A34" s="596"/>
      <c r="B34" s="591"/>
      <c r="C34" s="582"/>
      <c r="D34" s="618"/>
      <c r="E34" s="619">
        <f>REPORT!K79</f>
        <v>130.15337999999997</v>
      </c>
      <c r="F34" s="620" t="s">
        <v>449</v>
      </c>
      <c r="G34" s="620"/>
      <c r="H34" s="584">
        <f>H32*86400/3600/1000</f>
        <v>968.01599999999996</v>
      </c>
      <c r="I34" s="585" t="s">
        <v>1467</v>
      </c>
      <c r="J34" s="403"/>
    </row>
    <row r="35" spans="1:10" ht="18" customHeight="1">
      <c r="A35" s="617">
        <f>A13*0.2843451361</f>
        <v>-32.434655176598547</v>
      </c>
      <c r="B35" s="581" t="s">
        <v>444</v>
      </c>
      <c r="C35" s="618" t="s">
        <v>451</v>
      </c>
      <c r="D35" s="582"/>
      <c r="E35" s="584">
        <f>SUM(E30:E34)/1000</f>
        <v>231.51380276313603</v>
      </c>
      <c r="F35" s="620" t="s">
        <v>522</v>
      </c>
      <c r="G35" s="620"/>
      <c r="H35" s="624" t="s">
        <v>1483</v>
      </c>
      <c r="I35" s="625"/>
      <c r="J35" s="403"/>
    </row>
    <row r="36" spans="1:10" ht="18" customHeight="1">
      <c r="A36" s="621">
        <f>A35/SCHEDULES!H4</f>
        <v>-0.27028879313832122</v>
      </c>
      <c r="B36" s="581" t="s">
        <v>444</v>
      </c>
      <c r="C36" s="582" t="s">
        <v>454</v>
      </c>
      <c r="D36" s="582"/>
      <c r="E36" s="622">
        <f>A33</f>
        <v>345.58171200000004</v>
      </c>
      <c r="F36" s="620" t="s">
        <v>523</v>
      </c>
      <c r="G36" s="620"/>
      <c r="H36" s="584">
        <f>H26*E3*E6*(E23)</f>
        <v>99932.988205631293</v>
      </c>
      <c r="I36" s="585" t="s">
        <v>1495</v>
      </c>
      <c r="J36" s="403"/>
    </row>
    <row r="37" spans="1:10" ht="18" customHeight="1">
      <c r="A37" s="604">
        <f>REPORT!M129</f>
        <v>8038.670098583887</v>
      </c>
      <c r="B37" s="581" t="s">
        <v>444</v>
      </c>
      <c r="C37" s="582" t="s">
        <v>443</v>
      </c>
      <c r="D37" s="582"/>
      <c r="E37" s="623">
        <f>E35-E36</f>
        <v>-114.06790923686401</v>
      </c>
      <c r="F37" s="587" t="s">
        <v>533</v>
      </c>
      <c r="G37" s="587"/>
      <c r="H37" s="584">
        <f>H26*E3*E6*(E24)</f>
        <v>100952.76434263593</v>
      </c>
      <c r="I37" s="585" t="s">
        <v>1496</v>
      </c>
      <c r="J37" s="403"/>
    </row>
    <row r="38" spans="1:10" ht="18" customHeight="1" thickBot="1">
      <c r="A38" s="604"/>
      <c r="B38" s="581"/>
      <c r="C38" s="582"/>
      <c r="D38" s="607"/>
      <c r="E38" s="582"/>
      <c r="F38" s="582"/>
      <c r="G38" s="582"/>
      <c r="H38" s="584">
        <f>H36*(86400/3600)/1000</f>
        <v>2398.3917169351512</v>
      </c>
      <c r="I38" s="585" t="s">
        <v>1469</v>
      </c>
      <c r="J38" s="403"/>
    </row>
    <row r="39" spans="1:10" ht="18" customHeight="1" thickBot="1">
      <c r="A39" s="577"/>
      <c r="B39" s="426"/>
      <c r="C39" s="606" t="s">
        <v>822</v>
      </c>
      <c r="D39" s="582"/>
      <c r="E39" s="627"/>
      <c r="F39" s="628"/>
      <c r="G39" s="629"/>
      <c r="H39" s="584">
        <f>H37*(86400/3600)/1000</f>
        <v>2422.8663442232623</v>
      </c>
      <c r="I39" s="585" t="s">
        <v>1470</v>
      </c>
      <c r="J39" s="403"/>
    </row>
    <row r="40" spans="1:10" ht="18" customHeight="1">
      <c r="A40" s="626">
        <v>1.5</v>
      </c>
      <c r="B40" s="403"/>
      <c r="C40" s="582" t="s">
        <v>538</v>
      </c>
      <c r="D40" s="582"/>
      <c r="E40" s="630">
        <f>SCHEDULES!H4*'COOLING-TARGET'!E36</f>
        <v>41469.805440000004</v>
      </c>
      <c r="F40" s="631" t="s">
        <v>521</v>
      </c>
      <c r="G40" s="632"/>
      <c r="H40" s="624" t="s">
        <v>1485</v>
      </c>
      <c r="I40" s="636"/>
      <c r="J40" s="403"/>
    </row>
    <row r="41" spans="1:10" ht="18" customHeight="1">
      <c r="A41" s="626">
        <v>2.5</v>
      </c>
      <c r="B41" s="403"/>
      <c r="C41" s="582" t="s">
        <v>542</v>
      </c>
      <c r="D41" s="582"/>
      <c r="E41" s="633"/>
      <c r="F41" s="631" t="s">
        <v>502</v>
      </c>
      <c r="G41" s="632"/>
      <c r="H41" s="638">
        <f>H31+H36</f>
        <v>124133.38820563129</v>
      </c>
      <c r="I41" s="585" t="s">
        <v>1486</v>
      </c>
      <c r="J41" s="403"/>
    </row>
    <row r="42" spans="1:10" ht="19" customHeight="1" thickBot="1">
      <c r="A42" s="626">
        <v>2.2000000000000002</v>
      </c>
      <c r="B42" s="403"/>
      <c r="C42" s="582" t="s">
        <v>539</v>
      </c>
      <c r="D42" s="582"/>
      <c r="E42" s="634"/>
      <c r="F42" s="635" t="s">
        <v>503</v>
      </c>
      <c r="G42" s="632"/>
      <c r="H42" s="641">
        <f>H32+H37</f>
        <v>141286.76434263593</v>
      </c>
      <c r="I42" s="636" t="s">
        <v>1487</v>
      </c>
      <c r="J42" s="403"/>
    </row>
    <row r="43" spans="1:10" ht="28" customHeight="1" thickBot="1">
      <c r="A43" s="626"/>
      <c r="B43" s="403"/>
      <c r="C43" s="582"/>
      <c r="D43" s="582"/>
      <c r="E43" s="689">
        <f>REPORT!D124</f>
        <v>0.54253196378032076</v>
      </c>
      <c r="F43" s="690" t="s">
        <v>520</v>
      </c>
      <c r="G43" s="637"/>
      <c r="H43" s="712">
        <f>H36/H41</f>
        <v>0.80504519896040228</v>
      </c>
      <c r="I43" s="636" t="s">
        <v>1532</v>
      </c>
      <c r="J43" s="403"/>
    </row>
    <row r="44" spans="1:10" ht="19">
      <c r="A44" s="626">
        <f>A41*200</f>
        <v>500</v>
      </c>
      <c r="B44" s="403"/>
      <c r="C44" s="582" t="s">
        <v>540</v>
      </c>
      <c r="D44" s="751" t="str">
        <f>REPORT!D19</f>
        <v>ON</v>
      </c>
      <c r="E44" s="750" t="str">
        <f>REPORT!H19</f>
        <v>Alexandria</v>
      </c>
      <c r="F44" s="582" t="s">
        <v>528</v>
      </c>
      <c r="G44" s="582"/>
      <c r="H44" s="713">
        <f>H36/H31</f>
        <v>4.1293940680993408</v>
      </c>
      <c r="I44" s="636" t="s">
        <v>1536</v>
      </c>
      <c r="J44" s="403"/>
    </row>
    <row r="45" spans="1:10" ht="18" customHeight="1">
      <c r="A45" s="626">
        <f>A44*(E47-E48)</f>
        <v>5000</v>
      </c>
      <c r="B45" s="403"/>
      <c r="C45" s="639" t="s">
        <v>541</v>
      </c>
      <c r="D45" s="403"/>
      <c r="E45" s="640">
        <f>REPORT!D21</f>
        <v>196</v>
      </c>
      <c r="F45" s="582" t="s">
        <v>527</v>
      </c>
      <c r="G45" s="582"/>
      <c r="H45" s="711"/>
      <c r="I45" s="2377" t="s">
        <v>1533</v>
      </c>
      <c r="J45" s="403"/>
    </row>
    <row r="46" spans="1:10" ht="17" customHeight="1">
      <c r="A46" s="577"/>
      <c r="B46" s="403"/>
      <c r="C46" s="403"/>
      <c r="D46" s="403"/>
      <c r="E46" s="642">
        <f>REPORT!G101</f>
        <v>0.27834106264768871</v>
      </c>
      <c r="F46" s="582" t="s">
        <v>529</v>
      </c>
      <c r="G46" s="582"/>
      <c r="H46" s="404"/>
      <c r="I46" s="2378"/>
      <c r="J46" s="403"/>
    </row>
    <row r="47" spans="1:10" ht="18" customHeight="1">
      <c r="A47" s="577"/>
      <c r="B47" s="403"/>
      <c r="C47" s="403"/>
      <c r="D47" s="343"/>
      <c r="E47" s="640">
        <f>REPORT!D24</f>
        <v>34</v>
      </c>
      <c r="F47" s="582" t="s">
        <v>532</v>
      </c>
      <c r="G47" s="582"/>
      <c r="H47" s="378"/>
      <c r="I47" s="343"/>
      <c r="J47" s="403"/>
    </row>
    <row r="48" spans="1:10" ht="21" customHeight="1" thickBot="1">
      <c r="A48" s="613" t="s">
        <v>1490</v>
      </c>
      <c r="B48" s="426"/>
      <c r="C48" s="426"/>
      <c r="D48" s="646"/>
      <c r="E48" s="640">
        <f>REPORT!H24</f>
        <v>24</v>
      </c>
      <c r="F48" s="582" t="s">
        <v>531</v>
      </c>
      <c r="G48" s="582"/>
      <c r="H48" s="378"/>
      <c r="I48" s="343"/>
      <c r="J48" s="403"/>
    </row>
    <row r="49" spans="1:10" ht="21" customHeight="1" thickBot="1">
      <c r="A49" s="688">
        <f>A3</f>
        <v>20.43</v>
      </c>
      <c r="B49" s="682"/>
      <c r="C49" s="683" t="s">
        <v>1524</v>
      </c>
      <c r="D49" s="646"/>
      <c r="E49" s="640">
        <f>REPORT!D101</f>
        <v>2476.6199999999994</v>
      </c>
      <c r="F49" s="582" t="s">
        <v>530</v>
      </c>
      <c r="G49" s="582"/>
      <c r="H49" s="643" t="s">
        <v>1513</v>
      </c>
      <c r="I49" s="644"/>
      <c r="J49" s="403"/>
    </row>
    <row r="50" spans="1:10" ht="20" customHeight="1">
      <c r="A50" s="688">
        <f>E64</f>
        <v>15.1086005</v>
      </c>
      <c r="B50" s="682"/>
      <c r="C50" s="683" t="s">
        <v>1523</v>
      </c>
      <c r="D50" s="590"/>
      <c r="E50" s="652">
        <f>E37*E45</f>
        <v>-22357.310210425345</v>
      </c>
      <c r="F50" s="653" t="s">
        <v>535</v>
      </c>
      <c r="G50" s="653"/>
      <c r="H50" s="647"/>
      <c r="I50" s="648"/>
      <c r="J50" s="403"/>
    </row>
    <row r="51" spans="1:10" ht="20">
      <c r="A51" s="651">
        <f>A8</f>
        <v>24</v>
      </c>
      <c r="B51" s="645"/>
      <c r="C51" s="590" t="s">
        <v>517</v>
      </c>
      <c r="D51" s="585"/>
      <c r="E51" s="652">
        <f>E36*E45</f>
        <v>67734.015552000012</v>
      </c>
      <c r="F51" s="653" t="s">
        <v>536</v>
      </c>
      <c r="G51" s="653"/>
      <c r="H51" s="649">
        <f>H41/1000</f>
        <v>124.13338820563129</v>
      </c>
      <c r="I51" s="650" t="s">
        <v>1670</v>
      </c>
      <c r="J51" s="403"/>
    </row>
    <row r="52" spans="1:10" ht="20">
      <c r="A52" s="595">
        <f>REPORT!D59</f>
        <v>0.45</v>
      </c>
      <c r="B52" s="403"/>
      <c r="C52" s="585" t="s">
        <v>1481</v>
      </c>
      <c r="D52" s="585"/>
      <c r="E52" s="652">
        <f>E50-E51</f>
        <v>-90091.32576242536</v>
      </c>
      <c r="F52" s="653" t="s">
        <v>537</v>
      </c>
      <c r="G52" s="653"/>
      <c r="H52" s="654">
        <f>H51*0.2843451361</f>
        <v>35.296725163884368</v>
      </c>
      <c r="I52" s="655" t="s">
        <v>1671</v>
      </c>
      <c r="J52" s="403"/>
    </row>
    <row r="53" spans="1:10" ht="18" customHeight="1">
      <c r="A53" s="656">
        <f>H25</f>
        <v>12000</v>
      </c>
      <c r="B53" s="645"/>
      <c r="C53" s="585" t="s">
        <v>1488</v>
      </c>
      <c r="D53" s="585"/>
      <c r="E53" s="652"/>
      <c r="F53" s="403"/>
      <c r="G53" s="403"/>
      <c r="H53" s="649">
        <f>H42/1000</f>
        <v>141.28676434263593</v>
      </c>
      <c r="I53" s="650" t="s">
        <v>1672</v>
      </c>
      <c r="J53" s="403"/>
    </row>
    <row r="54" spans="1:10" ht="21" thickBot="1">
      <c r="A54" s="588">
        <f>A53/3600</f>
        <v>3.3333333333333335</v>
      </c>
      <c r="B54" s="403"/>
      <c r="C54" s="585" t="s">
        <v>1454</v>
      </c>
      <c r="D54" s="585"/>
      <c r="E54" s="652">
        <f>REPORT!M19</f>
        <v>120</v>
      </c>
      <c r="F54" s="653" t="s">
        <v>835</v>
      </c>
      <c r="G54" s="653"/>
      <c r="H54" s="654">
        <f>H53*0.2843451361</f>
        <v>40.174204236135445</v>
      </c>
      <c r="I54" s="655" t="s">
        <v>1673</v>
      </c>
      <c r="J54" s="403"/>
    </row>
    <row r="55" spans="1:10" ht="22" customHeight="1" thickBot="1">
      <c r="A55" s="657">
        <f>H26*E3*E4*(A49-H27)</f>
        <v>-14399.238000000001</v>
      </c>
      <c r="B55" s="645"/>
      <c r="C55" s="585" t="s">
        <v>1534</v>
      </c>
      <c r="D55" s="587"/>
      <c r="E55" s="659">
        <f>E52/(E54*24)</f>
        <v>-31.281710334175472</v>
      </c>
      <c r="F55" s="660" t="s">
        <v>836</v>
      </c>
      <c r="G55" s="661"/>
      <c r="H55" s="404"/>
      <c r="I55" s="403"/>
      <c r="J55" s="403"/>
    </row>
    <row r="56" spans="1:10" ht="17" customHeight="1">
      <c r="A56" s="658">
        <f>610.94 * EXP(17.625 * A50 / (A50 + 243.04))</f>
        <v>1713.9104521752652</v>
      </c>
      <c r="B56" s="645"/>
      <c r="C56" s="587" t="s">
        <v>1498</v>
      </c>
      <c r="D56" s="587"/>
      <c r="E56" s="403"/>
      <c r="F56" s="663" t="s">
        <v>1511</v>
      </c>
      <c r="G56" s="663"/>
      <c r="H56" s="404"/>
      <c r="I56" s="403"/>
      <c r="J56" s="403"/>
    </row>
    <row r="57" spans="1:10" ht="17" customHeight="1">
      <c r="A57" s="662">
        <v>0.7</v>
      </c>
      <c r="B57" s="645"/>
      <c r="C57" s="587" t="s">
        <v>1499</v>
      </c>
      <c r="D57" s="585"/>
      <c r="E57" s="403"/>
      <c r="F57" s="403"/>
      <c r="G57" s="403"/>
      <c r="H57" s="404"/>
      <c r="I57" s="403"/>
      <c r="J57" s="403"/>
    </row>
    <row r="58" spans="1:10" ht="17" customHeight="1" thickBot="1">
      <c r="A58" s="664">
        <f>A56*A57</f>
        <v>1199.7373165226854</v>
      </c>
      <c r="B58" s="403"/>
      <c r="C58" s="585" t="s">
        <v>1500</v>
      </c>
      <c r="D58" s="585"/>
      <c r="E58" s="666" t="s">
        <v>1519</v>
      </c>
      <c r="F58" s="710"/>
      <c r="G58" s="403"/>
      <c r="H58" s="404"/>
      <c r="I58" s="403"/>
      <c r="J58" s="403"/>
    </row>
    <row r="59" spans="1:10" ht="17" customHeight="1">
      <c r="A59" s="664">
        <f>610.94 * EXP(17.625 * A8 / (A8 + 243.04))</f>
        <v>2978.0711635447165</v>
      </c>
      <c r="B59" s="403"/>
      <c r="C59" s="585" t="s">
        <v>1503</v>
      </c>
      <c r="D59" s="585"/>
      <c r="E59" s="704">
        <f>A4*100</f>
        <v>55.85</v>
      </c>
      <c r="F59" s="705" t="s">
        <v>1520</v>
      </c>
      <c r="G59" s="403"/>
      <c r="H59" s="404"/>
      <c r="I59" s="403"/>
      <c r="J59" s="403"/>
    </row>
    <row r="60" spans="1:10" ht="17" customHeight="1">
      <c r="A60" s="664">
        <f>A52*A59</f>
        <v>1340.1320235951225</v>
      </c>
      <c r="B60" s="403"/>
      <c r="C60" s="585" t="s">
        <v>1504</v>
      </c>
      <c r="D60" s="585"/>
      <c r="E60" s="706">
        <f>A3</f>
        <v>20.43</v>
      </c>
      <c r="F60" s="707" t="s">
        <v>1521</v>
      </c>
      <c r="G60" s="667"/>
      <c r="H60" s="404"/>
      <c r="I60" s="403"/>
      <c r="J60" s="403"/>
    </row>
    <row r="61" spans="1:10" ht="17" customHeight="1">
      <c r="A61" s="665">
        <f>0.62198*A60/(E15-A60)</f>
        <v>8.417142358616559E-3</v>
      </c>
      <c r="B61" s="403"/>
      <c r="C61" s="585" t="s">
        <v>1505</v>
      </c>
      <c r="D61" s="587"/>
      <c r="E61" s="708"/>
      <c r="F61" s="707"/>
      <c r="G61" s="668"/>
      <c r="H61" s="404"/>
      <c r="I61" s="403"/>
      <c r="J61" s="403"/>
    </row>
    <row r="62" spans="1:10" ht="17" customHeight="1">
      <c r="A62" s="665">
        <f>0.62198*A58/(E15-A56)</f>
        <v>7.5638966020517917E-3</v>
      </c>
      <c r="B62" s="645"/>
      <c r="C62" s="587" t="s">
        <v>1501</v>
      </c>
      <c r="D62" s="587"/>
      <c r="E62" s="709"/>
      <c r="F62" s="717"/>
      <c r="G62" s="653"/>
      <c r="H62" s="404"/>
      <c r="I62" s="403"/>
      <c r="J62" s="403"/>
    </row>
    <row r="63" spans="1:10" ht="17" customHeight="1" thickBot="1">
      <c r="A63" s="665">
        <f>A62-A61</f>
        <v>-8.532457565647673E-4</v>
      </c>
      <c r="B63" s="403"/>
      <c r="C63" s="587" t="s">
        <v>1502</v>
      </c>
      <c r="D63" s="585"/>
      <c r="E63" s="684" t="s">
        <v>1576</v>
      </c>
      <c r="F63" s="426"/>
      <c r="G63" s="653"/>
      <c r="H63" s="404"/>
      <c r="I63" s="403"/>
      <c r="J63" s="403"/>
    </row>
    <row r="64" spans="1:10" ht="17" customHeight="1">
      <c r="A64" s="669">
        <f>A54*E3*E6*A63</f>
        <v>-8564.3234505028468</v>
      </c>
      <c r="B64" s="403"/>
      <c r="C64" s="585" t="s">
        <v>1506</v>
      </c>
      <c r="D64" s="585"/>
      <c r="E64" s="685">
        <f xml:space="preserve"> E60 - (E60 - (E60 - (100 - E59)/5)) * (0.1 + 0.9 * (E59 / 100))</f>
        <v>15.1086005</v>
      </c>
      <c r="F64" s="653" t="s">
        <v>1574</v>
      </c>
      <c r="G64" s="670"/>
      <c r="H64" s="404"/>
      <c r="I64" s="403"/>
      <c r="J64" s="403"/>
    </row>
    <row r="65" spans="1:10" ht="17" customHeight="1">
      <c r="A65" s="669">
        <f>A55+A64</f>
        <v>-22963.56145050285</v>
      </c>
      <c r="B65" s="403"/>
      <c r="C65" s="585" t="s">
        <v>1535</v>
      </c>
      <c r="D65" s="403"/>
      <c r="E65" s="686">
        <f xml:space="preserve"> E60 - (E60 - (E60 - (100 - E59) / 5)) * (0.3 + 0.7 * (E59 / 100))</f>
        <v>14.3289115</v>
      </c>
      <c r="F65" s="668" t="s">
        <v>1575</v>
      </c>
      <c r="G65" s="403"/>
      <c r="H65" s="404"/>
      <c r="I65" s="403"/>
      <c r="J65" s="403"/>
    </row>
    <row r="66" spans="1:10" ht="30" customHeight="1">
      <c r="A66" s="577"/>
      <c r="B66" s="403"/>
      <c r="C66" s="403"/>
      <c r="D66" s="671"/>
      <c r="E66" s="686">
        <f>AVERAGE(E64:E65)</f>
        <v>14.718755999999999</v>
      </c>
      <c r="F66" s="668" t="s">
        <v>1522</v>
      </c>
      <c r="G66" s="671"/>
      <c r="H66" s="404"/>
      <c r="I66" s="403"/>
      <c r="J66" s="403"/>
    </row>
    <row r="67" spans="1:10" ht="17" customHeight="1">
      <c r="A67" s="665"/>
      <c r="B67" s="403"/>
      <c r="C67" s="403"/>
      <c r="D67" s="672"/>
      <c r="E67" s="403"/>
      <c r="F67" s="403"/>
      <c r="G67" s="403"/>
      <c r="H67" s="404"/>
      <c r="I67" s="403"/>
      <c r="J67" s="403"/>
    </row>
    <row r="68" spans="1:10" ht="11" customHeight="1">
      <c r="A68" s="691"/>
      <c r="B68" s="692"/>
      <c r="C68" s="2376"/>
      <c r="D68" s="403"/>
      <c r="E68" s="403"/>
      <c r="F68" s="403"/>
      <c r="G68" s="403"/>
      <c r="H68" s="404"/>
      <c r="I68" s="403"/>
      <c r="J68" s="403"/>
    </row>
    <row r="69" spans="1:10" ht="33" customHeight="1">
      <c r="A69" s="693"/>
      <c r="B69" s="694"/>
      <c r="C69" s="2376"/>
      <c r="E69" s="687" t="s">
        <v>1518</v>
      </c>
      <c r="F69" s="670" t="s">
        <v>1516</v>
      </c>
      <c r="G69" s="403"/>
      <c r="H69" s="404"/>
      <c r="I69" s="403"/>
      <c r="J69" s="403"/>
    </row>
    <row r="70" spans="1:10" ht="92" customHeight="1">
      <c r="A70" s="577"/>
      <c r="B70" s="403"/>
      <c r="C70" s="714" t="s">
        <v>1558</v>
      </c>
      <c r="D70" s="577"/>
      <c r="E70" s="403"/>
      <c r="F70" s="670" t="s">
        <v>1517</v>
      </c>
      <c r="G70" s="403"/>
      <c r="H70" s="404"/>
      <c r="I70" s="403"/>
      <c r="J70" s="403"/>
    </row>
    <row r="71" spans="1:10" ht="11" customHeight="1">
      <c r="A71" s="680"/>
      <c r="B71" s="679"/>
      <c r="C71" s="681"/>
      <c r="D71" s="403"/>
      <c r="E71" s="403"/>
      <c r="F71" s="403"/>
      <c r="G71" s="403"/>
      <c r="H71" s="404"/>
      <c r="I71" s="403"/>
      <c r="J71" s="403"/>
    </row>
    <row r="72" spans="1:10" ht="266">
      <c r="A72" s="673" t="s">
        <v>519</v>
      </c>
      <c r="B72" s="674"/>
      <c r="C72" s="675" t="s">
        <v>1514</v>
      </c>
      <c r="D72" s="675"/>
      <c r="E72" s="403"/>
      <c r="F72" s="741" t="s">
        <v>1551</v>
      </c>
      <c r="G72" s="403"/>
      <c r="H72" s="404"/>
      <c r="I72" s="403"/>
      <c r="J72" s="403"/>
    </row>
    <row r="73" spans="1:10" ht="18">
      <c r="A73" s="577"/>
      <c r="B73" s="403"/>
      <c r="C73" s="403"/>
      <c r="D73" s="670"/>
      <c r="E73" s="403"/>
      <c r="F73" s="403"/>
      <c r="G73" s="403"/>
      <c r="H73" s="404"/>
      <c r="I73" s="403"/>
      <c r="J73" s="403"/>
    </row>
    <row r="74" spans="1:10" ht="18">
      <c r="A74" s="577"/>
      <c r="B74" s="403"/>
      <c r="C74" s="403"/>
      <c r="D74" s="670"/>
      <c r="E74" s="403"/>
      <c r="F74" s="403"/>
      <c r="G74" s="403"/>
      <c r="H74" s="404"/>
      <c r="I74" s="403"/>
      <c r="J74" s="403"/>
    </row>
    <row r="75" spans="1:10">
      <c r="A75" s="577"/>
      <c r="B75" s="403"/>
      <c r="C75" s="403"/>
      <c r="D75" s="403"/>
      <c r="E75" s="403"/>
      <c r="F75" s="403"/>
      <c r="G75" s="403"/>
      <c r="H75" s="404"/>
      <c r="I75" s="403"/>
      <c r="J75" s="403"/>
    </row>
  </sheetData>
  <sheetProtection algorithmName="SHA-512" hashValue="FgpDIioBaOF747mKnbMMb3y7RmqdOKjK0DPtRjFhHXz59uzNCncCiQOTugRJPCY0FHoV6IXMqXiNNPV53IdyTg==" saltValue="R4AKjkPBGfD5Q7pfeBILhg==" spinCount="100000" sheet="1" objects="1" scenarios="1"/>
  <mergeCells count="2">
    <mergeCell ref="C68:C69"/>
    <mergeCell ref="I45:I46"/>
  </mergeCells>
  <pageMargins left="0.7" right="0.7" top="0.75" bottom="0.75" header="0.3" footer="0.3"/>
  <pageSetup orientation="portrait" horizontalDpi="0" verticalDpi="0"/>
  <ignoredErrors>
    <ignoredError sqref="H53 H22" formula="1"/>
    <ignoredError sqref="H4:H7" emptyCellReference="1"/>
  </ignoredErrors>
  <extLst>
    <ext xmlns:x14="http://schemas.microsoft.com/office/spreadsheetml/2009/9/main" uri="{78C0D931-6437-407d-A8EE-F0AAD7539E65}">
      <x14:conditionalFormattings>
        <x14:conditionalFormatting xmlns:xm="http://schemas.microsoft.com/office/excel/2006/main">
          <x14:cfRule type="iconSet" priority="1" id="{7B0395B8-E4BA-844D-B386-EC23E7FE6A9B}">
            <x14:iconSet custom="1">
              <x14:cfvo type="percent">
                <xm:f>0</xm:f>
              </x14:cfvo>
              <x14:cfvo type="num">
                <xm:f>7</xm:f>
              </x14:cfvo>
              <x14:cfvo type="num" gte="0">
                <xm:f>20</xm:f>
              </x14:cfvo>
              <x14:cfIcon iconSet="3Symbols2" iconId="2"/>
              <x14:cfIcon iconSet="3Symbols2" iconId="1"/>
              <x14:cfIcon iconSet="3Symbols2" iconId="0"/>
            </x14:iconSet>
          </x14:cfRule>
          <xm:sqref>E55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8A2F-169F-D347-B31B-8E66F03346A0}">
  <sheetPr codeName="Sheet14">
    <tabColor rgb="FF0432FF"/>
  </sheetPr>
  <dimension ref="A1:S75"/>
  <sheetViews>
    <sheetView zoomScale="80" zoomScaleNormal="80" workbookViewId="0">
      <selection activeCell="A3" sqref="A3"/>
    </sheetView>
  </sheetViews>
  <sheetFormatPr baseColWidth="10" defaultRowHeight="11"/>
  <cols>
    <col min="1" max="1" width="34.75" style="156" customWidth="1"/>
    <col min="2" max="2" width="4" customWidth="1"/>
    <col min="3" max="3" width="140.75" customWidth="1"/>
    <col min="4" max="4" width="14" customWidth="1"/>
    <col min="5" max="5" width="22.75" customWidth="1"/>
    <col min="6" max="6" width="119.75" customWidth="1"/>
    <col min="7" max="7" width="10.25" customWidth="1"/>
    <col min="8" max="8" width="21" style="379" customWidth="1"/>
    <col min="9" max="9" width="142.5" customWidth="1"/>
    <col min="11" max="11" width="38.75" customWidth="1"/>
    <col min="15" max="15" width="8.25" customWidth="1"/>
    <col min="16" max="16" width="4.25" hidden="1" customWidth="1"/>
    <col min="17" max="17" width="10.75" hidden="1" customWidth="1"/>
    <col min="18" max="18" width="27.5" customWidth="1"/>
  </cols>
  <sheetData>
    <row r="1" spans="1:19" ht="16" customHeight="1">
      <c r="A1" s="577"/>
      <c r="B1" s="403"/>
      <c r="C1" s="403"/>
      <c r="D1" s="403"/>
      <c r="E1" s="403"/>
      <c r="F1" s="403"/>
      <c r="G1" s="403"/>
      <c r="H1" s="404"/>
      <c r="I1" s="403"/>
      <c r="J1" s="403"/>
    </row>
    <row r="2" spans="1:19" s="576" customFormat="1" ht="38" customHeight="1" thickBot="1">
      <c r="A2" s="578" t="s">
        <v>1515</v>
      </c>
      <c r="B2" s="578"/>
      <c r="C2" s="578"/>
      <c r="D2" s="579"/>
      <c r="E2" s="578" t="s">
        <v>505</v>
      </c>
      <c r="F2" s="578"/>
      <c r="G2" s="579"/>
      <c r="H2" s="578" t="s">
        <v>1446</v>
      </c>
      <c r="I2" s="578"/>
      <c r="J2" s="580"/>
    </row>
    <row r="3" spans="1:19" ht="21" customHeight="1" thickTop="1">
      <c r="A3" s="676">
        <v>20.43</v>
      </c>
      <c r="B3" s="677" t="s">
        <v>444</v>
      </c>
      <c r="C3" s="695" t="s">
        <v>1557</v>
      </c>
      <c r="D3" s="582"/>
      <c r="E3" s="583">
        <v>1.204</v>
      </c>
      <c r="F3" s="582" t="s">
        <v>438</v>
      </c>
      <c r="G3" s="582"/>
      <c r="H3" s="584" t="str">
        <f>E44</f>
        <v>Alexandria</v>
      </c>
      <c r="I3" s="585" t="s">
        <v>1451</v>
      </c>
      <c r="J3" s="403"/>
      <c r="Q3" s="5"/>
      <c r="R3" s="5" t="s">
        <v>430</v>
      </c>
      <c r="S3" s="5"/>
    </row>
    <row r="4" spans="1:19" ht="19">
      <c r="A4" s="753">
        <v>0.5585</v>
      </c>
      <c r="B4" s="581" t="s">
        <v>444</v>
      </c>
      <c r="C4" s="697" t="s">
        <v>1529</v>
      </c>
      <c r="D4" s="587"/>
      <c r="E4" s="583">
        <v>1005</v>
      </c>
      <c r="F4" s="585" t="s">
        <v>439</v>
      </c>
      <c r="G4" s="585"/>
      <c r="H4" s="588" cm="1">
        <f t="array" ref="H4">IFERROR(_xlfn.XLOOKUP(REPORT!H$19,_xlfn._xlws.FILTER(CANADA!A$6:A$699,CANADA!A$6:A$699=REPORT!H$19),_xlfn._xlws.FILTER(CANADA!E$6:E$699,CANADA!A$6:A$699=REPORT!H$19)),"City Not Found")</f>
        <v>30</v>
      </c>
      <c r="I4" s="585" t="s">
        <v>1447</v>
      </c>
      <c r="J4" s="403"/>
      <c r="Q4" s="5">
        <v>1.2</v>
      </c>
      <c r="R4" s="5" t="s">
        <v>435</v>
      </c>
      <c r="S4" s="5" t="s">
        <v>432</v>
      </c>
    </row>
    <row r="5" spans="1:19" ht="19">
      <c r="A5" s="577"/>
      <c r="B5" s="403"/>
      <c r="C5" s="403"/>
      <c r="D5" s="587"/>
      <c r="E5" s="588">
        <f>A9*E3</f>
        <v>9632</v>
      </c>
      <c r="F5" s="582" t="s">
        <v>440</v>
      </c>
      <c r="G5" s="585"/>
      <c r="H5" s="588" cm="1">
        <f t="array" ref="H5">IFERROR(_xlfn.XLOOKUP(REPORT!H$19,_xlfn._xlws.FILTER(CANADA!A$6:A$699,CANADA!A$6:A$699=REPORT!H$19),_xlfn._xlws.FILTER(CANADA!F$6:F$699,CANADA!A$6:A$699=REPORT!H$19)),"City Not Found")</f>
        <v>23</v>
      </c>
      <c r="I5" s="585" t="s">
        <v>1448</v>
      </c>
      <c r="J5" s="403"/>
      <c r="Q5" s="5"/>
      <c r="R5" s="5"/>
      <c r="S5" s="5"/>
    </row>
    <row r="6" spans="1:19" ht="26">
      <c r="A6" s="678">
        <f>1+A64/A55</f>
        <v>2.349211096590929</v>
      </c>
      <c r="B6" s="679"/>
      <c r="C6" s="681" t="s">
        <v>1526</v>
      </c>
      <c r="D6" s="590"/>
      <c r="E6" s="592">
        <v>2501000</v>
      </c>
      <c r="F6" s="585" t="s">
        <v>1445</v>
      </c>
      <c r="G6" s="582"/>
      <c r="H6" s="588" cm="1">
        <f t="array" ref="H6">IFERROR(_xlfn.XLOOKUP(REPORT!H$19,_xlfn._xlws.FILTER(CANADA!A$6:A$699,CANADA!A$6:A$699=REPORT!H$19),_xlfn._xlws.FILTER(CANADA!G$6:G$699,CANADA!A$6:A$699=REPORT!H$19)),"City Not Found")</f>
        <v>34</v>
      </c>
      <c r="I6" s="585" t="s">
        <v>1450</v>
      </c>
      <c r="J6" s="403"/>
      <c r="Q6" s="5"/>
      <c r="R6" s="5"/>
      <c r="S6" s="5"/>
    </row>
    <row r="7" spans="1:19" ht="19">
      <c r="A7" s="586">
        <v>10</v>
      </c>
      <c r="B7" s="581" t="s">
        <v>444</v>
      </c>
      <c r="C7" s="587" t="s">
        <v>506</v>
      </c>
      <c r="D7" s="582"/>
      <c r="E7" s="589">
        <f>A8</f>
        <v>26</v>
      </c>
      <c r="F7" s="590" t="s">
        <v>516</v>
      </c>
      <c r="G7" s="585"/>
      <c r="H7" s="588" cm="1">
        <f t="array" ref="H7">IFERROR(_xlfn.XLOOKUP(REPORT!H$19,_xlfn._xlws.FILTER(CANADA!A$6:A$699,CANADA!A$6:A$699=REPORT!H$19),_xlfn._xlws.FILTER(CANADA!H$6:H$699,CANADA!A$6:A$699=REPORT!H$19)),"City Not Found")</f>
        <v>26</v>
      </c>
      <c r="I7" s="585" t="s">
        <v>1449</v>
      </c>
      <c r="J7" s="403"/>
      <c r="Q7" s="5"/>
      <c r="R7" s="5"/>
      <c r="S7" s="5"/>
    </row>
    <row r="8" spans="1:19" ht="19">
      <c r="A8" s="589">
        <f>REFERENCE!H24</f>
        <v>26</v>
      </c>
      <c r="B8" s="581" t="s">
        <v>1525</v>
      </c>
      <c r="C8" s="590" t="s">
        <v>1497</v>
      </c>
      <c r="D8" s="582"/>
      <c r="E8" s="583">
        <f>A13*A21</f>
        <v>340781441252.55237</v>
      </c>
      <c r="F8" s="582" t="s">
        <v>460</v>
      </c>
      <c r="G8" s="590"/>
      <c r="H8" s="588">
        <f>E54</f>
        <v>120</v>
      </c>
      <c r="I8" s="585" t="s">
        <v>1455</v>
      </c>
      <c r="J8" s="403"/>
      <c r="Q8" s="5"/>
      <c r="R8" s="5"/>
      <c r="S8" s="5"/>
    </row>
    <row r="9" spans="1:19" ht="19">
      <c r="A9" s="588">
        <f>REPORT!D105</f>
        <v>8000</v>
      </c>
      <c r="B9" s="696" t="s">
        <v>1525</v>
      </c>
      <c r="C9" s="582" t="s">
        <v>455</v>
      </c>
      <c r="D9" s="582"/>
      <c r="E9" s="593">
        <f>E8/(E5*E4)</f>
        <v>35204.112458115604</v>
      </c>
      <c r="F9" s="587" t="s">
        <v>452</v>
      </c>
      <c r="G9" s="582"/>
      <c r="H9" s="588">
        <f>H8*0.025</f>
        <v>3</v>
      </c>
      <c r="I9" s="585" t="s">
        <v>1456</v>
      </c>
      <c r="J9" s="403"/>
      <c r="Q9" s="5"/>
      <c r="R9" s="5"/>
      <c r="S9" s="5"/>
    </row>
    <row r="10" spans="1:19" ht="19">
      <c r="A10" s="588">
        <f>REPORT!D101</f>
        <v>2476.6199999999994</v>
      </c>
      <c r="B10" s="696" t="s">
        <v>1525</v>
      </c>
      <c r="C10" s="582" t="s">
        <v>507</v>
      </c>
      <c r="D10" s="582"/>
      <c r="E10" s="593">
        <f>A8+E9</f>
        <v>35230.112458115604</v>
      </c>
      <c r="F10" s="587" t="s">
        <v>453</v>
      </c>
      <c r="G10" s="587"/>
      <c r="H10" s="588">
        <f>REPORT!D21</f>
        <v>196</v>
      </c>
      <c r="I10" s="585" t="s">
        <v>1468</v>
      </c>
      <c r="J10" s="403"/>
      <c r="Q10" s="5">
        <v>1</v>
      </c>
      <c r="R10" s="5" t="s">
        <v>1</v>
      </c>
      <c r="S10" s="5" t="s">
        <v>431</v>
      </c>
    </row>
    <row r="11" spans="1:19" ht="19">
      <c r="A11" s="588">
        <f>REPORT!D102</f>
        <v>1100.42</v>
      </c>
      <c r="B11" s="696" t="s">
        <v>1525</v>
      </c>
      <c r="C11" s="582" t="s">
        <v>508</v>
      </c>
      <c r="D11" s="582"/>
      <c r="E11" s="588">
        <f>610.94 * EXP(17.625 * H5 / (H5 + 243.04))</f>
        <v>2803.8136482807117</v>
      </c>
      <c r="F11" s="587" t="s">
        <v>1474</v>
      </c>
      <c r="G11" s="587"/>
      <c r="H11" s="595">
        <f>REPORT!D59</f>
        <v>0.45</v>
      </c>
      <c r="I11" s="585" t="s">
        <v>1481</v>
      </c>
      <c r="J11" s="403"/>
      <c r="Q11" s="5"/>
      <c r="R11" s="5"/>
      <c r="S11" s="5"/>
    </row>
    <row r="12" spans="1:19" ht="19">
      <c r="A12" s="588">
        <f>A10+A11</f>
        <v>3577.0399999999995</v>
      </c>
      <c r="B12" s="696" t="s">
        <v>1525</v>
      </c>
      <c r="C12" s="582" t="s">
        <v>509</v>
      </c>
      <c r="D12" s="582"/>
      <c r="E12" s="588">
        <f>610.94 * EXP(17.625 * H7 / (H7 + 243.04))</f>
        <v>3355.2349528281752</v>
      </c>
      <c r="F12" s="587" t="s">
        <v>1473</v>
      </c>
      <c r="G12" s="587"/>
      <c r="H12" s="588">
        <f>REPORT!D129</f>
        <v>76437.534022957116</v>
      </c>
      <c r="I12" s="585" t="s">
        <v>1452</v>
      </c>
      <c r="J12" s="403"/>
      <c r="Q12" s="5"/>
      <c r="R12" s="5"/>
      <c r="S12" s="5"/>
    </row>
    <row r="13" spans="1:19" ht="19">
      <c r="A13" s="594">
        <f>E37</f>
        <v>-307.67110923686403</v>
      </c>
      <c r="B13" s="696" t="s">
        <v>1525</v>
      </c>
      <c r="C13" s="582" t="s">
        <v>534</v>
      </c>
      <c r="D13" s="582"/>
      <c r="E13" s="597">
        <v>101325</v>
      </c>
      <c r="F13" s="587" t="s">
        <v>1492</v>
      </c>
      <c r="G13" s="587"/>
      <c r="H13" s="588">
        <f>H12/120</f>
        <v>636.9794501913093</v>
      </c>
      <c r="I13" s="585" t="s">
        <v>1457</v>
      </c>
      <c r="J13" s="403"/>
      <c r="Q13" s="5"/>
      <c r="R13" s="5"/>
      <c r="S13" s="5"/>
    </row>
    <row r="14" spans="1:19" ht="19">
      <c r="A14" s="596">
        <f>REPORT!G101</f>
        <v>0.27834106264768871</v>
      </c>
      <c r="B14" s="696" t="s">
        <v>1525</v>
      </c>
      <c r="C14" s="582" t="s">
        <v>510</v>
      </c>
      <c r="D14" s="582"/>
      <c r="E14" s="588">
        <f>IFERROR(VLOOKUP(E44,CANADA!A6:B699,2,FALSE),"City Not Found")</f>
        <v>80</v>
      </c>
      <c r="F14" s="587" t="s">
        <v>1510</v>
      </c>
      <c r="G14" s="587"/>
      <c r="H14" s="588">
        <f>H13*1.5</f>
        <v>955.46917528696395</v>
      </c>
      <c r="I14" s="585" t="s">
        <v>1459</v>
      </c>
      <c r="J14" s="403"/>
      <c r="Q14" s="5"/>
      <c r="R14" s="5"/>
      <c r="S14" s="5"/>
    </row>
    <row r="15" spans="1:19" ht="19" customHeight="1">
      <c r="A15" s="596">
        <f>REPORT!G102</f>
        <v>0.32432432432432429</v>
      </c>
      <c r="B15" s="696" t="s">
        <v>1525</v>
      </c>
      <c r="C15" s="582" t="s">
        <v>511</v>
      </c>
      <c r="D15" s="582"/>
      <c r="E15" s="598">
        <f>E13*EXP(-E14/8434)</f>
        <v>100368.43409126908</v>
      </c>
      <c r="F15" s="587" t="s">
        <v>1491</v>
      </c>
      <c r="G15" s="587"/>
      <c r="H15" s="588">
        <f>H14/24</f>
        <v>39.811215636956831</v>
      </c>
      <c r="I15" s="585" t="s">
        <v>1458</v>
      </c>
      <c r="J15" s="403"/>
      <c r="Q15" s="5">
        <v>1005</v>
      </c>
      <c r="R15" s="5" t="s">
        <v>436</v>
      </c>
    </row>
    <row r="16" spans="1:19" ht="19">
      <c r="A16" s="588">
        <f>A8-A3</f>
        <v>5.57</v>
      </c>
      <c r="B16" s="696" t="s">
        <v>1525</v>
      </c>
      <c r="C16" s="582" t="s">
        <v>512</v>
      </c>
      <c r="D16" s="582"/>
      <c r="E16" s="588">
        <f>E11*1</f>
        <v>2803.8136482807117</v>
      </c>
      <c r="F16" s="587" t="s">
        <v>1471</v>
      </c>
      <c r="G16" s="587"/>
      <c r="H16" s="588">
        <f>(H26*E3*E4*(H27-H5))/1000</f>
        <v>4.0334000000000003</v>
      </c>
      <c r="I16" s="585" t="s">
        <v>1460</v>
      </c>
      <c r="J16" s="403"/>
      <c r="Q16" s="5"/>
      <c r="R16" s="5"/>
    </row>
    <row r="17" spans="1:19" ht="19">
      <c r="A17" s="588">
        <f>A8-A7</f>
        <v>16</v>
      </c>
      <c r="B17" s="696" t="s">
        <v>1525</v>
      </c>
      <c r="C17" s="582" t="s">
        <v>513</v>
      </c>
      <c r="D17" s="582"/>
      <c r="E17" s="596">
        <f>0.62198*E16/(E15-E11)</f>
        <v>1.7874471350777098E-2</v>
      </c>
      <c r="F17" s="587" t="s">
        <v>1477</v>
      </c>
      <c r="G17" s="587"/>
      <c r="H17" s="588">
        <f>(H26*E3*E4*(H27-H7))/1000</f>
        <v>-8.0668000000000006</v>
      </c>
      <c r="I17" s="585" t="s">
        <v>1461</v>
      </c>
      <c r="J17" s="403"/>
      <c r="Q17" s="5">
        <v>25</v>
      </c>
      <c r="R17" s="155">
        <f>Q17+R20</f>
        <v>25.829187396351575</v>
      </c>
      <c r="S17" s="5" t="s">
        <v>433</v>
      </c>
    </row>
    <row r="18" spans="1:19" ht="19">
      <c r="A18" s="583">
        <f>A14*A10*A16</f>
        <v>3839.651887140069</v>
      </c>
      <c r="B18" s="581" t="s">
        <v>444</v>
      </c>
      <c r="C18" s="582" t="s">
        <v>514</v>
      </c>
      <c r="D18" s="582"/>
      <c r="E18" s="596">
        <f>0.62198*E16/(E15-E12)</f>
        <v>1.7976069529147407E-2</v>
      </c>
      <c r="F18" s="587" t="s">
        <v>1478</v>
      </c>
      <c r="G18" s="587"/>
      <c r="H18" s="404"/>
      <c r="I18" s="403"/>
      <c r="J18" s="403"/>
      <c r="Q18" s="5"/>
      <c r="R18" s="155"/>
      <c r="S18" s="5"/>
    </row>
    <row r="19" spans="1:19" ht="19">
      <c r="A19" s="583">
        <f>A15*A11*A17</f>
        <v>5710.2875675675668</v>
      </c>
      <c r="B19" s="581" t="s">
        <v>444</v>
      </c>
      <c r="C19" s="582" t="s">
        <v>515</v>
      </c>
      <c r="D19" s="582"/>
      <c r="E19" s="588">
        <f>610.94 * EXP(17.625 * A8 / (H5 + 243.04))</f>
        <v>3420.3018802062379</v>
      </c>
      <c r="F19" s="587" t="s">
        <v>1475</v>
      </c>
      <c r="G19" s="587"/>
      <c r="H19" s="601" t="s">
        <v>1484</v>
      </c>
      <c r="I19" s="403"/>
      <c r="J19" s="403"/>
      <c r="Q19" s="5"/>
      <c r="R19" s="155"/>
      <c r="S19" s="5"/>
    </row>
    <row r="20" spans="1:19" ht="19">
      <c r="A20" s="583">
        <f>((A10/A12)*A18)+(A11/A12*A19)</f>
        <v>4415.1234824971316</v>
      </c>
      <c r="B20" s="581" t="s">
        <v>444</v>
      </c>
      <c r="C20" s="582" t="s">
        <v>818</v>
      </c>
      <c r="D20" s="582"/>
      <c r="E20" s="588">
        <f>610.94 * EXP(17.625 * A8 / (H7 + 243.04))</f>
        <v>3355.2349528281752</v>
      </c>
      <c r="F20" s="587" t="s">
        <v>1476</v>
      </c>
      <c r="G20" s="587"/>
      <c r="H20" s="584">
        <f>H15-H16</f>
        <v>35.777815636956831</v>
      </c>
      <c r="I20" s="585" t="s">
        <v>1462</v>
      </c>
      <c r="J20" s="403"/>
      <c r="Q20" s="5">
        <v>1000</v>
      </c>
      <c r="R20" s="5">
        <f>Q20/(Q4*Q15)</f>
        <v>0.82918739635157546</v>
      </c>
      <c r="S20" s="5" t="s">
        <v>437</v>
      </c>
    </row>
    <row r="21" spans="1:19" ht="19" customHeight="1">
      <c r="A21" s="599">
        <f>A13*(3.6*10^6)</f>
        <v>-1107615993.2527106</v>
      </c>
      <c r="B21" s="581" t="s">
        <v>444</v>
      </c>
      <c r="C21" s="582" t="s">
        <v>434</v>
      </c>
      <c r="D21" s="582"/>
      <c r="E21" s="588">
        <f>E11*H11</f>
        <v>1261.7161417263203</v>
      </c>
      <c r="F21" s="587" t="s">
        <v>1471</v>
      </c>
      <c r="G21" s="587"/>
      <c r="H21" s="584">
        <f>H20*0.2843451361</f>
        <v>10.173247856651198</v>
      </c>
      <c r="I21" s="585" t="s">
        <v>1465</v>
      </c>
      <c r="J21" s="403"/>
      <c r="Q21" s="5">
        <f>Q20*3.6*10^6</f>
        <v>3600000000</v>
      </c>
      <c r="R21" s="5"/>
      <c r="S21" s="5" t="s">
        <v>434</v>
      </c>
    </row>
    <row r="22" spans="1:19" ht="19" customHeight="1">
      <c r="A22" s="600">
        <f>(A21/A20)</f>
        <v>-250868.63315230736</v>
      </c>
      <c r="B22" s="581" t="s">
        <v>444</v>
      </c>
      <c r="C22" s="582" t="s">
        <v>820</v>
      </c>
      <c r="D22" s="582"/>
      <c r="E22" s="596">
        <f>0.62198*E21/(E15-E21)</f>
        <v>7.9183553049398236E-3</v>
      </c>
      <c r="F22" s="587" t="s">
        <v>1472</v>
      </c>
      <c r="G22" s="587"/>
      <c r="H22" s="584">
        <f>H15-H17</f>
        <v>47.878015636956832</v>
      </c>
      <c r="I22" s="585" t="s">
        <v>1463</v>
      </c>
      <c r="J22" s="403"/>
    </row>
    <row r="23" spans="1:19" ht="19" customHeight="1">
      <c r="A23" s="602">
        <f>A22/3600</f>
        <v>-69.685731431196487</v>
      </c>
      <c r="B23" s="581" t="s">
        <v>444</v>
      </c>
      <c r="C23" s="582" t="s">
        <v>441</v>
      </c>
      <c r="D23" s="582"/>
      <c r="E23" s="596">
        <f>E17-E22</f>
        <v>9.9561160458372742E-3</v>
      </c>
      <c r="F23" s="587" t="s">
        <v>1479</v>
      </c>
      <c r="G23" s="587"/>
      <c r="H23" s="584">
        <f>H22*0.2843451361</f>
        <v>13.613880872488419</v>
      </c>
      <c r="I23" s="585" t="s">
        <v>1464</v>
      </c>
      <c r="J23" s="403"/>
    </row>
    <row r="24" spans="1:19" ht="19" customHeight="1">
      <c r="A24" s="603">
        <f>A23/24</f>
        <v>-2.9035721429665204</v>
      </c>
      <c r="B24" s="581" t="s">
        <v>444</v>
      </c>
      <c r="C24" s="582" t="s">
        <v>442</v>
      </c>
      <c r="D24" s="582"/>
      <c r="E24" s="596">
        <f>E18-E22</f>
        <v>1.0057714224207584E-2</v>
      </c>
      <c r="F24" s="587" t="s">
        <v>1480</v>
      </c>
      <c r="G24" s="587"/>
      <c r="H24" s="404"/>
      <c r="I24" s="403"/>
      <c r="J24" s="403"/>
    </row>
    <row r="25" spans="1:19" ht="19" customHeight="1">
      <c r="A25" s="604">
        <f>A13*(A24-1)</f>
        <v>1201.0163712126316</v>
      </c>
      <c r="B25" s="581" t="s">
        <v>444</v>
      </c>
      <c r="C25" s="582" t="s">
        <v>819</v>
      </c>
      <c r="D25" s="582"/>
      <c r="E25" s="608">
        <f>E10-E9</f>
        <v>26</v>
      </c>
      <c r="F25" s="582" t="s">
        <v>518</v>
      </c>
      <c r="G25" s="587"/>
      <c r="H25" s="588">
        <f>REPORT!H120</f>
        <v>12000</v>
      </c>
      <c r="I25" s="585" t="s">
        <v>1488</v>
      </c>
      <c r="J25" s="403"/>
    </row>
    <row r="26" spans="1:19" ht="18" customHeight="1">
      <c r="A26" s="583"/>
      <c r="B26" s="591"/>
      <c r="C26" s="582"/>
      <c r="D26" s="607"/>
      <c r="E26" s="403"/>
      <c r="F26" s="403"/>
      <c r="G26" s="403"/>
      <c r="H26" s="588">
        <f>H25/3600</f>
        <v>3.3333333333333335</v>
      </c>
      <c r="I26" s="585" t="s">
        <v>1454</v>
      </c>
      <c r="J26" s="403"/>
    </row>
    <row r="27" spans="1:19" ht="18" customHeight="1" thickBot="1">
      <c r="A27" s="583"/>
      <c r="B27" s="605"/>
      <c r="C27" s="606" t="s">
        <v>456</v>
      </c>
      <c r="D27" s="582"/>
      <c r="E27" s="403"/>
      <c r="F27" s="403"/>
      <c r="G27" s="582"/>
      <c r="H27" s="588">
        <f>REPORT!H24</f>
        <v>24</v>
      </c>
      <c r="I27" s="585" t="s">
        <v>1453</v>
      </c>
      <c r="J27" s="403"/>
    </row>
    <row r="28" spans="1:19" ht="18" customHeight="1">
      <c r="A28" s="596">
        <f>IF(REPORT!L119="None", REPORT!D120, REPORT!D120*REPORT!L119)</f>
        <v>3333.333333333333</v>
      </c>
      <c r="B28" s="581" t="s">
        <v>444</v>
      </c>
      <c r="C28" s="582" t="s">
        <v>457</v>
      </c>
      <c r="D28" s="582"/>
      <c r="E28" s="403"/>
      <c r="F28" s="403"/>
      <c r="G28" s="403"/>
      <c r="H28" s="404"/>
      <c r="I28" s="403"/>
      <c r="J28" s="403"/>
    </row>
    <row r="29" spans="1:19" ht="18" customHeight="1" thickBot="1">
      <c r="A29" s="609">
        <f>A28/1000</f>
        <v>3.333333333333333</v>
      </c>
      <c r="B29" s="581" t="s">
        <v>444</v>
      </c>
      <c r="C29" s="582" t="s">
        <v>525</v>
      </c>
      <c r="D29" s="582"/>
      <c r="E29" s="583" t="s">
        <v>450</v>
      </c>
      <c r="F29" s="610" t="s">
        <v>1778</v>
      </c>
      <c r="G29" s="610"/>
      <c r="H29" s="613" t="s">
        <v>1512</v>
      </c>
      <c r="I29" s="426"/>
      <c r="J29" s="403"/>
    </row>
    <row r="30" spans="1:19" ht="18" customHeight="1">
      <c r="A30" s="609">
        <f>A29*E3</f>
        <v>4.0133333333333328</v>
      </c>
      <c r="B30" s="581" t="s">
        <v>444</v>
      </c>
      <c r="C30" s="582" t="s">
        <v>458</v>
      </c>
      <c r="D30" s="611"/>
      <c r="E30" s="583">
        <f>SCHEDULES!G4</f>
        <v>177.24938313599998</v>
      </c>
      <c r="F30" s="582" t="s">
        <v>445</v>
      </c>
      <c r="G30" s="582"/>
      <c r="H30" s="615" t="s">
        <v>1482</v>
      </c>
      <c r="I30" s="616"/>
      <c r="J30" s="403"/>
    </row>
    <row r="31" spans="1:19" ht="18" customHeight="1">
      <c r="A31" s="596">
        <f>A30*E4*A16</f>
        <v>22466.038</v>
      </c>
      <c r="B31" s="581" t="s">
        <v>444</v>
      </c>
      <c r="C31" s="611" t="s">
        <v>461</v>
      </c>
      <c r="D31" s="582"/>
      <c r="E31" s="583">
        <f>REPORT!D65*SCHEDULES!D4*REPORT!H15</f>
        <v>119884.8</v>
      </c>
      <c r="F31" s="582" t="s">
        <v>446</v>
      </c>
      <c r="G31" s="582"/>
      <c r="H31" s="584">
        <f>H26*E3*E4*(H4-H27)</f>
        <v>24200.400000000001</v>
      </c>
      <c r="I31" s="585" t="s">
        <v>1493</v>
      </c>
      <c r="J31" s="403"/>
    </row>
    <row r="32" spans="1:19" ht="18" customHeight="1">
      <c r="A32" s="612">
        <f>A31*86400</f>
        <v>1941065683.2</v>
      </c>
      <c r="B32" s="581" t="s">
        <v>444</v>
      </c>
      <c r="C32" s="582" t="s">
        <v>459</v>
      </c>
      <c r="D32" s="582"/>
      <c r="E32" s="583">
        <f>REPORT!D66*REPORT!H15*SCHEDULES!D4</f>
        <v>25689.600000000002</v>
      </c>
      <c r="F32" s="582" t="s">
        <v>447</v>
      </c>
      <c r="G32" s="582"/>
      <c r="H32" s="584">
        <f>H26*E3*E4*(H6-H27)</f>
        <v>40334</v>
      </c>
      <c r="I32" s="585" t="s">
        <v>1494</v>
      </c>
      <c r="J32" s="403"/>
    </row>
    <row r="33" spans="1:10" ht="18" customHeight="1">
      <c r="A33" s="614">
        <f>A32/3600000</f>
        <v>539.18491200000005</v>
      </c>
      <c r="B33" s="581" t="s">
        <v>444</v>
      </c>
      <c r="C33" s="582" t="s">
        <v>821</v>
      </c>
      <c r="D33" s="582"/>
      <c r="E33" s="583">
        <f>REPORT!D67*REPORT!H15*SCHEDULES!D4</f>
        <v>85632</v>
      </c>
      <c r="F33" s="582" t="s">
        <v>448</v>
      </c>
      <c r="G33" s="582"/>
      <c r="H33" s="584">
        <f>H31*(86400/3600)/1000</f>
        <v>580.80960000000005</v>
      </c>
      <c r="I33" s="585" t="s">
        <v>1466</v>
      </c>
      <c r="J33" s="403"/>
    </row>
    <row r="34" spans="1:10" ht="18" customHeight="1">
      <c r="A34" s="596"/>
      <c r="B34" s="591"/>
      <c r="C34" s="582"/>
      <c r="D34" s="618"/>
      <c r="E34" s="619">
        <f>REPORT!K79</f>
        <v>130.15337999999997</v>
      </c>
      <c r="F34" s="620" t="s">
        <v>449</v>
      </c>
      <c r="G34" s="620"/>
      <c r="H34" s="584">
        <f>H32*86400/3600/1000</f>
        <v>968.01599999999996</v>
      </c>
      <c r="I34" s="585" t="s">
        <v>1467</v>
      </c>
      <c r="J34" s="403"/>
    </row>
    <row r="35" spans="1:10" ht="18" customHeight="1">
      <c r="A35" s="617">
        <f>A13*0.2843451361</f>
        <v>-87.484783429994067</v>
      </c>
      <c r="B35" s="581" t="s">
        <v>444</v>
      </c>
      <c r="C35" s="618" t="s">
        <v>451</v>
      </c>
      <c r="D35" s="582"/>
      <c r="E35" s="584">
        <f>SUM(E30:E34)/1000</f>
        <v>231.51380276313603</v>
      </c>
      <c r="F35" s="620" t="s">
        <v>522</v>
      </c>
      <c r="G35" s="620"/>
      <c r="H35" s="624" t="s">
        <v>1483</v>
      </c>
      <c r="I35" s="625"/>
      <c r="J35" s="403"/>
    </row>
    <row r="36" spans="1:10" ht="18" customHeight="1">
      <c r="A36" s="621">
        <f>A35/SCHEDULES!H4</f>
        <v>-0.72903986191661718</v>
      </c>
      <c r="B36" s="581" t="s">
        <v>444</v>
      </c>
      <c r="C36" s="582" t="s">
        <v>454</v>
      </c>
      <c r="D36" s="582"/>
      <c r="E36" s="622">
        <f>A33</f>
        <v>539.18491200000005</v>
      </c>
      <c r="F36" s="620" t="s">
        <v>523</v>
      </c>
      <c r="G36" s="620"/>
      <c r="H36" s="584">
        <f>H26*E3*E6*(E23)</f>
        <v>99932.988205631293</v>
      </c>
      <c r="I36" s="585" t="s">
        <v>1495</v>
      </c>
      <c r="J36" s="403"/>
    </row>
    <row r="37" spans="1:10" ht="18" customHeight="1">
      <c r="A37" s="604">
        <f>REPORT!M129</f>
        <v>8038.670098583887</v>
      </c>
      <c r="B37" s="581" t="s">
        <v>444</v>
      </c>
      <c r="C37" s="582" t="s">
        <v>443</v>
      </c>
      <c r="D37" s="582"/>
      <c r="E37" s="623">
        <f>E35-E36</f>
        <v>-307.67110923686403</v>
      </c>
      <c r="F37" s="587" t="s">
        <v>533</v>
      </c>
      <c r="G37" s="587"/>
      <c r="H37" s="584">
        <f>H26*E3*E6*(E24)</f>
        <v>100952.76434263593</v>
      </c>
      <c r="I37" s="585" t="s">
        <v>1496</v>
      </c>
      <c r="J37" s="403"/>
    </row>
    <row r="38" spans="1:10" ht="18" customHeight="1" thickBot="1">
      <c r="A38" s="604"/>
      <c r="B38" s="581"/>
      <c r="C38" s="582"/>
      <c r="D38" s="607"/>
      <c r="E38" s="582"/>
      <c r="F38" s="582"/>
      <c r="G38" s="582"/>
      <c r="H38" s="584">
        <f>H36*(86400/3600)/1000</f>
        <v>2398.3917169351512</v>
      </c>
      <c r="I38" s="585" t="s">
        <v>1469</v>
      </c>
      <c r="J38" s="403"/>
    </row>
    <row r="39" spans="1:10" ht="18" customHeight="1" thickBot="1">
      <c r="A39" s="577"/>
      <c r="B39" s="426"/>
      <c r="C39" s="606" t="s">
        <v>822</v>
      </c>
      <c r="D39" s="582"/>
      <c r="E39" s="627"/>
      <c r="F39" s="628"/>
      <c r="G39" s="629"/>
      <c r="H39" s="584">
        <f>H37*(86400/3600)/1000</f>
        <v>2422.8663442232623</v>
      </c>
      <c r="I39" s="585" t="s">
        <v>1470</v>
      </c>
      <c r="J39" s="403"/>
    </row>
    <row r="40" spans="1:10" ht="18" customHeight="1">
      <c r="A40" s="626">
        <v>1.5</v>
      </c>
      <c r="B40" s="403"/>
      <c r="C40" s="582" t="s">
        <v>538</v>
      </c>
      <c r="D40" s="582"/>
      <c r="E40" s="630">
        <f>SCHEDULES!H4*'COOLING-REFERENCE'!E36</f>
        <v>64702.189440000009</v>
      </c>
      <c r="F40" s="631" t="s">
        <v>521</v>
      </c>
      <c r="G40" s="632"/>
      <c r="H40" s="624" t="s">
        <v>1485</v>
      </c>
      <c r="I40" s="636"/>
      <c r="J40" s="403"/>
    </row>
    <row r="41" spans="1:10" ht="18" customHeight="1">
      <c r="A41" s="626">
        <v>2.5</v>
      </c>
      <c r="B41" s="403"/>
      <c r="C41" s="582" t="s">
        <v>542</v>
      </c>
      <c r="D41" s="582"/>
      <c r="E41" s="633"/>
      <c r="F41" s="631" t="s">
        <v>502</v>
      </c>
      <c r="G41" s="632"/>
      <c r="H41" s="638">
        <f>H31+H36</f>
        <v>124133.38820563129</v>
      </c>
      <c r="I41" s="585" t="s">
        <v>1486</v>
      </c>
      <c r="J41" s="403"/>
    </row>
    <row r="42" spans="1:10" ht="19" customHeight="1" thickBot="1">
      <c r="A42" s="626">
        <v>2.2000000000000002</v>
      </c>
      <c r="B42" s="403"/>
      <c r="C42" s="582" t="s">
        <v>539</v>
      </c>
      <c r="D42" s="582"/>
      <c r="E42" s="634"/>
      <c r="F42" s="635" t="s">
        <v>503</v>
      </c>
      <c r="G42" s="632"/>
      <c r="H42" s="641">
        <f>H32+H37</f>
        <v>141286.76434263593</v>
      </c>
      <c r="I42" s="636" t="s">
        <v>1487</v>
      </c>
      <c r="J42" s="403"/>
    </row>
    <row r="43" spans="1:10" ht="28" customHeight="1" thickBot="1">
      <c r="A43" s="626"/>
      <c r="B43" s="403"/>
      <c r="C43" s="582"/>
      <c r="D43" s="582"/>
      <c r="E43" s="689">
        <f>REPORT!D124</f>
        <v>0.54253196378032076</v>
      </c>
      <c r="F43" s="690" t="s">
        <v>520</v>
      </c>
      <c r="G43" s="637"/>
      <c r="H43" s="712">
        <f>H36/H41</f>
        <v>0.80504519896040228</v>
      </c>
      <c r="I43" s="636" t="s">
        <v>1532</v>
      </c>
      <c r="J43" s="403"/>
    </row>
    <row r="44" spans="1:10" ht="19">
      <c r="A44" s="626">
        <f>A41*200</f>
        <v>500</v>
      </c>
      <c r="B44" s="403"/>
      <c r="C44" s="582" t="s">
        <v>540</v>
      </c>
      <c r="D44" s="751" t="str">
        <f>REPORT!D19</f>
        <v>ON</v>
      </c>
      <c r="E44" s="750" t="str">
        <f>REPORT!H19</f>
        <v>Alexandria</v>
      </c>
      <c r="F44" s="582" t="s">
        <v>528</v>
      </c>
      <c r="G44" s="582"/>
      <c r="H44" s="713">
        <f>H36/H31</f>
        <v>4.1293940680993408</v>
      </c>
      <c r="I44" s="636" t="s">
        <v>1536</v>
      </c>
      <c r="J44" s="403"/>
    </row>
    <row r="45" spans="1:10" ht="18" customHeight="1">
      <c r="A45" s="626">
        <f>A44*(E47-E48)</f>
        <v>5000</v>
      </c>
      <c r="B45" s="403"/>
      <c r="C45" s="639" t="s">
        <v>541</v>
      </c>
      <c r="D45" s="403"/>
      <c r="E45" s="640">
        <f>REPORT!D21</f>
        <v>196</v>
      </c>
      <c r="F45" s="582" t="s">
        <v>527</v>
      </c>
      <c r="G45" s="582"/>
      <c r="H45" s="711"/>
      <c r="I45" s="2377" t="s">
        <v>1533</v>
      </c>
      <c r="J45" s="403"/>
    </row>
    <row r="46" spans="1:10" ht="17" customHeight="1">
      <c r="A46" s="577"/>
      <c r="B46" s="403"/>
      <c r="C46" s="403"/>
      <c r="D46" s="403"/>
      <c r="E46" s="642">
        <f>REPORT!G101</f>
        <v>0.27834106264768871</v>
      </c>
      <c r="F46" s="582" t="s">
        <v>529</v>
      </c>
      <c r="G46" s="582"/>
      <c r="H46" s="404"/>
      <c r="I46" s="2378"/>
      <c r="J46" s="403"/>
    </row>
    <row r="47" spans="1:10" ht="18" customHeight="1">
      <c r="A47" s="577"/>
      <c r="B47" s="403"/>
      <c r="C47" s="403"/>
      <c r="D47" s="343"/>
      <c r="E47" s="640">
        <f>REPORT!D24</f>
        <v>34</v>
      </c>
      <c r="F47" s="582" t="s">
        <v>532</v>
      </c>
      <c r="G47" s="582"/>
      <c r="H47" s="378"/>
      <c r="I47" s="343"/>
      <c r="J47" s="403"/>
    </row>
    <row r="48" spans="1:10" ht="21" customHeight="1" thickBot="1">
      <c r="A48" s="613" t="s">
        <v>1490</v>
      </c>
      <c r="B48" s="426"/>
      <c r="C48" s="426"/>
      <c r="D48" s="646"/>
      <c r="E48" s="640">
        <f>REPORT!H24</f>
        <v>24</v>
      </c>
      <c r="F48" s="582" t="s">
        <v>531</v>
      </c>
      <c r="G48" s="582"/>
      <c r="H48" s="378"/>
      <c r="I48" s="343"/>
      <c r="J48" s="403"/>
    </row>
    <row r="49" spans="1:10" ht="21" customHeight="1" thickBot="1">
      <c r="A49" s="688">
        <f>A3</f>
        <v>20.43</v>
      </c>
      <c r="B49" s="682"/>
      <c r="C49" s="683" t="s">
        <v>1524</v>
      </c>
      <c r="D49" s="646"/>
      <c r="E49" s="640">
        <f>REPORT!D101</f>
        <v>2476.6199999999994</v>
      </c>
      <c r="F49" s="582" t="s">
        <v>530</v>
      </c>
      <c r="G49" s="582"/>
      <c r="H49" s="643" t="s">
        <v>1513</v>
      </c>
      <c r="I49" s="644"/>
      <c r="J49" s="403"/>
    </row>
    <row r="50" spans="1:10" ht="20" customHeight="1">
      <c r="A50" s="688">
        <f>E64</f>
        <v>15.1086005</v>
      </c>
      <c r="B50" s="682"/>
      <c r="C50" s="683" t="s">
        <v>1523</v>
      </c>
      <c r="D50" s="590"/>
      <c r="E50" s="652">
        <f>E37*E45</f>
        <v>-60303.53741042535</v>
      </c>
      <c r="F50" s="653" t="s">
        <v>535</v>
      </c>
      <c r="G50" s="653"/>
      <c r="H50" s="647"/>
      <c r="I50" s="648"/>
      <c r="J50" s="403"/>
    </row>
    <row r="51" spans="1:10" ht="20">
      <c r="A51" s="651">
        <f>A8</f>
        <v>26</v>
      </c>
      <c r="B51" s="645"/>
      <c r="C51" s="590" t="s">
        <v>517</v>
      </c>
      <c r="D51" s="585"/>
      <c r="E51" s="652">
        <f>E36*E45</f>
        <v>105680.24275200001</v>
      </c>
      <c r="F51" s="653" t="s">
        <v>536</v>
      </c>
      <c r="G51" s="653"/>
      <c r="H51" s="649">
        <f>H41/1000</f>
        <v>124.13338820563129</v>
      </c>
      <c r="I51" s="650" t="s">
        <v>1670</v>
      </c>
      <c r="J51" s="403"/>
    </row>
    <row r="52" spans="1:10" ht="20">
      <c r="A52" s="595">
        <f>REPORT!D59</f>
        <v>0.45</v>
      </c>
      <c r="B52" s="403"/>
      <c r="C52" s="585" t="s">
        <v>1481</v>
      </c>
      <c r="D52" s="585"/>
      <c r="E52" s="652">
        <f>E50-E51</f>
        <v>-165983.78016242536</v>
      </c>
      <c r="F52" s="653" t="s">
        <v>537</v>
      </c>
      <c r="G52" s="653"/>
      <c r="H52" s="654">
        <f>H51*0.2843451361</f>
        <v>35.296725163884368</v>
      </c>
      <c r="I52" s="655" t="s">
        <v>1671</v>
      </c>
      <c r="J52" s="403"/>
    </row>
    <row r="53" spans="1:10" ht="18" customHeight="1">
      <c r="A53" s="656">
        <f>H25</f>
        <v>12000</v>
      </c>
      <c r="B53" s="645"/>
      <c r="C53" s="585" t="s">
        <v>1488</v>
      </c>
      <c r="D53" s="585"/>
      <c r="E53" s="652"/>
      <c r="F53" s="403"/>
      <c r="G53" s="403"/>
      <c r="H53" s="649">
        <f>H42/1000</f>
        <v>141.28676434263593</v>
      </c>
      <c r="I53" s="650" t="s">
        <v>1672</v>
      </c>
      <c r="J53" s="403"/>
    </row>
    <row r="54" spans="1:10" ht="21" thickBot="1">
      <c r="A54" s="588">
        <f>A53/3600</f>
        <v>3.3333333333333335</v>
      </c>
      <c r="B54" s="403"/>
      <c r="C54" s="585" t="s">
        <v>1454</v>
      </c>
      <c r="D54" s="585"/>
      <c r="E54" s="652">
        <f>REPORT!M19</f>
        <v>120</v>
      </c>
      <c r="F54" s="653" t="s">
        <v>835</v>
      </c>
      <c r="G54" s="653"/>
      <c r="H54" s="654">
        <f>H53*0.2843451361</f>
        <v>40.174204236135445</v>
      </c>
      <c r="I54" s="655" t="s">
        <v>1673</v>
      </c>
      <c r="J54" s="403"/>
    </row>
    <row r="55" spans="1:10" ht="22" customHeight="1" thickBot="1">
      <c r="A55" s="657">
        <f>H26*E3*E4*(A49-H27)</f>
        <v>-14399.238000000001</v>
      </c>
      <c r="B55" s="645"/>
      <c r="C55" s="585" t="s">
        <v>1534</v>
      </c>
      <c r="D55" s="587"/>
      <c r="E55" s="659">
        <f>E52/(E54*24)</f>
        <v>-57.633257000842143</v>
      </c>
      <c r="F55" s="660" t="s">
        <v>836</v>
      </c>
      <c r="G55" s="661"/>
      <c r="H55" s="404"/>
      <c r="I55" s="403"/>
      <c r="J55" s="403"/>
    </row>
    <row r="56" spans="1:10" ht="17" customHeight="1">
      <c r="A56" s="658">
        <f>610.94 * EXP(17.625 * A50 / (A50 + 243.04))</f>
        <v>1713.9104521752652</v>
      </c>
      <c r="B56" s="645"/>
      <c r="C56" s="587" t="s">
        <v>1498</v>
      </c>
      <c r="D56" s="587"/>
      <c r="E56" s="403"/>
      <c r="F56" s="663" t="s">
        <v>1511</v>
      </c>
      <c r="G56" s="663"/>
      <c r="H56" s="404"/>
      <c r="I56" s="403"/>
      <c r="J56" s="403"/>
    </row>
    <row r="57" spans="1:10" ht="17" customHeight="1">
      <c r="A57" s="662">
        <v>0.7</v>
      </c>
      <c r="B57" s="645"/>
      <c r="C57" s="587" t="s">
        <v>1499</v>
      </c>
      <c r="D57" s="585"/>
      <c r="E57" s="403"/>
      <c r="F57" s="403"/>
      <c r="G57" s="403"/>
      <c r="H57" s="404"/>
      <c r="I57" s="403"/>
      <c r="J57" s="403"/>
    </row>
    <row r="58" spans="1:10" ht="17" customHeight="1" thickBot="1">
      <c r="A58" s="664">
        <f>A56*A57</f>
        <v>1199.7373165226854</v>
      </c>
      <c r="B58" s="403"/>
      <c r="C58" s="585" t="s">
        <v>1500</v>
      </c>
      <c r="D58" s="585"/>
      <c r="E58" s="666" t="s">
        <v>1519</v>
      </c>
      <c r="F58" s="710"/>
      <c r="G58" s="403"/>
      <c r="H58" s="404"/>
      <c r="I58" s="403"/>
      <c r="J58" s="403"/>
    </row>
    <row r="59" spans="1:10" ht="17" customHeight="1">
      <c r="A59" s="664">
        <f>610.94 * EXP(17.625 * A8 / (A8 + 243.04))</f>
        <v>3355.2349528281752</v>
      </c>
      <c r="B59" s="403"/>
      <c r="C59" s="585" t="s">
        <v>1503</v>
      </c>
      <c r="D59" s="585"/>
      <c r="E59" s="704">
        <f>A4*100</f>
        <v>55.85</v>
      </c>
      <c r="F59" s="705" t="s">
        <v>1520</v>
      </c>
      <c r="G59" s="403"/>
      <c r="H59" s="404"/>
      <c r="I59" s="403"/>
      <c r="J59" s="403"/>
    </row>
    <row r="60" spans="1:10" ht="17" customHeight="1">
      <c r="A60" s="664">
        <f>A52*A59</f>
        <v>1509.855728772679</v>
      </c>
      <c r="B60" s="403"/>
      <c r="C60" s="585" t="s">
        <v>1504</v>
      </c>
      <c r="D60" s="585"/>
      <c r="E60" s="706">
        <f>A3</f>
        <v>20.43</v>
      </c>
      <c r="F60" s="707" t="s">
        <v>1521</v>
      </c>
      <c r="G60" s="667"/>
      <c r="H60" s="404"/>
      <c r="I60" s="403"/>
      <c r="J60" s="403"/>
    </row>
    <row r="61" spans="1:10" ht="17" customHeight="1">
      <c r="A61" s="665">
        <f>0.62198*A60/(E15-A60)</f>
        <v>9.4994292021732488E-3</v>
      </c>
      <c r="B61" s="403"/>
      <c r="C61" s="585" t="s">
        <v>1505</v>
      </c>
      <c r="D61" s="587"/>
      <c r="E61" s="708"/>
      <c r="F61" s="707"/>
      <c r="G61" s="668"/>
      <c r="H61" s="404"/>
      <c r="I61" s="403"/>
      <c r="J61" s="403"/>
    </row>
    <row r="62" spans="1:10" ht="17" customHeight="1">
      <c r="A62" s="665">
        <f>0.62198*A58/(E15-A56)</f>
        <v>7.5638966020517917E-3</v>
      </c>
      <c r="B62" s="645"/>
      <c r="C62" s="587" t="s">
        <v>1501</v>
      </c>
      <c r="D62" s="587"/>
      <c r="E62" s="709"/>
      <c r="F62" s="717"/>
      <c r="G62" s="653"/>
      <c r="H62" s="404"/>
      <c r="I62" s="403"/>
      <c r="J62" s="403"/>
    </row>
    <row r="63" spans="1:10" ht="17" customHeight="1" thickBot="1">
      <c r="A63" s="665">
        <f>A62-A61</f>
        <v>-1.9355326001214571E-3</v>
      </c>
      <c r="B63" s="403"/>
      <c r="C63" s="587" t="s">
        <v>1502</v>
      </c>
      <c r="D63" s="585"/>
      <c r="E63" s="684" t="s">
        <v>1576</v>
      </c>
      <c r="F63" s="426"/>
      <c r="G63" s="653"/>
      <c r="H63" s="404"/>
      <c r="I63" s="403"/>
      <c r="J63" s="403"/>
    </row>
    <row r="64" spans="1:10" ht="17" customHeight="1">
      <c r="A64" s="669">
        <f>A54*E3*E6*A63</f>
        <v>-19427.611692053775</v>
      </c>
      <c r="B64" s="403"/>
      <c r="C64" s="585" t="s">
        <v>1506</v>
      </c>
      <c r="D64" s="585"/>
      <c r="E64" s="685">
        <f xml:space="preserve"> E60 - (E60 - (E60 - (100 - E59)/5)) * (0.1 + 0.9 * (E59 / 100))</f>
        <v>15.1086005</v>
      </c>
      <c r="F64" s="653" t="s">
        <v>1574</v>
      </c>
      <c r="G64" s="670"/>
      <c r="H64" s="404"/>
      <c r="I64" s="403"/>
      <c r="J64" s="403"/>
    </row>
    <row r="65" spans="1:10" ht="17" customHeight="1">
      <c r="A65" s="669">
        <f>A55+A64</f>
        <v>-33826.849692053773</v>
      </c>
      <c r="B65" s="403"/>
      <c r="C65" s="585" t="s">
        <v>1535</v>
      </c>
      <c r="D65" s="403"/>
      <c r="E65" s="686">
        <f xml:space="preserve"> E60 - (E60 - (E60 - (100 - E59) / 5)) * (0.3 + 0.7 * (E59 / 100))</f>
        <v>14.3289115</v>
      </c>
      <c r="F65" s="668" t="s">
        <v>1575</v>
      </c>
      <c r="G65" s="403"/>
      <c r="H65" s="404"/>
      <c r="I65" s="403"/>
      <c r="J65" s="403"/>
    </row>
    <row r="66" spans="1:10" ht="30" customHeight="1">
      <c r="A66" s="577"/>
      <c r="B66" s="403"/>
      <c r="C66" s="403"/>
      <c r="D66" s="671"/>
      <c r="E66" s="686">
        <f>AVERAGE(E64:E65)</f>
        <v>14.718755999999999</v>
      </c>
      <c r="F66" s="668" t="s">
        <v>1522</v>
      </c>
      <c r="G66" s="671"/>
      <c r="H66" s="404"/>
      <c r="I66" s="403"/>
      <c r="J66" s="403"/>
    </row>
    <row r="67" spans="1:10" ht="17" customHeight="1">
      <c r="A67" s="665"/>
      <c r="B67" s="403"/>
      <c r="C67" s="403"/>
      <c r="D67" s="672"/>
      <c r="E67" s="403"/>
      <c r="F67" s="403"/>
      <c r="G67" s="403"/>
      <c r="H67" s="404"/>
      <c r="I67" s="403"/>
      <c r="J67" s="403"/>
    </row>
    <row r="68" spans="1:10" ht="11" customHeight="1">
      <c r="A68" s="691"/>
      <c r="B68" s="692"/>
      <c r="C68" s="2376"/>
      <c r="D68" s="403"/>
      <c r="E68" s="403"/>
      <c r="F68" s="403"/>
      <c r="G68" s="403"/>
      <c r="H68" s="404"/>
      <c r="I68" s="403"/>
      <c r="J68" s="403"/>
    </row>
    <row r="69" spans="1:10" ht="33" customHeight="1">
      <c r="A69" s="693"/>
      <c r="B69" s="694"/>
      <c r="C69" s="2376"/>
      <c r="E69" s="687" t="s">
        <v>1518</v>
      </c>
      <c r="F69" s="670" t="s">
        <v>1516</v>
      </c>
      <c r="G69" s="403"/>
      <c r="H69" s="404"/>
      <c r="I69" s="403"/>
      <c r="J69" s="403"/>
    </row>
    <row r="70" spans="1:10" ht="92" customHeight="1">
      <c r="A70" s="577"/>
      <c r="B70" s="403"/>
      <c r="C70" s="714" t="s">
        <v>1558</v>
      </c>
      <c r="D70" s="577"/>
      <c r="E70" s="403"/>
      <c r="F70" s="670" t="s">
        <v>1517</v>
      </c>
      <c r="G70" s="403"/>
      <c r="H70" s="404"/>
      <c r="I70" s="403"/>
      <c r="J70" s="403"/>
    </row>
    <row r="71" spans="1:10" ht="11" customHeight="1">
      <c r="A71" s="680"/>
      <c r="B71" s="679"/>
      <c r="C71" s="681"/>
      <c r="D71" s="403"/>
      <c r="E71" s="403"/>
      <c r="F71" s="403"/>
      <c r="G71" s="403"/>
      <c r="H71" s="404"/>
      <c r="I71" s="403"/>
      <c r="J71" s="403"/>
    </row>
    <row r="72" spans="1:10" ht="266">
      <c r="A72" s="673" t="s">
        <v>519</v>
      </c>
      <c r="B72" s="674"/>
      <c r="C72" s="675" t="s">
        <v>1514</v>
      </c>
      <c r="D72" s="675"/>
      <c r="E72" s="403"/>
      <c r="F72" s="741" t="s">
        <v>1551</v>
      </c>
      <c r="G72" s="403"/>
      <c r="H72" s="404"/>
      <c r="I72" s="403"/>
      <c r="J72" s="403"/>
    </row>
    <row r="73" spans="1:10" ht="18">
      <c r="A73" s="577"/>
      <c r="B73" s="403"/>
      <c r="C73" s="403"/>
      <c r="D73" s="670"/>
      <c r="E73" s="403"/>
      <c r="F73" s="403"/>
      <c r="G73" s="403"/>
      <c r="H73" s="404"/>
      <c r="I73" s="403"/>
      <c r="J73" s="403"/>
    </row>
    <row r="74" spans="1:10" ht="18">
      <c r="A74" s="577"/>
      <c r="B74" s="403"/>
      <c r="C74" s="403"/>
      <c r="D74" s="670"/>
      <c r="E74" s="403"/>
      <c r="F74" s="403"/>
      <c r="G74" s="403"/>
      <c r="H74" s="404"/>
      <c r="I74" s="403"/>
      <c r="J74" s="403"/>
    </row>
    <row r="75" spans="1:10">
      <c r="A75" s="577"/>
      <c r="B75" s="403"/>
      <c r="C75" s="403"/>
      <c r="D75" s="403"/>
      <c r="E75" s="403"/>
      <c r="F75" s="403"/>
      <c r="G75" s="403"/>
      <c r="H75" s="404"/>
      <c r="I75" s="403"/>
      <c r="J75" s="403"/>
    </row>
  </sheetData>
  <sheetProtection algorithmName="SHA-512" hashValue="RIWkPi8FC/+hGAXCNb2YCXwvXzllWDqVrGRQq7sjA9cfhFXcfizPhzlyr4f972cazUcI7dx+P8Ow9wFeG3kbEg==" saltValue="JPaJeY98BVqjhsS3PLWGyg==" spinCount="100000" sheet="1" objects="1" scenarios="1"/>
  <mergeCells count="2">
    <mergeCell ref="I45:I46"/>
    <mergeCell ref="C68:C69"/>
  </mergeCell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1" id="{23594740-AE5C-5647-8058-414802D16EDE}">
            <x14:iconSet custom="1">
              <x14:cfvo type="percent">
                <xm:f>0</xm:f>
              </x14:cfvo>
              <x14:cfvo type="num">
                <xm:f>7</xm:f>
              </x14:cfvo>
              <x14:cfvo type="num" gte="0">
                <xm:f>20</xm:f>
              </x14:cfvo>
              <x14:cfIcon iconSet="3Symbols2" iconId="2"/>
              <x14:cfIcon iconSet="3Symbols2" iconId="1"/>
              <x14:cfIcon iconSet="3Symbols2" iconId="0"/>
            </x14:iconSet>
          </x14:cfRule>
          <xm:sqref>E55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14A56-AA6A-0E4A-BFF9-C83E90BB854B}">
  <sheetPr codeName="Sheet5">
    <tabColor rgb="FF0096FF"/>
  </sheetPr>
  <dimension ref="A2:U55"/>
  <sheetViews>
    <sheetView zoomScale="80" zoomScaleNormal="80" workbookViewId="0">
      <selection activeCell="A26" sqref="A26"/>
    </sheetView>
  </sheetViews>
  <sheetFormatPr baseColWidth="10" defaultRowHeight="11"/>
  <cols>
    <col min="1" max="1" width="24.75" style="5" customWidth="1"/>
    <col min="2" max="2" width="10.75" style="5"/>
    <col min="3" max="3" width="30.5" style="5" customWidth="1"/>
    <col min="4" max="4" width="19.5" style="5" customWidth="1"/>
    <col min="5" max="5" width="30.75" style="5" customWidth="1"/>
    <col min="6" max="10" width="21.75" style="5" customWidth="1"/>
    <col min="11" max="16384" width="10.75" style="5"/>
  </cols>
  <sheetData>
    <row r="2" spans="1:13" ht="23">
      <c r="B2" s="9" t="s">
        <v>293</v>
      </c>
    </row>
    <row r="3" spans="1:13" ht="16">
      <c r="B3" s="10" t="s">
        <v>294</v>
      </c>
      <c r="D3" s="10"/>
      <c r="E3" s="10"/>
      <c r="F3" s="10"/>
      <c r="G3" s="10"/>
      <c r="H3" s="10"/>
      <c r="I3" s="10"/>
      <c r="J3" s="10"/>
      <c r="K3" s="10"/>
      <c r="L3" s="10"/>
      <c r="M3" s="10"/>
    </row>
    <row r="4" spans="1:13" ht="16">
      <c r="B4" s="253" t="s">
        <v>593</v>
      </c>
      <c r="C4" s="10"/>
      <c r="D4" s="10"/>
      <c r="E4" s="10"/>
      <c r="F4" s="10"/>
      <c r="G4" s="10"/>
      <c r="H4" s="10"/>
      <c r="I4" s="10"/>
      <c r="J4" s="10"/>
      <c r="K4" s="10"/>
      <c r="L4" s="10"/>
      <c r="M4" s="10"/>
    </row>
    <row r="5" spans="1:13" ht="16">
      <c r="B5" s="10"/>
      <c r="C5" s="10"/>
      <c r="D5" s="10"/>
      <c r="E5" s="10"/>
      <c r="F5" s="10"/>
      <c r="G5" s="10"/>
      <c r="H5" s="252" t="s">
        <v>592</v>
      </c>
      <c r="I5" s="247"/>
      <c r="J5" s="247"/>
      <c r="K5" s="10"/>
      <c r="L5" s="10"/>
      <c r="M5" s="10"/>
    </row>
    <row r="6" spans="1:13" ht="16">
      <c r="B6" s="10"/>
      <c r="C6" s="10"/>
      <c r="D6" s="10"/>
      <c r="E6" s="10"/>
      <c r="F6" s="10"/>
      <c r="G6" s="10"/>
      <c r="H6" s="247"/>
      <c r="I6" s="247"/>
      <c r="J6" s="247"/>
      <c r="K6" s="10"/>
      <c r="L6" s="10"/>
      <c r="M6" s="10"/>
    </row>
    <row r="7" spans="1:13" ht="16">
      <c r="B7" s="11" t="s">
        <v>295</v>
      </c>
      <c r="C7" s="12" t="s">
        <v>296</v>
      </c>
      <c r="D7" s="12">
        <v>1</v>
      </c>
      <c r="E7" s="12">
        <v>1.5</v>
      </c>
      <c r="F7" s="12">
        <v>2</v>
      </c>
      <c r="G7" s="12">
        <v>3</v>
      </c>
      <c r="H7" s="248">
        <v>4</v>
      </c>
      <c r="I7" s="248">
        <v>5</v>
      </c>
      <c r="J7" s="248">
        <v>6</v>
      </c>
      <c r="K7" s="10"/>
    </row>
    <row r="8" spans="1:13" ht="16">
      <c r="B8" s="13"/>
      <c r="C8" s="10"/>
      <c r="D8" s="10"/>
      <c r="E8" s="10"/>
      <c r="F8" s="10"/>
      <c r="G8" s="10"/>
      <c r="H8" s="247"/>
      <c r="I8" s="247"/>
      <c r="J8" s="247"/>
      <c r="K8" s="14" t="s">
        <v>297</v>
      </c>
      <c r="L8" s="15" t="s">
        <v>298</v>
      </c>
      <c r="M8" s="16">
        <f>AVERAGE(D9:J11)</f>
        <v>12.114285714285714</v>
      </c>
    </row>
    <row r="9" spans="1:13" ht="16">
      <c r="B9" s="13"/>
      <c r="C9" s="10" t="s">
        <v>299</v>
      </c>
      <c r="D9" s="10">
        <v>18.600000000000001</v>
      </c>
      <c r="E9" s="10">
        <v>16.7</v>
      </c>
      <c r="F9" s="10">
        <v>14.8</v>
      </c>
      <c r="G9" s="10">
        <v>13</v>
      </c>
      <c r="H9" s="247">
        <v>11.2</v>
      </c>
      <c r="I9" s="247">
        <v>9.4</v>
      </c>
      <c r="J9" s="247">
        <v>7.6</v>
      </c>
      <c r="K9" s="17">
        <f>AVERAGE(D9:J9)</f>
        <v>13.042857142857143</v>
      </c>
      <c r="L9" s="10"/>
      <c r="M9" s="18"/>
    </row>
    <row r="10" spans="1:13" ht="16">
      <c r="A10" s="13" t="s">
        <v>2014</v>
      </c>
      <c r="B10" s="13">
        <v>1</v>
      </c>
      <c r="C10" s="10" t="s">
        <v>300</v>
      </c>
      <c r="D10" s="10">
        <v>15.5</v>
      </c>
      <c r="E10" s="10">
        <v>14</v>
      </c>
      <c r="F10" s="10">
        <v>12.4</v>
      </c>
      <c r="G10" s="10">
        <v>10.9</v>
      </c>
      <c r="H10" s="247">
        <v>9.4</v>
      </c>
      <c r="I10" s="247">
        <v>7.9</v>
      </c>
      <c r="J10" s="247">
        <v>6.4</v>
      </c>
      <c r="K10" s="17">
        <f t="shared" ref="K10:K11" si="0">AVERAGE(D10:G10)</f>
        <v>13.2</v>
      </c>
      <c r="L10" s="10"/>
      <c r="M10" s="18"/>
    </row>
    <row r="11" spans="1:13" ht="16">
      <c r="B11" s="13"/>
      <c r="C11" s="10" t="s">
        <v>301</v>
      </c>
      <c r="D11" s="10">
        <v>14</v>
      </c>
      <c r="E11" s="10">
        <v>12.6</v>
      </c>
      <c r="F11" s="10">
        <v>11.2</v>
      </c>
      <c r="G11" s="10">
        <v>9.8000000000000007</v>
      </c>
      <c r="H11" s="247">
        <v>13</v>
      </c>
      <c r="I11" s="247">
        <v>13</v>
      </c>
      <c r="J11" s="247">
        <v>13</v>
      </c>
      <c r="K11" s="17">
        <f t="shared" si="0"/>
        <v>11.899999999999999</v>
      </c>
      <c r="L11" s="10"/>
      <c r="M11" s="18"/>
    </row>
    <row r="12" spans="1:13" ht="16">
      <c r="B12" s="13"/>
      <c r="C12" s="14" t="s">
        <v>297</v>
      </c>
      <c r="D12" s="17">
        <f t="shared" ref="D12:J12" si="1">AVERAGE(D9:D11)</f>
        <v>16.033333333333335</v>
      </c>
      <c r="E12" s="17">
        <f t="shared" si="1"/>
        <v>14.433333333333332</v>
      </c>
      <c r="F12" s="17">
        <f t="shared" si="1"/>
        <v>12.800000000000002</v>
      </c>
      <c r="G12" s="17">
        <f t="shared" si="1"/>
        <v>11.233333333333334</v>
      </c>
      <c r="H12" s="249">
        <f t="shared" si="1"/>
        <v>11.200000000000001</v>
      </c>
      <c r="I12" s="249">
        <f t="shared" si="1"/>
        <v>10.1</v>
      </c>
      <c r="J12" s="249">
        <f t="shared" si="1"/>
        <v>9</v>
      </c>
      <c r="K12" s="18"/>
      <c r="L12" s="10"/>
      <c r="M12" s="18"/>
    </row>
    <row r="13" spans="1:13" ht="16">
      <c r="B13" s="13"/>
      <c r="C13" s="10"/>
      <c r="D13" s="10"/>
      <c r="E13" s="10"/>
      <c r="F13" s="10"/>
      <c r="G13" s="10"/>
      <c r="H13" s="247"/>
      <c r="I13" s="247"/>
      <c r="J13" s="247"/>
      <c r="K13" s="18"/>
      <c r="L13" s="10"/>
      <c r="M13" s="18"/>
    </row>
    <row r="14" spans="1:13" ht="16">
      <c r="B14" s="13"/>
      <c r="C14" s="10"/>
      <c r="D14" s="12"/>
      <c r="E14" s="12"/>
      <c r="F14" s="12"/>
      <c r="G14" s="12"/>
      <c r="H14" s="248"/>
      <c r="I14" s="248"/>
      <c r="J14" s="248"/>
      <c r="K14" s="19" t="s">
        <v>297</v>
      </c>
      <c r="L14" s="15" t="s">
        <v>298</v>
      </c>
      <c r="M14" s="16">
        <f>AVERAGE(D15:J17)</f>
        <v>13.40952380952381</v>
      </c>
    </row>
    <row r="15" spans="1:13" ht="16">
      <c r="B15" s="13"/>
      <c r="C15" s="10" t="s">
        <v>299</v>
      </c>
      <c r="D15" s="10">
        <v>22.2</v>
      </c>
      <c r="E15" s="10">
        <v>20</v>
      </c>
      <c r="F15" s="10">
        <v>17.8</v>
      </c>
      <c r="G15" s="10">
        <v>15.5</v>
      </c>
      <c r="H15" s="247">
        <v>13.2</v>
      </c>
      <c r="I15" s="247">
        <v>10.9</v>
      </c>
      <c r="J15" s="247">
        <v>8.6</v>
      </c>
      <c r="K15" s="17">
        <f>AVERAGE(D15:J15)</f>
        <v>15.457142857142857</v>
      </c>
      <c r="L15" s="10"/>
      <c r="M15" s="18"/>
    </row>
    <row r="16" spans="1:13" ht="16">
      <c r="A16" s="13" t="s">
        <v>2013</v>
      </c>
      <c r="B16" s="13">
        <v>2</v>
      </c>
      <c r="C16" s="10" t="s">
        <v>300</v>
      </c>
      <c r="D16" s="10">
        <v>18.5</v>
      </c>
      <c r="E16" s="10">
        <v>16.7</v>
      </c>
      <c r="F16" s="10">
        <v>14.8</v>
      </c>
      <c r="G16" s="10">
        <v>13</v>
      </c>
      <c r="H16" s="247">
        <v>11.2</v>
      </c>
      <c r="I16" s="247">
        <v>9.4</v>
      </c>
      <c r="J16" s="247">
        <v>7.6</v>
      </c>
      <c r="K16" s="17">
        <f>AVERAGE(D16:J16)</f>
        <v>13.028571428571428</v>
      </c>
      <c r="L16" s="10"/>
      <c r="M16" s="18"/>
    </row>
    <row r="17" spans="1:21" ht="16">
      <c r="B17" s="13"/>
      <c r="C17" s="10" t="s">
        <v>301</v>
      </c>
      <c r="D17" s="10">
        <v>16.7</v>
      </c>
      <c r="E17" s="10">
        <v>15</v>
      </c>
      <c r="F17" s="10">
        <v>13.3</v>
      </c>
      <c r="G17" s="10">
        <v>11.7</v>
      </c>
      <c r="H17" s="247">
        <v>10.1</v>
      </c>
      <c r="I17" s="247">
        <v>8.5</v>
      </c>
      <c r="J17" s="247">
        <v>6.9</v>
      </c>
      <c r="K17" s="17">
        <f>AVERAGE(D17:J17)</f>
        <v>11.742857142857144</v>
      </c>
      <c r="L17" s="10"/>
      <c r="M17" s="18"/>
    </row>
    <row r="18" spans="1:21" ht="16">
      <c r="B18" s="13"/>
      <c r="C18" s="14" t="s">
        <v>297</v>
      </c>
      <c r="D18" s="17">
        <f t="shared" ref="D18:J18" si="2">AVERAGE(D15:D17)</f>
        <v>19.133333333333336</v>
      </c>
      <c r="E18" s="17">
        <f t="shared" si="2"/>
        <v>17.233333333333334</v>
      </c>
      <c r="F18" s="17">
        <f t="shared" si="2"/>
        <v>15.300000000000002</v>
      </c>
      <c r="G18" s="17">
        <f t="shared" si="2"/>
        <v>13.4</v>
      </c>
      <c r="H18" s="249">
        <f t="shared" si="2"/>
        <v>11.5</v>
      </c>
      <c r="I18" s="249">
        <f t="shared" si="2"/>
        <v>9.6</v>
      </c>
      <c r="J18" s="249">
        <f t="shared" si="2"/>
        <v>7.7</v>
      </c>
      <c r="K18" s="18"/>
      <c r="L18" s="10"/>
      <c r="M18" s="18"/>
    </row>
    <row r="19" spans="1:21" ht="16">
      <c r="B19" s="13"/>
      <c r="C19" s="10"/>
      <c r="D19" s="10"/>
      <c r="E19" s="10"/>
      <c r="F19" s="10"/>
      <c r="G19" s="10"/>
      <c r="H19" s="247"/>
      <c r="I19" s="247"/>
      <c r="J19" s="247"/>
      <c r="K19" s="18"/>
      <c r="L19" s="10"/>
      <c r="M19" s="18"/>
    </row>
    <row r="20" spans="1:21" ht="16">
      <c r="B20" s="13"/>
      <c r="C20" s="10"/>
      <c r="D20" s="10"/>
      <c r="E20" s="10"/>
      <c r="F20" s="10"/>
      <c r="G20" s="10"/>
      <c r="H20" s="247"/>
      <c r="I20" s="247"/>
      <c r="J20" s="247"/>
      <c r="K20" s="19" t="s">
        <v>297</v>
      </c>
      <c r="L20" s="15" t="s">
        <v>298</v>
      </c>
      <c r="M20" s="16">
        <f>AVERAGE(D21:J23)</f>
        <v>15.576190476190474</v>
      </c>
    </row>
    <row r="21" spans="1:21" ht="16">
      <c r="B21" s="13"/>
      <c r="C21" s="20" t="s">
        <v>299</v>
      </c>
      <c r="D21" s="20">
        <v>25.8</v>
      </c>
      <c r="E21" s="20">
        <v>23.1</v>
      </c>
      <c r="F21" s="20">
        <v>20.6</v>
      </c>
      <c r="G21" s="20">
        <v>18.100000000000001</v>
      </c>
      <c r="H21" s="250">
        <v>15.6</v>
      </c>
      <c r="I21" s="250">
        <v>13.1</v>
      </c>
      <c r="J21" s="250">
        <v>10.6</v>
      </c>
      <c r="K21" s="17">
        <f>AVERAGE(D21:J21)</f>
        <v>18.128571428571426</v>
      </c>
      <c r="L21" s="10"/>
      <c r="M21" s="18"/>
    </row>
    <row r="22" spans="1:21" ht="16">
      <c r="A22" s="13" t="s">
        <v>2015</v>
      </c>
      <c r="B22" s="13">
        <v>3</v>
      </c>
      <c r="C22" s="20" t="s">
        <v>300</v>
      </c>
      <c r="D22" s="20">
        <v>21.5</v>
      </c>
      <c r="E22" s="20">
        <v>19.399999999999999</v>
      </c>
      <c r="F22" s="20">
        <v>17.2</v>
      </c>
      <c r="G22" s="20">
        <v>15.1</v>
      </c>
      <c r="H22" s="250">
        <v>13</v>
      </c>
      <c r="I22" s="250">
        <v>10.9</v>
      </c>
      <c r="J22" s="250">
        <v>8.8000000000000007</v>
      </c>
      <c r="K22" s="17">
        <f>AVERAGE(D22:J22)</f>
        <v>15.128571428571428</v>
      </c>
      <c r="L22" s="10"/>
      <c r="M22" s="18"/>
    </row>
    <row r="23" spans="1:21" ht="16">
      <c r="C23" s="20" t="s">
        <v>301</v>
      </c>
      <c r="D23" s="20">
        <v>19.399999999999999</v>
      </c>
      <c r="E23" s="20">
        <v>17.399999999999999</v>
      </c>
      <c r="F23" s="20">
        <v>15.5</v>
      </c>
      <c r="G23" s="20">
        <v>13.5</v>
      </c>
      <c r="H23" s="250">
        <v>11.5</v>
      </c>
      <c r="I23" s="250">
        <v>9.5</v>
      </c>
      <c r="J23" s="250">
        <v>7.5</v>
      </c>
      <c r="K23" s="17">
        <f t="shared" ref="K23" si="3">AVERAGE(D23:G23)</f>
        <v>16.45</v>
      </c>
      <c r="L23" s="10"/>
      <c r="M23" s="18"/>
    </row>
    <row r="24" spans="1:21" ht="16">
      <c r="C24" s="14" t="s">
        <v>297</v>
      </c>
      <c r="D24" s="17">
        <f t="shared" ref="D24:J24" si="4">AVERAGE(D21:D23)</f>
        <v>22.233333333333331</v>
      </c>
      <c r="E24" s="17">
        <f t="shared" si="4"/>
        <v>19.966666666666665</v>
      </c>
      <c r="F24" s="17">
        <f t="shared" si="4"/>
        <v>17.766666666666666</v>
      </c>
      <c r="G24" s="17">
        <f t="shared" si="4"/>
        <v>15.566666666666668</v>
      </c>
      <c r="H24" s="249">
        <f t="shared" si="4"/>
        <v>13.366666666666667</v>
      </c>
      <c r="I24" s="249">
        <f t="shared" si="4"/>
        <v>11.166666666666666</v>
      </c>
      <c r="J24" s="249">
        <f t="shared" si="4"/>
        <v>8.9666666666666668</v>
      </c>
      <c r="K24" s="21"/>
      <c r="M24" s="21"/>
    </row>
    <row r="25" spans="1:21">
      <c r="H25" s="251"/>
      <c r="I25" s="251"/>
      <c r="J25" s="251"/>
      <c r="K25" s="21"/>
      <c r="M25" s="21"/>
    </row>
    <row r="26" spans="1:21" ht="16">
      <c r="B26" s="13"/>
      <c r="C26" s="10"/>
      <c r="D26" s="10"/>
      <c r="E26" s="10"/>
      <c r="F26" s="10"/>
      <c r="G26" s="10"/>
      <c r="H26" s="247"/>
      <c r="I26" s="247"/>
      <c r="J26" s="247"/>
      <c r="K26" s="19" t="s">
        <v>297</v>
      </c>
      <c r="L26" s="15" t="s">
        <v>298</v>
      </c>
      <c r="M26" s="16">
        <f>AVERAGE(D27:J29)</f>
        <v>17.75714285714286</v>
      </c>
    </row>
    <row r="27" spans="1:21" ht="16">
      <c r="B27" s="13"/>
      <c r="C27" s="20" t="s">
        <v>299</v>
      </c>
      <c r="D27" s="20">
        <v>29.4</v>
      </c>
      <c r="E27" s="20">
        <v>26.5</v>
      </c>
      <c r="F27" s="20">
        <v>23.5</v>
      </c>
      <c r="G27" s="20">
        <v>20.6</v>
      </c>
      <c r="H27" s="250">
        <v>17.7</v>
      </c>
      <c r="I27" s="250">
        <v>14.8</v>
      </c>
      <c r="J27" s="250">
        <v>11.9</v>
      </c>
      <c r="K27" s="17">
        <f>AVERAGE(D27:J27)</f>
        <v>20.62857142857143</v>
      </c>
      <c r="L27" s="10"/>
      <c r="M27" s="10"/>
    </row>
    <row r="28" spans="1:21" ht="16">
      <c r="B28" s="13">
        <v>4</v>
      </c>
      <c r="C28" s="20" t="s">
        <v>300</v>
      </c>
      <c r="D28" s="20">
        <v>24.5</v>
      </c>
      <c r="E28" s="20">
        <v>22.1</v>
      </c>
      <c r="F28" s="20">
        <v>19.600000000000001</v>
      </c>
      <c r="G28" s="20">
        <v>17.2</v>
      </c>
      <c r="H28" s="250">
        <v>14.8</v>
      </c>
      <c r="I28" s="250">
        <v>12.4</v>
      </c>
      <c r="J28" s="250">
        <v>10</v>
      </c>
      <c r="K28" s="17">
        <f>AVERAGE(D28:J28)</f>
        <v>17.228571428571431</v>
      </c>
      <c r="L28" s="10"/>
      <c r="M28" s="10"/>
    </row>
    <row r="29" spans="1:21" ht="16">
      <c r="C29" s="20" t="s">
        <v>301</v>
      </c>
      <c r="D29" s="20">
        <v>22.1</v>
      </c>
      <c r="E29" s="20">
        <v>19.8</v>
      </c>
      <c r="F29" s="20">
        <v>17.600000000000001</v>
      </c>
      <c r="G29" s="20">
        <v>15.4</v>
      </c>
      <c r="H29" s="250">
        <v>13.2</v>
      </c>
      <c r="I29" s="250">
        <v>11</v>
      </c>
      <c r="J29" s="250">
        <v>8.8000000000000007</v>
      </c>
      <c r="K29" s="17">
        <f>AVERAGE(D29:J29)</f>
        <v>15.414285714285715</v>
      </c>
      <c r="L29" s="10"/>
      <c r="M29" s="10"/>
      <c r="U29" s="22"/>
    </row>
    <row r="30" spans="1:21" ht="16">
      <c r="C30" s="14" t="s">
        <v>297</v>
      </c>
      <c r="D30" s="17">
        <f t="shared" ref="D30:J30" si="5">AVERAGE(D27:D29)</f>
        <v>25.333333333333332</v>
      </c>
      <c r="E30" s="17">
        <f t="shared" si="5"/>
        <v>22.8</v>
      </c>
      <c r="F30" s="17">
        <f t="shared" si="5"/>
        <v>20.233333333333334</v>
      </c>
      <c r="G30" s="17">
        <f t="shared" si="5"/>
        <v>17.733333333333331</v>
      </c>
      <c r="H30" s="249">
        <f t="shared" si="5"/>
        <v>15.233333333333334</v>
      </c>
      <c r="I30" s="249">
        <f t="shared" si="5"/>
        <v>12.733333333333334</v>
      </c>
      <c r="J30" s="249">
        <f t="shared" si="5"/>
        <v>10.233333333333333</v>
      </c>
    </row>
    <row r="34" spans="1:11" ht="21">
      <c r="C34" s="71" t="s">
        <v>543</v>
      </c>
      <c r="D34" s="246" t="str">
        <f>REPORT!I110&amp;"-"&amp;REPORT!G103</f>
        <v>2-Normal</v>
      </c>
      <c r="K34" s="20"/>
    </row>
    <row r="35" spans="1:11" ht="20">
      <c r="C35" s="71"/>
      <c r="K35" s="20"/>
    </row>
    <row r="36" spans="1:11" ht="20">
      <c r="B36" s="727"/>
      <c r="C36" s="71"/>
      <c r="D36" s="727"/>
      <c r="E36" s="727"/>
      <c r="F36" s="727"/>
      <c r="G36" s="727"/>
      <c r="H36" s="727"/>
      <c r="I36" s="727"/>
      <c r="J36" s="727"/>
      <c r="K36" s="20"/>
    </row>
    <row r="37" spans="1:11" ht="18">
      <c r="A37" s="271"/>
      <c r="B37" s="728" t="s">
        <v>1539</v>
      </c>
      <c r="C37" s="636" t="s">
        <v>544</v>
      </c>
      <c r="D37" s="728">
        <v>1</v>
      </c>
      <c r="E37" s="728">
        <v>1.5</v>
      </c>
      <c r="F37" s="728">
        <v>2</v>
      </c>
      <c r="G37" s="728">
        <v>3</v>
      </c>
      <c r="H37" s="728">
        <v>4</v>
      </c>
      <c r="I37" s="728">
        <v>5</v>
      </c>
      <c r="J37" s="728">
        <v>6</v>
      </c>
    </row>
    <row r="38" spans="1:11" ht="17">
      <c r="A38" s="271"/>
      <c r="B38" s="729">
        <v>1</v>
      </c>
      <c r="C38" s="726" t="s">
        <v>545</v>
      </c>
      <c r="D38" s="730">
        <v>18.600000000000001</v>
      </c>
      <c r="E38" s="730">
        <v>16.7</v>
      </c>
      <c r="F38" s="730">
        <v>14.8</v>
      </c>
      <c r="G38" s="730">
        <v>13</v>
      </c>
      <c r="H38" s="730">
        <v>11.2</v>
      </c>
      <c r="I38" s="730">
        <v>9.4</v>
      </c>
      <c r="J38" s="730">
        <v>7.6</v>
      </c>
    </row>
    <row r="39" spans="1:11" ht="17">
      <c r="A39" s="271"/>
      <c r="B39" s="729">
        <v>1</v>
      </c>
      <c r="C39" s="726" t="s">
        <v>546</v>
      </c>
      <c r="D39" s="730">
        <v>15.5</v>
      </c>
      <c r="E39" s="730">
        <v>14</v>
      </c>
      <c r="F39" s="730">
        <v>12.4</v>
      </c>
      <c r="G39" s="730">
        <v>10.9</v>
      </c>
      <c r="H39" s="730">
        <v>9.4</v>
      </c>
      <c r="I39" s="730">
        <v>7.9</v>
      </c>
      <c r="J39" s="730">
        <v>6.4</v>
      </c>
    </row>
    <row r="40" spans="1:11" ht="17">
      <c r="A40" s="271"/>
      <c r="B40" s="729">
        <v>1</v>
      </c>
      <c r="C40" s="726" t="s">
        <v>547</v>
      </c>
      <c r="D40" s="730">
        <v>14</v>
      </c>
      <c r="E40" s="730">
        <v>12.6</v>
      </c>
      <c r="F40" s="730">
        <v>11.2</v>
      </c>
      <c r="G40" s="730">
        <v>9.8000000000000007</v>
      </c>
      <c r="H40" s="730">
        <v>13</v>
      </c>
      <c r="I40" s="730">
        <v>13</v>
      </c>
      <c r="J40" s="730">
        <v>13</v>
      </c>
    </row>
    <row r="41" spans="1:11" ht="17">
      <c r="A41" s="271"/>
      <c r="B41" s="729">
        <v>2</v>
      </c>
      <c r="C41" s="726" t="s">
        <v>548</v>
      </c>
      <c r="D41" s="730">
        <v>22.2</v>
      </c>
      <c r="E41" s="730">
        <v>20</v>
      </c>
      <c r="F41" s="730">
        <v>17.8</v>
      </c>
      <c r="G41" s="730">
        <v>15.5</v>
      </c>
      <c r="H41" s="730">
        <v>13.2</v>
      </c>
      <c r="I41" s="730">
        <v>10.9</v>
      </c>
      <c r="J41" s="730">
        <v>8.6</v>
      </c>
    </row>
    <row r="42" spans="1:11" ht="17">
      <c r="A42" s="271"/>
      <c r="B42" s="729">
        <v>2</v>
      </c>
      <c r="C42" s="726" t="s">
        <v>549</v>
      </c>
      <c r="D42" s="730">
        <v>18.5</v>
      </c>
      <c r="E42" s="730">
        <v>16.7</v>
      </c>
      <c r="F42" s="730">
        <v>14.8</v>
      </c>
      <c r="G42" s="730">
        <v>13</v>
      </c>
      <c r="H42" s="730">
        <v>11.2</v>
      </c>
      <c r="I42" s="730">
        <v>9.4</v>
      </c>
      <c r="J42" s="730">
        <v>7.6</v>
      </c>
    </row>
    <row r="43" spans="1:11" ht="17">
      <c r="A43" s="271"/>
      <c r="B43" s="729">
        <v>2</v>
      </c>
      <c r="C43" s="726" t="s">
        <v>550</v>
      </c>
      <c r="D43" s="730">
        <v>16.7</v>
      </c>
      <c r="E43" s="730">
        <v>15</v>
      </c>
      <c r="F43" s="730">
        <v>13.3</v>
      </c>
      <c r="G43" s="730">
        <v>11.7</v>
      </c>
      <c r="H43" s="730">
        <v>10.1</v>
      </c>
      <c r="I43" s="730">
        <v>8.5</v>
      </c>
      <c r="J43" s="730">
        <v>6.9</v>
      </c>
    </row>
    <row r="44" spans="1:11" ht="17">
      <c r="A44" s="271"/>
      <c r="B44" s="729">
        <v>3</v>
      </c>
      <c r="C44" s="726" t="s">
        <v>551</v>
      </c>
      <c r="D44" s="731">
        <v>25.8</v>
      </c>
      <c r="E44" s="731">
        <v>23.1</v>
      </c>
      <c r="F44" s="731">
        <v>20.6</v>
      </c>
      <c r="G44" s="731">
        <v>18.100000000000001</v>
      </c>
      <c r="H44" s="731">
        <v>15.6</v>
      </c>
      <c r="I44" s="731">
        <v>13.1</v>
      </c>
      <c r="J44" s="731">
        <v>10.6</v>
      </c>
    </row>
    <row r="45" spans="1:11" ht="17">
      <c r="A45" s="271"/>
      <c r="B45" s="729">
        <v>3</v>
      </c>
      <c r="C45" s="726" t="s">
        <v>552</v>
      </c>
      <c r="D45" s="731">
        <v>21.5</v>
      </c>
      <c r="E45" s="731">
        <v>19.399999999999999</v>
      </c>
      <c r="F45" s="731">
        <v>17.2</v>
      </c>
      <c r="G45" s="731">
        <v>15.1</v>
      </c>
      <c r="H45" s="731">
        <v>13</v>
      </c>
      <c r="I45" s="731">
        <v>10.9</v>
      </c>
      <c r="J45" s="731">
        <v>8.8000000000000007</v>
      </c>
    </row>
    <row r="46" spans="1:11" ht="17">
      <c r="A46" s="271"/>
      <c r="B46" s="729">
        <v>3</v>
      </c>
      <c r="C46" s="726" t="s">
        <v>553</v>
      </c>
      <c r="D46" s="731">
        <v>19.399999999999999</v>
      </c>
      <c r="E46" s="731">
        <v>17.399999999999999</v>
      </c>
      <c r="F46" s="731">
        <v>15.5</v>
      </c>
      <c r="G46" s="731">
        <v>13.5</v>
      </c>
      <c r="H46" s="731">
        <v>11.5</v>
      </c>
      <c r="I46" s="731">
        <v>9.5</v>
      </c>
      <c r="J46" s="731">
        <v>7.5</v>
      </c>
    </row>
    <row r="47" spans="1:11" ht="17">
      <c r="A47" s="271"/>
      <c r="B47" s="729">
        <v>4</v>
      </c>
      <c r="C47" s="726" t="s">
        <v>554</v>
      </c>
      <c r="D47" s="731">
        <v>29.4</v>
      </c>
      <c r="E47" s="731">
        <v>26.5</v>
      </c>
      <c r="F47" s="731">
        <v>23.5</v>
      </c>
      <c r="G47" s="731">
        <v>20.6</v>
      </c>
      <c r="H47" s="731">
        <v>17.7</v>
      </c>
      <c r="I47" s="731">
        <v>14.8</v>
      </c>
      <c r="J47" s="731">
        <v>11.9</v>
      </c>
    </row>
    <row r="48" spans="1:11" ht="17">
      <c r="A48" s="271"/>
      <c r="B48" s="729">
        <v>4</v>
      </c>
      <c r="C48" s="726" t="s">
        <v>555</v>
      </c>
      <c r="D48" s="731">
        <v>24.5</v>
      </c>
      <c r="E48" s="731">
        <v>22.1</v>
      </c>
      <c r="F48" s="731">
        <v>19.600000000000001</v>
      </c>
      <c r="G48" s="731">
        <v>17.2</v>
      </c>
      <c r="H48" s="731">
        <v>14.8</v>
      </c>
      <c r="I48" s="731">
        <v>12.4</v>
      </c>
      <c r="J48" s="731">
        <v>10</v>
      </c>
    </row>
    <row r="49" spans="1:10" ht="17">
      <c r="A49" s="271"/>
      <c r="B49" s="729">
        <v>4</v>
      </c>
      <c r="C49" s="726" t="s">
        <v>556</v>
      </c>
      <c r="D49" s="731">
        <v>22.1</v>
      </c>
      <c r="E49" s="731">
        <v>19.8</v>
      </c>
      <c r="F49" s="731">
        <v>17.600000000000001</v>
      </c>
      <c r="G49" s="731">
        <v>15.4</v>
      </c>
      <c r="H49" s="731">
        <v>13.2</v>
      </c>
      <c r="I49" s="731">
        <v>11</v>
      </c>
      <c r="J49" s="731">
        <v>8.8000000000000007</v>
      </c>
    </row>
    <row r="50" spans="1:10" ht="33" customHeight="1">
      <c r="A50" s="271"/>
      <c r="B50" s="732"/>
      <c r="C50" s="733" t="s">
        <v>1542</v>
      </c>
      <c r="D50" s="732"/>
      <c r="E50" s="732"/>
      <c r="F50" s="732"/>
      <c r="G50" s="732"/>
      <c r="H50" s="732"/>
      <c r="I50" s="732"/>
      <c r="J50" s="732"/>
    </row>
    <row r="51" spans="1:10" ht="18">
      <c r="A51" s="271"/>
      <c r="B51" s="732"/>
      <c r="C51" s="738">
        <f>REPORT!D103</f>
        <v>1.5</v>
      </c>
      <c r="D51" s="733" t="s">
        <v>462</v>
      </c>
      <c r="E51" s="735"/>
      <c r="F51" s="735"/>
      <c r="G51" s="734"/>
      <c r="H51" s="2379" t="s">
        <v>1543</v>
      </c>
      <c r="I51" s="2379"/>
      <c r="J51" s="2379"/>
    </row>
    <row r="52" spans="1:10" ht="18">
      <c r="A52" s="271"/>
      <c r="B52" s="732"/>
      <c r="C52" s="738">
        <f>REPORT!I110</f>
        <v>2</v>
      </c>
      <c r="D52" s="733" t="s">
        <v>295</v>
      </c>
      <c r="E52" s="735"/>
      <c r="F52" s="735"/>
      <c r="G52" s="734"/>
      <c r="H52" s="2379"/>
      <c r="I52" s="2379"/>
      <c r="J52" s="2379"/>
    </row>
    <row r="53" spans="1:10" ht="18">
      <c r="A53" s="271"/>
      <c r="B53" s="732"/>
      <c r="C53" s="738" t="b">
        <f>IF(REPORT!G103="Shielded", 1, IF(A53="Normal", 2, IF(A53="Exposed", 3)))</f>
        <v>0</v>
      </c>
      <c r="D53" s="733" t="s">
        <v>1540</v>
      </c>
      <c r="E53" s="735"/>
      <c r="F53" s="735"/>
      <c r="G53" s="735"/>
      <c r="H53" s="2379"/>
      <c r="I53" s="2379"/>
      <c r="J53" s="2379"/>
    </row>
    <row r="54" spans="1:10" ht="18">
      <c r="A54" s="271"/>
      <c r="B54" s="732"/>
      <c r="C54" s="736">
        <f>IF(AND(C52&gt;=1, C52&lt;=4, C53&gt;=1, A53&lt;=3),
     SLOPE(INDEX(D38:J49, MATCH(C52 &amp; "-" &amp; IF(A53=1, "Shielded", IF(A53=2, "Normal", "Exposed")), C38:C49, 0), 0), Stories) * C51 +
     INTERCEPT(INDEX(D38:J49, MATCH(C52 &amp; "-" &amp; IF(A53=1, "Shielded", IF(A53=2, "Normal", "Exposed")), C38:C49, 0), 0), Stories),
     "Invalid Zone or Exposure Level")</f>
        <v>14.938566552901023</v>
      </c>
      <c r="D54" s="733" t="s">
        <v>1541</v>
      </c>
      <c r="E54" s="735"/>
      <c r="F54" s="735"/>
      <c r="G54" s="735"/>
      <c r="H54" s="2379"/>
      <c r="I54" s="2379"/>
      <c r="J54" s="2379"/>
    </row>
    <row r="55" spans="1:10">
      <c r="A55"/>
    </row>
  </sheetData>
  <sheetProtection algorithmName="SHA-512" hashValue="6OUoPkr6IJaUCzCznuHC5kOx2g1SPvzySzc5S0nJRE3qV+lGhg+bS8RNHZ/JjJkSWnuJNXE3FBILJHc6wtSonQ==" saltValue="7JDMMj235JgBa2XnSd0xKg==" spinCount="100000" sheet="1" objects="1" scenarios="1"/>
  <mergeCells count="1">
    <mergeCell ref="H51:J54"/>
  </mergeCells>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7D4D4-4878-B341-A843-4E8630167232}">
  <sheetPr codeName="Sheet8">
    <tabColor rgb="FF945200"/>
  </sheetPr>
  <dimension ref="A1:AC47"/>
  <sheetViews>
    <sheetView zoomScale="80" zoomScaleNormal="80" workbookViewId="0">
      <selection activeCell="C3" sqref="C3"/>
    </sheetView>
  </sheetViews>
  <sheetFormatPr baseColWidth="10" defaultColWidth="13.25" defaultRowHeight="18"/>
  <cols>
    <col min="1" max="1" width="13.25" style="1582"/>
    <col min="2" max="2" width="103.25" style="1581" customWidth="1"/>
    <col min="3" max="3" width="28.5" style="1580" bestFit="1" customWidth="1"/>
    <col min="4" max="4" width="16.25" style="1580" customWidth="1"/>
    <col min="5" max="5" width="24" style="1580" bestFit="1" customWidth="1"/>
    <col min="6" max="6" width="25" style="1580" bestFit="1" customWidth="1"/>
    <col min="7" max="7" width="69" style="1580" bestFit="1" customWidth="1"/>
    <col min="8" max="8" width="33.25" style="1580" customWidth="1"/>
    <col min="9" max="9" width="38" style="1580" customWidth="1"/>
    <col min="10" max="10" width="18.5" style="1580" bestFit="1" customWidth="1"/>
    <col min="11" max="11" width="27.5" style="1581" customWidth="1"/>
    <col min="12" max="12" width="22.25" style="1581" customWidth="1"/>
    <col min="13" max="13" width="29" style="1581" customWidth="1"/>
    <col min="14" max="21" width="15" style="1581" customWidth="1"/>
    <col min="22" max="16384" width="13.25" style="1581"/>
  </cols>
  <sheetData>
    <row r="1" spans="2:29" s="1582" customFormat="1">
      <c r="B1" s="1629"/>
      <c r="C1" s="1627"/>
      <c r="D1" s="1627"/>
      <c r="E1" s="1627"/>
      <c r="F1" s="1627"/>
      <c r="G1" s="1627"/>
      <c r="H1" s="1627"/>
      <c r="I1" s="1627"/>
      <c r="J1" s="1627"/>
    </row>
    <row r="2" spans="2:29" ht="113" customHeight="1">
      <c r="B2" s="1628" t="s">
        <v>1952</v>
      </c>
      <c r="C2" s="1585" t="s">
        <v>1919</v>
      </c>
      <c r="D2" s="1585" t="s">
        <v>1923</v>
      </c>
      <c r="E2" s="1585" t="s">
        <v>1927</v>
      </c>
      <c r="F2" s="1585" t="s">
        <v>1925</v>
      </c>
      <c r="G2" s="1585" t="s">
        <v>1926</v>
      </c>
      <c r="H2" s="1585" t="s">
        <v>1950</v>
      </c>
      <c r="I2" s="1585" t="s">
        <v>1928</v>
      </c>
      <c r="J2" s="1585" t="s">
        <v>1929</v>
      </c>
      <c r="K2" s="1585" t="s">
        <v>1944</v>
      </c>
      <c r="L2" s="1585" t="s">
        <v>1945</v>
      </c>
      <c r="M2" s="1585" t="s">
        <v>1946</v>
      </c>
      <c r="N2" s="1586"/>
      <c r="O2" s="1586"/>
      <c r="P2" s="1582"/>
      <c r="Q2" s="1582"/>
      <c r="R2" s="1582"/>
      <c r="S2" s="1582"/>
      <c r="T2" s="1582"/>
      <c r="U2" s="1582"/>
      <c r="V2" s="1582"/>
      <c r="W2" s="1582"/>
      <c r="X2" s="1582"/>
      <c r="Y2" s="1582"/>
      <c r="Z2" s="1582"/>
      <c r="AA2" s="1582"/>
      <c r="AB2" s="1582"/>
      <c r="AC2" s="1582"/>
    </row>
    <row r="3" spans="2:29" ht="20">
      <c r="B3" s="1575" t="s">
        <v>1942</v>
      </c>
      <c r="C3" s="1584">
        <v>100</v>
      </c>
      <c r="D3" s="1587">
        <f>C3/C3</f>
        <v>1</v>
      </c>
      <c r="E3" s="1588"/>
      <c r="F3" s="1588"/>
      <c r="G3" s="1589"/>
      <c r="H3" s="1589"/>
      <c r="I3" s="1589"/>
      <c r="J3" s="1589"/>
      <c r="K3" s="1589"/>
      <c r="L3" s="1589"/>
      <c r="M3" s="1589"/>
      <c r="N3" s="1588"/>
      <c r="O3" s="1588"/>
      <c r="P3" s="1582"/>
      <c r="Q3" s="1582"/>
      <c r="R3" s="1582"/>
      <c r="S3" s="1582"/>
      <c r="T3" s="1582"/>
      <c r="U3" s="1582"/>
      <c r="V3" s="1582"/>
      <c r="W3" s="1582"/>
      <c r="X3" s="1582"/>
      <c r="Y3" s="1582"/>
      <c r="Z3" s="1582"/>
      <c r="AA3" s="1582"/>
      <c r="AB3" s="1582"/>
      <c r="AC3" s="1582"/>
    </row>
    <row r="4" spans="2:29" ht="20">
      <c r="B4" s="1575" t="s">
        <v>1920</v>
      </c>
      <c r="C4" s="1590">
        <v>8200000000</v>
      </c>
      <c r="D4" s="1587">
        <f>C4/C4</f>
        <v>1</v>
      </c>
      <c r="E4" s="1588"/>
      <c r="F4" s="1588"/>
      <c r="G4" s="1589"/>
      <c r="H4" s="1589"/>
      <c r="I4" s="1589"/>
      <c r="J4" s="1589"/>
      <c r="K4" s="1589"/>
      <c r="L4" s="1589"/>
      <c r="M4" s="1589"/>
      <c r="N4" s="1588"/>
      <c r="O4" s="1588"/>
      <c r="P4" s="1582"/>
      <c r="Q4" s="1582"/>
      <c r="R4" s="1582"/>
      <c r="S4" s="1582"/>
      <c r="T4" s="1582"/>
      <c r="U4" s="1582"/>
      <c r="V4" s="1582"/>
      <c r="W4" s="1582"/>
      <c r="X4" s="1582"/>
      <c r="Y4" s="1582"/>
      <c r="Z4" s="1582"/>
      <c r="AA4" s="1582"/>
      <c r="AB4" s="1582"/>
      <c r="AC4" s="1582"/>
    </row>
    <row r="5" spans="2:29" ht="21">
      <c r="B5" s="1575" t="s">
        <v>1921</v>
      </c>
      <c r="C5" s="1590">
        <v>40100000</v>
      </c>
      <c r="D5" s="1591">
        <f>C5/C$4</f>
        <v>4.8902439024390244E-3</v>
      </c>
      <c r="E5" s="1592">
        <f>C$3*D5</f>
        <v>0.48902439024390243</v>
      </c>
      <c r="F5" s="1590">
        <f>E5*1000000000</f>
        <v>489024390.24390244</v>
      </c>
      <c r="G5" s="1589">
        <f>F5*1000</f>
        <v>489024390243.90247</v>
      </c>
      <c r="H5" s="1593">
        <v>71.95</v>
      </c>
      <c r="I5" s="1593">
        <f>G5/C5/H5</f>
        <v>169.49439821013917</v>
      </c>
      <c r="J5" s="1589">
        <v>50</v>
      </c>
      <c r="K5" s="1594">
        <f>I5/J5</f>
        <v>3.3898879642027833</v>
      </c>
      <c r="L5" s="1594">
        <f>K5/D15</f>
        <v>0.17384040842065554</v>
      </c>
      <c r="M5" s="1595" t="s">
        <v>414</v>
      </c>
      <c r="N5" s="1588"/>
      <c r="O5" s="1588"/>
      <c r="P5" s="1582"/>
      <c r="Q5" s="1582"/>
      <c r="R5" s="1582"/>
      <c r="S5" s="1582"/>
      <c r="T5" s="1582"/>
      <c r="U5" s="1582"/>
      <c r="V5" s="1582"/>
      <c r="W5" s="1582"/>
      <c r="X5" s="1582"/>
      <c r="Y5" s="1582"/>
      <c r="Z5" s="1582"/>
      <c r="AA5" s="1582"/>
      <c r="AB5" s="1582"/>
      <c r="AC5" s="1582"/>
    </row>
    <row r="6" spans="2:29" ht="20">
      <c r="B6" s="1575" t="s">
        <v>1922</v>
      </c>
      <c r="C6" s="1590">
        <v>5947000</v>
      </c>
      <c r="D6" s="1591">
        <f>C6/C4</f>
        <v>7.2524390243902442E-4</v>
      </c>
      <c r="E6" s="1592">
        <f>C$3*D6</f>
        <v>7.2524390243902448E-2</v>
      </c>
      <c r="F6" s="1590">
        <f>E6*1000000000</f>
        <v>72524390.243902445</v>
      </c>
      <c r="G6" s="1589">
        <f>F6*1000</f>
        <v>72524390243.902451</v>
      </c>
      <c r="H6" s="1593">
        <v>60</v>
      </c>
      <c r="I6" s="1593">
        <f>G6/C6/H6</f>
        <v>203.25203252032526</v>
      </c>
      <c r="J6" s="1589">
        <v>50</v>
      </c>
      <c r="K6" s="1594">
        <f>I6/J6</f>
        <v>4.0650406504065053</v>
      </c>
      <c r="L6" s="1594">
        <f>K6/D18</f>
        <v>0.62539086929330856</v>
      </c>
      <c r="M6" s="1595">
        <v>5.8</v>
      </c>
      <c r="N6" s="1588"/>
      <c r="O6" s="1588"/>
      <c r="P6" s="1582"/>
      <c r="Q6" s="1582"/>
      <c r="R6" s="1582"/>
      <c r="S6" s="1582"/>
      <c r="T6" s="1582"/>
      <c r="U6" s="1582"/>
      <c r="V6" s="1582"/>
      <c r="W6" s="1582"/>
      <c r="X6" s="1582"/>
      <c r="Y6" s="1582"/>
      <c r="Z6" s="1582"/>
      <c r="AA6" s="1582"/>
      <c r="AB6" s="1582"/>
      <c r="AC6" s="1582"/>
    </row>
    <row r="7" spans="2:29" ht="20">
      <c r="B7" s="1588"/>
      <c r="C7" s="1596"/>
      <c r="D7" s="1589"/>
      <c r="E7" s="1588"/>
      <c r="F7" s="1588"/>
      <c r="G7" s="1589"/>
      <c r="H7" s="1589"/>
      <c r="I7" s="1589"/>
      <c r="J7" s="1589"/>
      <c r="K7" s="1589"/>
      <c r="L7" s="1589"/>
      <c r="M7" s="1589"/>
      <c r="N7" s="1588"/>
      <c r="O7" s="1588"/>
      <c r="P7" s="1582"/>
      <c r="Q7" s="1582"/>
      <c r="R7" s="1582"/>
      <c r="S7" s="1582"/>
      <c r="T7" s="1582"/>
      <c r="U7" s="1582"/>
      <c r="V7" s="1582"/>
      <c r="W7" s="1582"/>
      <c r="X7" s="1582"/>
      <c r="Y7" s="1582"/>
      <c r="Z7" s="1582"/>
      <c r="AA7" s="1582"/>
      <c r="AB7" s="1582"/>
      <c r="AC7" s="1582"/>
    </row>
    <row r="8" spans="2:29" ht="20">
      <c r="B8" s="1588"/>
      <c r="C8" s="1596"/>
      <c r="D8" s="1589"/>
      <c r="E8" s="1588"/>
      <c r="F8" s="1588"/>
      <c r="G8" s="1589"/>
      <c r="H8" s="1589"/>
      <c r="I8" s="1589"/>
      <c r="J8" s="1589"/>
      <c r="K8" s="1589"/>
      <c r="L8" s="1589"/>
      <c r="M8" s="1589"/>
      <c r="N8" s="1588"/>
      <c r="O8" s="1588"/>
      <c r="P8" s="1582"/>
      <c r="Q8" s="1582"/>
      <c r="R8" s="1582"/>
      <c r="S8" s="1582"/>
      <c r="T8" s="1582"/>
      <c r="U8" s="1582"/>
      <c r="V8" s="1582"/>
      <c r="W8" s="1582"/>
      <c r="X8" s="1582"/>
      <c r="Y8" s="1582"/>
      <c r="Z8" s="1582"/>
      <c r="AA8" s="1582"/>
      <c r="AB8" s="1582"/>
      <c r="AC8" s="1582"/>
    </row>
    <row r="9" spans="2:29" ht="20">
      <c r="B9" s="1588"/>
      <c r="C9" s="1596"/>
      <c r="D9" s="1589"/>
      <c r="E9" s="1588"/>
      <c r="F9" s="1588"/>
      <c r="G9" s="1589"/>
      <c r="H9" s="1589"/>
      <c r="I9" s="1589"/>
      <c r="J9" s="1589"/>
      <c r="K9" s="1589"/>
      <c r="L9" s="1589"/>
      <c r="M9" s="1589"/>
      <c r="N9" s="1588"/>
      <c r="O9" s="1588"/>
      <c r="P9" s="1582"/>
      <c r="Q9" s="1582"/>
      <c r="R9" s="1582"/>
      <c r="S9" s="1582"/>
      <c r="T9" s="1582"/>
      <c r="U9" s="1582"/>
      <c r="V9" s="1582"/>
      <c r="W9" s="1582"/>
      <c r="X9" s="1582"/>
      <c r="Y9" s="1582"/>
      <c r="Z9" s="1582"/>
      <c r="AA9" s="1582"/>
      <c r="AB9" s="1582"/>
      <c r="AC9" s="1582"/>
    </row>
    <row r="10" spans="2:29" ht="20">
      <c r="B10" s="1588"/>
      <c r="C10" s="1596"/>
      <c r="D10" s="1589"/>
      <c r="E10" s="1588"/>
      <c r="F10" s="1588"/>
      <c r="G10" s="1589"/>
      <c r="H10" s="1589"/>
      <c r="I10" s="1589"/>
      <c r="J10" s="1589"/>
      <c r="K10" s="1589"/>
      <c r="L10" s="1589"/>
      <c r="M10" s="1589"/>
      <c r="N10" s="1588"/>
      <c r="O10" s="1588"/>
      <c r="P10" s="1582"/>
      <c r="Q10" s="1582"/>
      <c r="R10" s="1582"/>
      <c r="S10" s="1582"/>
      <c r="T10" s="1582"/>
      <c r="U10" s="1582"/>
      <c r="V10" s="1582"/>
      <c r="W10" s="1582"/>
      <c r="X10" s="1582"/>
      <c r="Y10" s="1582"/>
      <c r="Z10" s="1582"/>
      <c r="AA10" s="1582"/>
      <c r="AB10" s="1582"/>
      <c r="AC10" s="1582"/>
    </row>
    <row r="11" spans="2:29" ht="20">
      <c r="B11" s="1597"/>
      <c r="C11" s="1598"/>
      <c r="D11" s="1589"/>
      <c r="E11" s="1588"/>
      <c r="F11" s="1592"/>
      <c r="G11" s="1593"/>
      <c r="H11" s="1589"/>
      <c r="I11" s="1589"/>
      <c r="J11" s="1589"/>
      <c r="K11" s="1599"/>
      <c r="L11" s="1594"/>
      <c r="M11" s="1595"/>
      <c r="N11" s="1588"/>
      <c r="O11" s="1588"/>
      <c r="P11" s="1582"/>
      <c r="Q11" s="1582"/>
      <c r="R11" s="1582"/>
      <c r="S11" s="1582"/>
      <c r="T11" s="1582"/>
      <c r="U11" s="1582"/>
      <c r="V11" s="1582"/>
      <c r="W11" s="1582"/>
      <c r="X11" s="1582"/>
      <c r="Y11" s="1582"/>
      <c r="Z11" s="1582"/>
      <c r="AA11" s="1582"/>
      <c r="AB11" s="1582"/>
      <c r="AC11" s="1582"/>
    </row>
    <row r="12" spans="2:29" ht="20">
      <c r="B12" s="1597"/>
      <c r="C12" s="1588"/>
      <c r="D12" s="1589"/>
      <c r="E12" s="1588"/>
      <c r="F12" s="1592"/>
      <c r="G12" s="1593"/>
      <c r="H12" s="1589"/>
      <c r="I12" s="1589"/>
      <c r="J12" s="1589"/>
      <c r="K12" s="1599"/>
      <c r="L12" s="1594"/>
      <c r="M12" s="1595"/>
      <c r="N12" s="1588"/>
      <c r="O12" s="1588"/>
      <c r="P12" s="1582"/>
      <c r="Q12" s="1582"/>
      <c r="R12" s="1582"/>
      <c r="S12" s="1582"/>
      <c r="T12" s="1582"/>
      <c r="U12" s="1582"/>
      <c r="V12" s="1582"/>
      <c r="W12" s="1582"/>
      <c r="X12" s="1582"/>
      <c r="Y12" s="1582"/>
      <c r="Z12" s="1582"/>
      <c r="AA12" s="1582"/>
      <c r="AB12" s="1582"/>
      <c r="AC12" s="1582"/>
    </row>
    <row r="13" spans="2:29" ht="81" customHeight="1">
      <c r="B13" s="1600" t="s">
        <v>1943</v>
      </c>
      <c r="C13" s="1586"/>
      <c r="D13" s="1601"/>
      <c r="E13" s="1586"/>
      <c r="F13" s="1586"/>
      <c r="G13" s="1602"/>
      <c r="H13" s="1603"/>
      <c r="I13" s="1586"/>
      <c r="J13" s="1601"/>
      <c r="K13" s="1604"/>
      <c r="L13" s="1601"/>
      <c r="M13" s="1601"/>
      <c r="N13" s="1586"/>
      <c r="O13" s="1586"/>
      <c r="P13" s="1582"/>
      <c r="Q13" s="1582"/>
      <c r="R13" s="1582"/>
      <c r="S13" s="1582"/>
      <c r="T13" s="1582"/>
      <c r="U13" s="1582"/>
      <c r="V13" s="1582"/>
      <c r="W13" s="1582"/>
      <c r="X13" s="1582"/>
      <c r="Y13" s="1582"/>
      <c r="Z13" s="1582"/>
      <c r="AA13" s="1582"/>
      <c r="AB13" s="1582"/>
      <c r="AC13" s="1582"/>
    </row>
    <row r="14" spans="2:29" ht="86" customHeight="1" thickBot="1">
      <c r="B14" s="1605" t="s">
        <v>1930</v>
      </c>
      <c r="C14" s="1605" t="s">
        <v>1933</v>
      </c>
      <c r="D14" s="1606" t="s">
        <v>1941</v>
      </c>
      <c r="E14" s="1586"/>
      <c r="F14" s="1586"/>
      <c r="G14" s="1578" t="s">
        <v>1951</v>
      </c>
      <c r="H14" s="1607">
        <v>709000000</v>
      </c>
      <c r="I14" s="1586"/>
      <c r="J14" s="1601"/>
      <c r="K14" s="1601"/>
      <c r="L14" s="1601"/>
      <c r="M14" s="1601"/>
      <c r="N14" s="1586"/>
      <c r="O14" s="1586"/>
      <c r="P14" s="1582"/>
      <c r="Q14" s="1582"/>
      <c r="R14" s="1582"/>
      <c r="S14" s="1582"/>
      <c r="T14" s="1582"/>
      <c r="U14" s="1582"/>
      <c r="V14" s="1582"/>
      <c r="W14" s="1582"/>
      <c r="X14" s="1582"/>
      <c r="Y14" s="1582"/>
      <c r="Z14" s="1582"/>
      <c r="AA14" s="1582"/>
      <c r="AB14" s="1582"/>
      <c r="AC14" s="1582"/>
    </row>
    <row r="15" spans="2:29" ht="21">
      <c r="B15" s="1586" t="s">
        <v>1931</v>
      </c>
      <c r="C15" s="1608">
        <v>390</v>
      </c>
      <c r="D15" s="1608">
        <f>C15/C$20</f>
        <v>19.5</v>
      </c>
      <c r="E15" s="1586"/>
      <c r="F15" s="1586"/>
      <c r="G15" s="1579" t="s">
        <v>1948</v>
      </c>
      <c r="H15" s="1607">
        <v>2176000000</v>
      </c>
      <c r="I15" s="1586"/>
      <c r="J15" s="1601"/>
      <c r="K15" s="1601"/>
      <c r="L15" s="1601"/>
      <c r="M15" s="1601"/>
      <c r="N15" s="1586"/>
      <c r="O15" s="1586"/>
      <c r="P15" s="1582"/>
      <c r="Q15" s="1582"/>
      <c r="R15" s="1582"/>
      <c r="S15" s="1582"/>
      <c r="T15" s="1582"/>
      <c r="U15" s="1582"/>
      <c r="V15" s="1582"/>
      <c r="W15" s="1582"/>
      <c r="X15" s="1582"/>
      <c r="Y15" s="1582"/>
      <c r="Z15" s="1582"/>
      <c r="AA15" s="1582"/>
      <c r="AB15" s="1582"/>
      <c r="AC15" s="1582"/>
    </row>
    <row r="16" spans="2:29" ht="22" thickBot="1">
      <c r="B16" s="1586" t="s">
        <v>1932</v>
      </c>
      <c r="C16" s="1608">
        <v>300</v>
      </c>
      <c r="D16" s="1608">
        <f>C16/C$20</f>
        <v>15</v>
      </c>
      <c r="E16" s="1586"/>
      <c r="F16" s="1586"/>
      <c r="G16" s="1577" t="s">
        <v>1949</v>
      </c>
      <c r="H16" s="1609">
        <f>SUM(H14:H15)</f>
        <v>2885000000</v>
      </c>
      <c r="I16" s="1586"/>
      <c r="J16" s="1601"/>
      <c r="K16" s="1601"/>
      <c r="L16" s="1601"/>
      <c r="M16" s="1601"/>
      <c r="N16" s="1586"/>
      <c r="O16" s="1586"/>
      <c r="P16" s="1582"/>
      <c r="Q16" s="1582"/>
      <c r="R16" s="1582"/>
      <c r="S16" s="1582"/>
      <c r="T16" s="1582"/>
      <c r="U16" s="1582"/>
      <c r="V16" s="1582"/>
      <c r="W16" s="1582"/>
      <c r="X16" s="1582"/>
      <c r="Y16" s="1582"/>
      <c r="Z16" s="1582"/>
      <c r="AA16" s="1582"/>
      <c r="AB16" s="1582"/>
      <c r="AC16" s="1582"/>
    </row>
    <row r="17" spans="2:29" ht="22" thickTop="1">
      <c r="B17" s="1586" t="s">
        <v>1934</v>
      </c>
      <c r="C17" s="1608">
        <v>150</v>
      </c>
      <c r="D17" s="1608">
        <f>C17/C$20</f>
        <v>7.5</v>
      </c>
      <c r="E17" s="1586"/>
      <c r="F17" s="1586"/>
      <c r="G17" s="1603" t="s">
        <v>1924</v>
      </c>
      <c r="H17" s="1610">
        <f>H16/C5</f>
        <v>71.945137157107226</v>
      </c>
      <c r="I17" s="1586"/>
      <c r="J17" s="1601"/>
      <c r="K17" s="1601"/>
      <c r="L17" s="1601"/>
      <c r="M17" s="1601"/>
      <c r="N17" s="1586"/>
      <c r="O17" s="1586"/>
      <c r="P17" s="1582"/>
      <c r="Q17" s="1582"/>
      <c r="R17" s="1582"/>
      <c r="S17" s="1582"/>
      <c r="T17" s="1582"/>
      <c r="U17" s="1582"/>
      <c r="V17" s="1582"/>
      <c r="W17" s="1582"/>
      <c r="X17" s="1582"/>
      <c r="Y17" s="1582"/>
      <c r="Z17" s="1582"/>
      <c r="AA17" s="1582"/>
      <c r="AB17" s="1582"/>
      <c r="AC17" s="1582"/>
    </row>
    <row r="18" spans="2:29" ht="21">
      <c r="B18" s="1586" t="s">
        <v>1935</v>
      </c>
      <c r="C18" s="1608">
        <v>130</v>
      </c>
      <c r="D18" s="1608">
        <f>C18/C$20</f>
        <v>6.5</v>
      </c>
      <c r="E18" s="1586"/>
      <c r="F18" s="1586"/>
      <c r="G18" s="1601"/>
      <c r="H18" s="1586"/>
      <c r="I18" s="1586"/>
      <c r="J18" s="1601"/>
      <c r="K18" s="1601"/>
      <c r="L18" s="1601"/>
      <c r="M18" s="1601"/>
      <c r="N18" s="1586"/>
      <c r="O18" s="1586"/>
      <c r="P18" s="1582"/>
      <c r="Q18" s="1582"/>
      <c r="R18" s="1582"/>
      <c r="S18" s="1582"/>
      <c r="T18" s="1582"/>
      <c r="U18" s="1582"/>
      <c r="V18" s="1582"/>
      <c r="W18" s="1582"/>
      <c r="X18" s="1582"/>
      <c r="Y18" s="1582"/>
      <c r="Z18" s="1582"/>
      <c r="AA18" s="1582"/>
      <c r="AB18" s="1582"/>
      <c r="AC18" s="1582"/>
    </row>
    <row r="19" spans="2:29" ht="21">
      <c r="B19" s="1586" t="s">
        <v>1936</v>
      </c>
      <c r="C19" s="1608">
        <v>100</v>
      </c>
      <c r="D19" s="1608">
        <f>C19/C$20</f>
        <v>5</v>
      </c>
      <c r="E19" s="1586"/>
      <c r="F19" s="1586"/>
      <c r="G19" s="1601"/>
      <c r="H19" s="1586"/>
      <c r="I19" s="1586"/>
      <c r="J19" s="1601"/>
      <c r="K19" s="1601"/>
      <c r="L19" s="1601"/>
      <c r="M19" s="1601"/>
      <c r="N19" s="1586"/>
      <c r="O19" s="1586"/>
      <c r="P19" s="1582"/>
      <c r="Q19" s="1582"/>
      <c r="R19" s="1582"/>
      <c r="S19" s="1582"/>
      <c r="T19" s="1582"/>
      <c r="U19" s="1582"/>
      <c r="V19" s="1582"/>
      <c r="W19" s="1582"/>
      <c r="X19" s="1582"/>
      <c r="Y19" s="1582"/>
      <c r="Z19" s="1582"/>
      <c r="AA19" s="1582"/>
      <c r="AB19" s="1582"/>
      <c r="AC19" s="1582"/>
    </row>
    <row r="20" spans="2:29" ht="21">
      <c r="B20" s="1611" t="s">
        <v>1937</v>
      </c>
      <c r="C20" s="1612">
        <v>20</v>
      </c>
      <c r="D20" s="1613" t="s">
        <v>1947</v>
      </c>
      <c r="E20" s="1611"/>
      <c r="F20" s="1611"/>
      <c r="G20" s="1601"/>
      <c r="H20" s="1586"/>
      <c r="I20" s="1586"/>
      <c r="J20" s="1601"/>
      <c r="K20" s="1601"/>
      <c r="L20" s="1601"/>
      <c r="M20" s="1601"/>
      <c r="N20" s="1586"/>
      <c r="O20" s="1586"/>
      <c r="P20" s="1582"/>
      <c r="Q20" s="1582"/>
      <c r="R20" s="1582"/>
      <c r="S20" s="1582"/>
      <c r="T20" s="1582"/>
      <c r="U20" s="1582"/>
      <c r="V20" s="1582"/>
      <c r="W20" s="1582"/>
      <c r="X20" s="1582"/>
      <c r="Y20" s="1582"/>
      <c r="Z20" s="1582"/>
      <c r="AA20" s="1582"/>
      <c r="AB20" s="1582"/>
      <c r="AC20" s="1582"/>
    </row>
    <row r="21" spans="2:29" ht="21">
      <c r="B21" s="1586" t="s">
        <v>1940</v>
      </c>
      <c r="C21" s="1608">
        <v>14</v>
      </c>
      <c r="D21" s="1608">
        <f>C21/C$20</f>
        <v>0.7</v>
      </c>
      <c r="E21" s="1586"/>
      <c r="F21" s="1586"/>
      <c r="G21" s="1601"/>
      <c r="H21" s="1586"/>
      <c r="I21" s="1614"/>
      <c r="J21" s="1601"/>
      <c r="K21" s="1601"/>
      <c r="L21" s="1601"/>
      <c r="M21" s="1601"/>
      <c r="N21" s="1586"/>
      <c r="O21" s="1586"/>
      <c r="P21" s="1582"/>
      <c r="Q21" s="1582"/>
      <c r="R21" s="1582"/>
      <c r="S21" s="1582"/>
      <c r="T21" s="1582"/>
      <c r="U21" s="1582"/>
      <c r="V21" s="1582"/>
      <c r="W21" s="1582"/>
      <c r="X21" s="1582"/>
      <c r="Y21" s="1582"/>
      <c r="Z21" s="1582"/>
      <c r="AA21" s="1582"/>
      <c r="AB21" s="1582"/>
      <c r="AC21" s="1582"/>
    </row>
    <row r="22" spans="2:29" ht="21">
      <c r="B22" s="1586" t="s">
        <v>1938</v>
      </c>
      <c r="C22" s="1608">
        <v>5</v>
      </c>
      <c r="D22" s="1608">
        <f>C22/C$20</f>
        <v>0.25</v>
      </c>
      <c r="E22" s="1586"/>
      <c r="F22" s="1586"/>
      <c r="G22" s="1601"/>
      <c r="H22" s="1586"/>
      <c r="I22" s="1586"/>
      <c r="J22" s="1601"/>
      <c r="K22" s="1601"/>
      <c r="L22" s="1601"/>
      <c r="M22" s="1601"/>
      <c r="N22" s="1586"/>
      <c r="O22" s="1586"/>
      <c r="P22" s="1582"/>
      <c r="Q22" s="1582"/>
      <c r="R22" s="1582"/>
      <c r="S22" s="1582"/>
      <c r="T22" s="1582"/>
      <c r="U22" s="1582"/>
      <c r="V22" s="1582"/>
      <c r="W22" s="1582"/>
      <c r="X22" s="1582"/>
      <c r="Y22" s="1582"/>
      <c r="Z22" s="1582"/>
      <c r="AA22" s="1582"/>
      <c r="AB22" s="1582"/>
      <c r="AC22" s="1582"/>
    </row>
    <row r="23" spans="2:29" ht="21">
      <c r="B23" s="1586" t="s">
        <v>1939</v>
      </c>
      <c r="C23" s="1608">
        <v>2</v>
      </c>
      <c r="D23" s="1608">
        <f>C23/C$20</f>
        <v>0.1</v>
      </c>
      <c r="E23" s="1586"/>
      <c r="F23" s="1586"/>
      <c r="G23" s="1601"/>
      <c r="H23" s="1586"/>
      <c r="I23" s="1586"/>
      <c r="J23" s="1601"/>
      <c r="K23" s="1601"/>
      <c r="L23" s="1601"/>
      <c r="M23" s="1601"/>
      <c r="N23" s="1586"/>
      <c r="O23" s="1586"/>
      <c r="P23" s="1582"/>
      <c r="Q23" s="1582"/>
      <c r="R23" s="1582"/>
      <c r="S23" s="1582"/>
      <c r="T23" s="1582"/>
      <c r="U23" s="1582"/>
      <c r="V23" s="1582"/>
      <c r="W23" s="1582"/>
      <c r="X23" s="1582"/>
      <c r="Y23" s="1582"/>
      <c r="Z23" s="1582"/>
      <c r="AA23" s="1582"/>
      <c r="AB23" s="1582"/>
      <c r="AC23" s="1582"/>
    </row>
    <row r="24" spans="2:29" ht="20">
      <c r="B24" s="1586"/>
      <c r="C24" s="1586"/>
      <c r="D24" s="1601"/>
      <c r="E24" s="1586"/>
      <c r="F24" s="1586"/>
      <c r="G24" s="1601"/>
      <c r="H24" s="1586"/>
      <c r="I24" s="1586"/>
      <c r="J24" s="1601"/>
      <c r="K24" s="1601"/>
      <c r="L24" s="1601"/>
      <c r="M24" s="1601"/>
      <c r="N24" s="1586"/>
      <c r="O24" s="1586"/>
      <c r="P24" s="1582"/>
      <c r="Q24" s="1582"/>
      <c r="R24" s="1582"/>
      <c r="S24" s="1582"/>
      <c r="T24" s="1582"/>
      <c r="U24" s="1582"/>
      <c r="V24" s="1582"/>
      <c r="W24" s="1582"/>
      <c r="X24" s="1582"/>
      <c r="Y24" s="1582"/>
      <c r="Z24" s="1582"/>
      <c r="AA24" s="1582"/>
      <c r="AB24" s="1582"/>
      <c r="AC24" s="1582"/>
    </row>
    <row r="25" spans="2:29" ht="20">
      <c r="B25" s="1586"/>
      <c r="C25" s="1586"/>
      <c r="D25" s="1601"/>
      <c r="E25" s="1586"/>
      <c r="F25" s="1586"/>
      <c r="G25" s="1601"/>
      <c r="H25" s="1586"/>
      <c r="I25" s="1586"/>
      <c r="J25" s="1601"/>
      <c r="K25" s="1601"/>
      <c r="L25" s="1601"/>
      <c r="M25" s="1601"/>
      <c r="N25" s="1586"/>
      <c r="O25" s="1586"/>
      <c r="P25" s="1582"/>
      <c r="Q25" s="1582"/>
      <c r="R25" s="1582"/>
      <c r="S25" s="1582"/>
      <c r="T25" s="1582"/>
      <c r="U25" s="1582"/>
      <c r="V25" s="1582"/>
      <c r="W25" s="1582"/>
      <c r="X25" s="1582"/>
      <c r="Y25" s="1582"/>
      <c r="Z25" s="1582"/>
      <c r="AA25" s="1582"/>
      <c r="AB25" s="1582"/>
      <c r="AC25" s="1582"/>
    </row>
    <row r="26" spans="2:29" ht="20">
      <c r="B26" s="1615" t="s">
        <v>412</v>
      </c>
      <c r="C26" s="1616" t="s">
        <v>398</v>
      </c>
      <c r="D26" s="1616" t="s">
        <v>399</v>
      </c>
      <c r="E26" s="1616" t="s">
        <v>400</v>
      </c>
      <c r="F26" s="1616" t="s">
        <v>401</v>
      </c>
      <c r="G26" s="1616" t="s">
        <v>413</v>
      </c>
      <c r="H26" s="1616" t="s">
        <v>402</v>
      </c>
      <c r="I26" s="1616" t="s">
        <v>403</v>
      </c>
      <c r="J26" s="1617" t="s">
        <v>405</v>
      </c>
      <c r="K26" s="1617" t="s">
        <v>1953</v>
      </c>
      <c r="L26" s="1601"/>
      <c r="M26" s="1601"/>
      <c r="N26" s="1586"/>
      <c r="O26" s="1586"/>
      <c r="P26" s="1582"/>
      <c r="Q26" s="1582"/>
      <c r="R26" s="1582"/>
      <c r="S26" s="1582"/>
      <c r="T26" s="1582"/>
      <c r="U26" s="1582"/>
      <c r="V26" s="1582"/>
      <c r="W26" s="1582"/>
      <c r="X26" s="1582"/>
      <c r="Y26" s="1582"/>
      <c r="Z26" s="1582"/>
      <c r="AA26" s="1582"/>
      <c r="AB26" s="1582"/>
      <c r="AC26" s="1582"/>
    </row>
    <row r="27" spans="2:29" ht="20">
      <c r="B27" s="1618" t="s">
        <v>406</v>
      </c>
      <c r="C27" s="1619" t="s">
        <v>414</v>
      </c>
      <c r="D27" s="1619" t="s">
        <v>414</v>
      </c>
      <c r="E27" s="1619" t="s">
        <v>414</v>
      </c>
      <c r="F27" s="1620">
        <v>200</v>
      </c>
      <c r="G27" s="1620">
        <v>200</v>
      </c>
      <c r="H27" s="1620">
        <v>600</v>
      </c>
      <c r="I27" s="1620">
        <v>425</v>
      </c>
      <c r="J27" s="1620"/>
      <c r="K27" s="1589"/>
      <c r="L27" s="1589"/>
      <c r="M27" s="1589"/>
      <c r="N27" s="1588"/>
      <c r="O27" s="1588"/>
      <c r="P27" s="1582"/>
      <c r="Q27" s="1582"/>
      <c r="R27" s="1582"/>
      <c r="S27" s="1582"/>
      <c r="T27" s="1582"/>
      <c r="U27" s="1582"/>
      <c r="V27" s="1582"/>
      <c r="W27" s="1582"/>
      <c r="X27" s="1582"/>
      <c r="Y27" s="1582"/>
      <c r="Z27" s="1582"/>
      <c r="AA27" s="1582"/>
      <c r="AB27" s="1582"/>
      <c r="AC27" s="1582"/>
    </row>
    <row r="28" spans="2:29" ht="20">
      <c r="B28" s="1618" t="s">
        <v>407</v>
      </c>
      <c r="C28" s="1619" t="s">
        <v>414</v>
      </c>
      <c r="D28" s="1619" t="s">
        <v>414</v>
      </c>
      <c r="E28" s="1619" t="s">
        <v>414</v>
      </c>
      <c r="F28" s="1620">
        <v>500</v>
      </c>
      <c r="G28" s="1620">
        <v>500</v>
      </c>
      <c r="H28" s="1620">
        <v>600</v>
      </c>
      <c r="I28" s="1620">
        <v>425</v>
      </c>
      <c r="J28" s="1620"/>
      <c r="K28" s="1589"/>
      <c r="L28" s="1589"/>
      <c r="M28" s="1589"/>
      <c r="N28" s="1588"/>
      <c r="O28" s="1588"/>
      <c r="P28" s="1582"/>
      <c r="Q28" s="1582"/>
      <c r="R28" s="1582"/>
      <c r="S28" s="1582"/>
      <c r="T28" s="1582"/>
      <c r="U28" s="1582"/>
      <c r="V28" s="1582"/>
      <c r="W28" s="1582"/>
      <c r="X28" s="1582"/>
      <c r="Y28" s="1582"/>
      <c r="Z28" s="1582"/>
      <c r="AA28" s="1582"/>
      <c r="AB28" s="1582"/>
      <c r="AC28" s="1582"/>
    </row>
    <row r="29" spans="2:29" ht="20">
      <c r="B29" s="1618" t="s">
        <v>409</v>
      </c>
      <c r="C29" s="1619" t="s">
        <v>414</v>
      </c>
      <c r="D29" s="1619" t="s">
        <v>414</v>
      </c>
      <c r="E29" s="1619" t="s">
        <v>414</v>
      </c>
      <c r="F29" s="1620">
        <v>400</v>
      </c>
      <c r="G29" s="1620">
        <v>400</v>
      </c>
      <c r="H29" s="1620">
        <v>600</v>
      </c>
      <c r="I29" s="1620">
        <v>425</v>
      </c>
      <c r="J29" s="1620"/>
      <c r="K29" s="1589"/>
      <c r="L29" s="1589"/>
      <c r="M29" s="1589"/>
      <c r="N29" s="1588"/>
      <c r="O29" s="1588"/>
      <c r="P29" s="1582"/>
      <c r="Q29" s="1582"/>
      <c r="R29" s="1582"/>
      <c r="S29" s="1582"/>
      <c r="T29" s="1582"/>
      <c r="U29" s="1582"/>
      <c r="V29" s="1582"/>
      <c r="W29" s="1582"/>
      <c r="X29" s="1582"/>
      <c r="Y29" s="1582"/>
      <c r="Z29" s="1582"/>
      <c r="AA29" s="1582"/>
      <c r="AB29" s="1582"/>
      <c r="AC29" s="1582"/>
    </row>
    <row r="30" spans="2:29" ht="20">
      <c r="B30" s="1618" t="s">
        <v>408</v>
      </c>
      <c r="C30" s="1619" t="s">
        <v>414</v>
      </c>
      <c r="D30" s="1619" t="s">
        <v>414</v>
      </c>
      <c r="E30" s="1619" t="s">
        <v>414</v>
      </c>
      <c r="F30" s="1620">
        <v>550</v>
      </c>
      <c r="G30" s="1620">
        <v>550</v>
      </c>
      <c r="H30" s="1620">
        <v>600</v>
      </c>
      <c r="I30" s="1620">
        <v>425</v>
      </c>
      <c r="J30" s="1620"/>
      <c r="K30" s="1589"/>
      <c r="L30" s="1589"/>
      <c r="M30" s="1589"/>
      <c r="N30" s="1588"/>
      <c r="O30" s="1588"/>
      <c r="P30" s="1582"/>
      <c r="Q30" s="1582"/>
      <c r="R30" s="1582"/>
      <c r="S30" s="1582"/>
      <c r="T30" s="1582"/>
      <c r="U30" s="1582"/>
      <c r="V30" s="1582"/>
      <c r="W30" s="1582"/>
      <c r="X30" s="1582"/>
      <c r="Y30" s="1582"/>
      <c r="Z30" s="1582"/>
      <c r="AA30" s="1582"/>
      <c r="AB30" s="1582"/>
      <c r="AC30" s="1582"/>
    </row>
    <row r="31" spans="2:29" ht="20">
      <c r="B31" s="1618" t="s">
        <v>834</v>
      </c>
      <c r="C31" s="1619"/>
      <c r="D31" s="1619"/>
      <c r="E31" s="1620"/>
      <c r="F31" s="1620"/>
      <c r="G31" s="1620"/>
      <c r="H31" s="1620"/>
      <c r="I31" s="1620">
        <v>350</v>
      </c>
      <c r="J31" s="1620"/>
      <c r="K31" s="1589"/>
      <c r="L31" s="1589"/>
      <c r="M31" s="1589"/>
      <c r="N31" s="1588"/>
      <c r="O31" s="1588"/>
      <c r="P31" s="1582"/>
      <c r="Q31" s="1582"/>
      <c r="R31" s="1582"/>
      <c r="S31" s="1582"/>
      <c r="T31" s="1582"/>
      <c r="U31" s="1582"/>
      <c r="V31" s="1582"/>
      <c r="W31" s="1582"/>
      <c r="X31" s="1582"/>
      <c r="Y31" s="1582"/>
      <c r="Z31" s="1582"/>
      <c r="AA31" s="1582"/>
      <c r="AB31" s="1582"/>
      <c r="AC31" s="1582"/>
    </row>
    <row r="32" spans="2:29" ht="20">
      <c r="B32" s="1618" t="s">
        <v>411</v>
      </c>
      <c r="C32" s="1619" t="s">
        <v>414</v>
      </c>
      <c r="D32" s="1619" t="s">
        <v>414</v>
      </c>
      <c r="E32" s="1619" t="s">
        <v>414</v>
      </c>
      <c r="F32" s="1620"/>
      <c r="G32" s="1620"/>
      <c r="H32" s="1620">
        <v>0</v>
      </c>
      <c r="I32" s="1620">
        <v>0</v>
      </c>
      <c r="J32" s="1620"/>
      <c r="K32" s="1589"/>
      <c r="L32" s="1589"/>
      <c r="M32" s="1589"/>
      <c r="N32" s="1588"/>
      <c r="O32" s="1588"/>
      <c r="P32" s="1582"/>
      <c r="Q32" s="1582"/>
      <c r="R32" s="1582"/>
      <c r="S32" s="1582"/>
      <c r="T32" s="1582"/>
      <c r="U32" s="1582"/>
      <c r="V32" s="1582"/>
      <c r="W32" s="1582"/>
      <c r="X32" s="1582"/>
      <c r="Y32" s="1582"/>
      <c r="Z32" s="1582"/>
      <c r="AA32" s="1582"/>
      <c r="AB32" s="1582"/>
      <c r="AC32" s="1582"/>
    </row>
    <row r="33" spans="2:29" ht="20">
      <c r="B33" s="1618"/>
      <c r="C33" s="1620"/>
      <c r="D33" s="1620"/>
      <c r="E33" s="1620"/>
      <c r="F33" s="1620"/>
      <c r="G33" s="1620"/>
      <c r="H33" s="1620"/>
      <c r="I33" s="1620"/>
      <c r="J33" s="1620"/>
      <c r="K33" s="1589"/>
      <c r="L33" s="1589"/>
      <c r="M33" s="1589"/>
      <c r="N33" s="1588"/>
      <c r="O33" s="1588"/>
      <c r="P33" s="1582"/>
      <c r="Q33" s="1582"/>
      <c r="R33" s="1582"/>
      <c r="S33" s="1582"/>
      <c r="T33" s="1582"/>
      <c r="U33" s="1582"/>
      <c r="V33" s="1582"/>
      <c r="W33" s="1582"/>
      <c r="X33" s="1582"/>
      <c r="Y33" s="1582"/>
      <c r="Z33" s="1582"/>
      <c r="AA33" s="1582"/>
      <c r="AB33" s="1582"/>
      <c r="AC33" s="1582"/>
    </row>
    <row r="34" spans="2:29" ht="20">
      <c r="B34" s="1618"/>
      <c r="C34" s="1620"/>
      <c r="D34" s="1619"/>
      <c r="E34" s="1620"/>
      <c r="F34" s="1620"/>
      <c r="G34" s="1620"/>
      <c r="H34" s="1620"/>
      <c r="I34" s="1620"/>
      <c r="J34" s="1620"/>
      <c r="K34" s="1589"/>
      <c r="L34" s="1589"/>
      <c r="M34" s="1589"/>
      <c r="N34" s="1588"/>
      <c r="O34" s="1588"/>
      <c r="P34" s="1582"/>
      <c r="Q34" s="1582"/>
      <c r="R34" s="1582"/>
      <c r="S34" s="1582"/>
      <c r="T34" s="1582"/>
      <c r="U34" s="1582"/>
      <c r="V34" s="1582"/>
      <c r="W34" s="1582"/>
      <c r="X34" s="1582"/>
      <c r="Y34" s="1582"/>
      <c r="Z34" s="1582"/>
      <c r="AA34" s="1582"/>
      <c r="AB34" s="1582"/>
      <c r="AC34" s="1582"/>
    </row>
    <row r="35" spans="2:29" ht="20">
      <c r="B35" s="1618"/>
      <c r="C35" s="1620"/>
      <c r="D35" s="1621"/>
      <c r="E35" s="1621"/>
      <c r="F35" s="1620"/>
      <c r="G35" s="1620"/>
      <c r="H35" s="1620"/>
      <c r="I35" s="1620"/>
      <c r="J35" s="1622"/>
      <c r="K35" s="1618"/>
      <c r="L35" s="1618"/>
      <c r="M35" s="1618"/>
      <c r="N35" s="1618"/>
      <c r="O35" s="1618"/>
      <c r="P35" s="1582"/>
      <c r="Q35" s="1582"/>
      <c r="R35" s="1582"/>
      <c r="S35" s="1582"/>
      <c r="T35" s="1582"/>
      <c r="U35" s="1582"/>
      <c r="V35" s="1582"/>
      <c r="W35" s="1582"/>
      <c r="X35" s="1582"/>
      <c r="Y35" s="1582"/>
      <c r="Z35" s="1582"/>
      <c r="AA35" s="1582"/>
      <c r="AB35" s="1582"/>
      <c r="AC35" s="1582"/>
    </row>
    <row r="36" spans="2:29" ht="20">
      <c r="B36" s="1623"/>
      <c r="C36" s="1620"/>
      <c r="D36" s="1619"/>
      <c r="E36" s="1620"/>
      <c r="F36" s="1620"/>
      <c r="G36" s="1620"/>
      <c r="H36" s="1620"/>
      <c r="I36" s="1620"/>
      <c r="J36" s="1620"/>
      <c r="K36" s="1618"/>
      <c r="L36" s="1618"/>
      <c r="M36" s="1618"/>
      <c r="N36" s="1618"/>
      <c r="O36" s="1618"/>
      <c r="P36" s="1582"/>
      <c r="Q36" s="1582"/>
      <c r="R36" s="1582"/>
      <c r="S36" s="1582"/>
      <c r="T36" s="1582"/>
      <c r="U36" s="1582"/>
      <c r="V36" s="1582"/>
      <c r="W36" s="1582"/>
      <c r="X36" s="1582"/>
      <c r="Y36" s="1582"/>
      <c r="Z36" s="1582"/>
      <c r="AA36" s="1582"/>
      <c r="AB36" s="1582"/>
      <c r="AC36" s="1582"/>
    </row>
    <row r="37" spans="2:29" ht="20">
      <c r="B37" s="1623" t="s">
        <v>404</v>
      </c>
      <c r="C37" s="1620">
        <v>50</v>
      </c>
      <c r="D37" s="1620">
        <v>50</v>
      </c>
      <c r="E37" s="1620">
        <v>50</v>
      </c>
      <c r="F37" s="1620">
        <v>50</v>
      </c>
      <c r="G37" s="1620">
        <v>50</v>
      </c>
      <c r="H37" s="1620">
        <v>50</v>
      </c>
      <c r="I37" s="1620">
        <v>50</v>
      </c>
      <c r="J37" s="1620">
        <v>30</v>
      </c>
      <c r="K37" s="1618"/>
      <c r="L37" s="1618"/>
      <c r="M37" s="1618"/>
      <c r="N37" s="1618"/>
      <c r="O37" s="1618"/>
      <c r="P37" s="1582"/>
      <c r="Q37" s="1582"/>
      <c r="R37" s="1582"/>
      <c r="S37" s="1582"/>
      <c r="T37" s="1582"/>
      <c r="U37" s="1582"/>
      <c r="V37" s="1582"/>
      <c r="W37" s="1582"/>
      <c r="X37" s="1582"/>
      <c r="Y37" s="1582"/>
      <c r="Z37" s="1582"/>
      <c r="AA37" s="1582"/>
      <c r="AB37" s="1582"/>
      <c r="AC37" s="1582"/>
    </row>
    <row r="38" spans="2:29" ht="68" customHeight="1">
      <c r="B38" s="1624" t="s">
        <v>410</v>
      </c>
      <c r="C38" s="1617" t="str">
        <f t="shared" ref="C38:J38" si="0">IF(C32="N/A","N/A",((C27/C$37)+(C32*C$37)))</f>
        <v>N/A</v>
      </c>
      <c r="D38" s="1617" t="str">
        <f t="shared" si="0"/>
        <v>N/A</v>
      </c>
      <c r="E38" s="1617" t="str">
        <f t="shared" si="0"/>
        <v>N/A</v>
      </c>
      <c r="F38" s="1617">
        <f t="shared" si="0"/>
        <v>4</v>
      </c>
      <c r="G38" s="1617">
        <f t="shared" si="0"/>
        <v>4</v>
      </c>
      <c r="H38" s="1617">
        <f t="shared" si="0"/>
        <v>12</v>
      </c>
      <c r="I38" s="1617">
        <f t="shared" si="0"/>
        <v>8.5</v>
      </c>
      <c r="J38" s="1617">
        <f t="shared" si="0"/>
        <v>0</v>
      </c>
      <c r="K38" s="2380" t="s">
        <v>1954</v>
      </c>
      <c r="L38" s="2380"/>
      <c r="M38" s="2380"/>
      <c r="N38" s="2380"/>
      <c r="O38" s="2380"/>
      <c r="P38" s="1582"/>
      <c r="Q38" s="1582"/>
      <c r="R38" s="1582"/>
      <c r="S38" s="1582"/>
      <c r="T38" s="1582"/>
      <c r="U38" s="1582"/>
      <c r="V38" s="1582"/>
      <c r="W38" s="1582"/>
      <c r="X38" s="1582"/>
      <c r="Y38" s="1582"/>
      <c r="Z38" s="1582"/>
      <c r="AA38" s="1582"/>
      <c r="AB38" s="1582"/>
      <c r="AC38" s="1582"/>
    </row>
    <row r="39" spans="2:29" ht="20">
      <c r="B39" s="1583"/>
      <c r="C39" s="1576"/>
      <c r="D39" s="1576"/>
      <c r="E39" s="1576"/>
      <c r="F39" s="1576"/>
      <c r="G39" s="1576"/>
      <c r="H39" s="1576"/>
      <c r="I39" s="1576"/>
      <c r="J39" s="1576"/>
      <c r="K39" s="1583"/>
      <c r="L39" s="1583"/>
      <c r="M39" s="1583"/>
      <c r="N39" s="1583"/>
      <c r="O39" s="1583"/>
      <c r="P39" s="1582"/>
      <c r="Q39" s="1582"/>
      <c r="R39" s="1582"/>
      <c r="S39" s="1582"/>
      <c r="T39" s="1582"/>
      <c r="U39" s="1582"/>
      <c r="V39" s="1582"/>
      <c r="W39" s="1582"/>
      <c r="X39" s="1582"/>
      <c r="Y39" s="1582"/>
      <c r="Z39" s="1582"/>
      <c r="AA39" s="1582"/>
      <c r="AB39" s="1582"/>
      <c r="AC39" s="1582"/>
    </row>
    <row r="40" spans="2:29" ht="20">
      <c r="B40" s="1583" t="s">
        <v>415</v>
      </c>
      <c r="C40" s="1576"/>
      <c r="D40" s="1576"/>
      <c r="E40" s="1576"/>
      <c r="F40" s="1576"/>
      <c r="G40" s="1576"/>
      <c r="H40" s="1576"/>
      <c r="I40" s="1576"/>
      <c r="J40" s="1576"/>
      <c r="K40" s="1583"/>
      <c r="L40" s="1583"/>
      <c r="M40" s="1583"/>
      <c r="N40" s="1583"/>
      <c r="O40" s="1583"/>
      <c r="P40" s="1582"/>
      <c r="Q40" s="1582"/>
      <c r="R40" s="1582"/>
      <c r="S40" s="1582"/>
      <c r="T40" s="1582"/>
      <c r="U40" s="1582"/>
      <c r="V40" s="1582"/>
      <c r="W40" s="1582"/>
      <c r="X40" s="1582"/>
      <c r="Y40" s="1582"/>
      <c r="Z40" s="1582"/>
      <c r="AA40" s="1582"/>
      <c r="AB40" s="1582"/>
      <c r="AC40" s="1582"/>
    </row>
    <row r="41" spans="2:29">
      <c r="B41" s="1582"/>
      <c r="C41" s="1582"/>
      <c r="D41" s="1582"/>
      <c r="E41" s="1582"/>
      <c r="F41" s="1582"/>
      <c r="G41" s="1582"/>
      <c r="H41" s="1582"/>
      <c r="I41" s="1582"/>
      <c r="J41" s="1582"/>
      <c r="K41" s="1582"/>
      <c r="L41" s="1582"/>
      <c r="M41" s="1582"/>
      <c r="N41" s="1582"/>
      <c r="O41" s="1582"/>
      <c r="P41" s="1582"/>
      <c r="Q41" s="1582"/>
      <c r="R41" s="1582"/>
      <c r="S41" s="1582"/>
      <c r="T41" s="1582"/>
      <c r="U41" s="1582"/>
      <c r="V41" s="1582"/>
      <c r="W41" s="1582"/>
      <c r="X41" s="1582"/>
      <c r="Y41" s="1582"/>
      <c r="Z41" s="1582"/>
      <c r="AA41" s="1582"/>
      <c r="AB41" s="1582"/>
      <c r="AC41" s="1582"/>
    </row>
    <row r="42" spans="2:29">
      <c r="B42" s="1582"/>
      <c r="C42" s="1582"/>
      <c r="D42" s="1582"/>
      <c r="E42" s="1582"/>
      <c r="F42" s="1582"/>
      <c r="G42" s="1582"/>
      <c r="H42" s="1582"/>
      <c r="I42" s="1582"/>
      <c r="J42" s="1582"/>
      <c r="K42" s="1582"/>
      <c r="L42" s="1582"/>
      <c r="M42" s="1582"/>
      <c r="N42" s="1582"/>
      <c r="O42" s="1582"/>
      <c r="P42" s="1582"/>
      <c r="Q42" s="1582"/>
      <c r="R42" s="1582"/>
      <c r="S42" s="1582"/>
      <c r="T42" s="1582"/>
      <c r="U42" s="1582"/>
      <c r="V42" s="1582"/>
      <c r="W42" s="1582"/>
      <c r="X42" s="1582"/>
      <c r="Y42" s="1582"/>
      <c r="Z42" s="1582"/>
      <c r="AA42" s="1582"/>
      <c r="AB42" s="1582"/>
      <c r="AC42" s="1582"/>
    </row>
    <row r="43" spans="2:29">
      <c r="C43" s="1581"/>
      <c r="D43" s="1581"/>
      <c r="E43" s="1581"/>
      <c r="F43" s="1581"/>
      <c r="G43" s="1581"/>
      <c r="H43" s="1581"/>
      <c r="I43" s="1581"/>
      <c r="J43" s="1581"/>
    </row>
    <row r="44" spans="2:29">
      <c r="C44" s="1581"/>
      <c r="D44" s="1581"/>
      <c r="E44" s="1581"/>
      <c r="F44" s="1581"/>
      <c r="G44" s="1581"/>
      <c r="H44" s="1581"/>
      <c r="I44" s="1581"/>
      <c r="J44" s="1581"/>
    </row>
    <row r="45" spans="2:29">
      <c r="C45" s="1581"/>
      <c r="D45" s="1581"/>
      <c r="E45" s="1581"/>
      <c r="F45" s="1581"/>
      <c r="G45" s="1581"/>
      <c r="H45" s="1581"/>
      <c r="I45" s="1581"/>
      <c r="J45" s="1581"/>
    </row>
    <row r="46" spans="2:29">
      <c r="C46" s="1581"/>
      <c r="D46" s="1581"/>
      <c r="E46" s="1581"/>
      <c r="F46" s="1581"/>
      <c r="G46" s="1581"/>
      <c r="H46" s="1581"/>
      <c r="I46" s="1581"/>
      <c r="J46" s="1581"/>
    </row>
    <row r="47" spans="2:29">
      <c r="C47" s="1581"/>
      <c r="D47" s="1581"/>
      <c r="E47" s="1581"/>
      <c r="F47" s="1581"/>
      <c r="G47" s="1581"/>
      <c r="H47" s="1581"/>
      <c r="I47" s="1581"/>
      <c r="J47" s="1581"/>
    </row>
  </sheetData>
  <sheetProtection algorithmName="SHA-512" hashValue="I7ZjFwJ0SgyE/lFiVT6lYOudFXx472xPHXKxG9SY1fiDc7+LgpQnY4En6utKE941c/f6sgbziCy5jG1ipv7Iaw==" saltValue="/giHnZNlwlJOKxlijZKE8A==" spinCount="100000" sheet="1" objects="1" scenarios="1"/>
  <mergeCells count="1">
    <mergeCell ref="K38:O38"/>
  </mergeCells>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94545-E6FB-1743-AB09-F9D4875B2FFA}">
  <sheetPr codeName="Sheet10">
    <tabColor theme="3"/>
  </sheetPr>
  <dimension ref="A1:P49"/>
  <sheetViews>
    <sheetView topLeftCell="D1" zoomScaleNormal="100" workbookViewId="0">
      <selection activeCell="A48" sqref="A48:F49"/>
    </sheetView>
  </sheetViews>
  <sheetFormatPr baseColWidth="10" defaultRowHeight="16"/>
  <cols>
    <col min="1" max="1" width="14.75" style="158" customWidth="1"/>
    <col min="2" max="2" width="20.5" style="158" customWidth="1"/>
    <col min="3" max="5" width="28.5" style="158" customWidth="1"/>
    <col min="6" max="6" width="47.75" style="158" customWidth="1"/>
    <col min="7" max="16" width="12.25" style="158" customWidth="1"/>
    <col min="17" max="16384" width="10.75" style="158"/>
  </cols>
  <sheetData>
    <row r="1" spans="1:16">
      <c r="A1" s="181" t="s">
        <v>487</v>
      </c>
    </row>
    <row r="2" spans="1:16">
      <c r="A2" s="182" t="s">
        <v>484</v>
      </c>
    </row>
    <row r="3" spans="1:16">
      <c r="A3" s="180"/>
    </row>
    <row r="4" spans="1:16">
      <c r="B4" s="157" t="s">
        <v>464</v>
      </c>
      <c r="C4" s="157"/>
      <c r="G4" s="159" t="s">
        <v>467</v>
      </c>
      <c r="H4" s="159"/>
      <c r="I4" s="159"/>
      <c r="J4" s="159"/>
      <c r="K4" s="159"/>
      <c r="L4" s="159"/>
      <c r="M4" s="159"/>
      <c r="N4" s="159"/>
      <c r="O4" s="159"/>
      <c r="P4" s="159"/>
    </row>
    <row r="5" spans="1:16">
      <c r="B5" s="183" t="s">
        <v>465</v>
      </c>
      <c r="C5" s="160" t="s">
        <v>466</v>
      </c>
      <c r="D5" s="161"/>
      <c r="G5" s="185" t="s">
        <v>468</v>
      </c>
      <c r="H5" s="2385" t="s">
        <v>469</v>
      </c>
      <c r="I5" s="2386"/>
      <c r="J5" s="2386"/>
      <c r="K5" s="2386"/>
      <c r="L5" s="2386"/>
      <c r="M5" s="2386"/>
      <c r="N5" s="2386"/>
      <c r="O5" s="2386"/>
      <c r="P5" s="2387"/>
    </row>
    <row r="6" spans="1:16">
      <c r="B6" s="189">
        <v>2015</v>
      </c>
      <c r="C6" s="186">
        <v>46</v>
      </c>
      <c r="D6" s="161"/>
      <c r="G6" s="192"/>
      <c r="H6" s="195">
        <v>2023</v>
      </c>
      <c r="I6" s="195">
        <v>2022</v>
      </c>
      <c r="J6" s="195">
        <v>2021</v>
      </c>
      <c r="K6" s="195">
        <v>2020</v>
      </c>
      <c r="L6" s="195">
        <v>2019</v>
      </c>
      <c r="M6" s="195">
        <v>2018</v>
      </c>
      <c r="N6" s="195">
        <v>2017</v>
      </c>
      <c r="O6" s="195">
        <v>2016</v>
      </c>
      <c r="P6" s="195">
        <v>2015</v>
      </c>
    </row>
    <row r="7" spans="1:16">
      <c r="B7" s="189">
        <v>2016</v>
      </c>
      <c r="C7" s="186">
        <v>40</v>
      </c>
      <c r="D7" s="161"/>
      <c r="G7" s="162">
        <v>1</v>
      </c>
      <c r="H7" s="163">
        <v>38</v>
      </c>
      <c r="I7" s="163">
        <v>25</v>
      </c>
      <c r="J7" s="163">
        <v>19</v>
      </c>
      <c r="K7" s="163">
        <v>15</v>
      </c>
      <c r="L7" s="163">
        <v>14</v>
      </c>
      <c r="M7" s="163">
        <v>13</v>
      </c>
      <c r="N7" s="163">
        <v>10</v>
      </c>
      <c r="O7" s="163">
        <v>26</v>
      </c>
      <c r="P7" s="163">
        <v>31</v>
      </c>
    </row>
    <row r="8" spans="1:16">
      <c r="B8" s="189">
        <v>2017</v>
      </c>
      <c r="C8" s="186">
        <v>18</v>
      </c>
      <c r="D8" s="161"/>
      <c r="G8" s="164">
        <v>2</v>
      </c>
      <c r="H8" s="165">
        <v>34</v>
      </c>
      <c r="I8" s="165">
        <v>23</v>
      </c>
      <c r="J8" s="165">
        <v>19</v>
      </c>
      <c r="K8" s="165">
        <v>14</v>
      </c>
      <c r="L8" s="165">
        <v>13</v>
      </c>
      <c r="M8" s="165">
        <v>12</v>
      </c>
      <c r="N8" s="165">
        <v>10</v>
      </c>
      <c r="O8" s="165">
        <v>25</v>
      </c>
      <c r="P8" s="165">
        <v>31</v>
      </c>
    </row>
    <row r="9" spans="1:16">
      <c r="B9" s="189">
        <v>2018</v>
      </c>
      <c r="C9" s="186">
        <v>29</v>
      </c>
      <c r="D9" s="161"/>
      <c r="G9" s="164">
        <v>3</v>
      </c>
      <c r="H9" s="165">
        <v>34</v>
      </c>
      <c r="I9" s="165">
        <v>24</v>
      </c>
      <c r="J9" s="165">
        <v>20</v>
      </c>
      <c r="K9" s="165">
        <v>15</v>
      </c>
      <c r="L9" s="165">
        <v>13</v>
      </c>
      <c r="M9" s="165">
        <v>12</v>
      </c>
      <c r="N9" s="165">
        <v>10</v>
      </c>
      <c r="O9" s="165">
        <v>25</v>
      </c>
      <c r="P9" s="165">
        <v>31</v>
      </c>
    </row>
    <row r="10" spans="1:16">
      <c r="B10" s="189">
        <v>2019</v>
      </c>
      <c r="C10" s="186">
        <v>29</v>
      </c>
      <c r="D10" s="161"/>
      <c r="G10" s="164">
        <v>4</v>
      </c>
      <c r="H10" s="165">
        <v>37</v>
      </c>
      <c r="I10" s="165">
        <v>26</v>
      </c>
      <c r="J10" s="165">
        <v>23</v>
      </c>
      <c r="K10" s="165">
        <v>18</v>
      </c>
      <c r="L10" s="165">
        <v>15</v>
      </c>
      <c r="M10" s="165">
        <v>14</v>
      </c>
      <c r="N10" s="165">
        <v>11</v>
      </c>
      <c r="O10" s="165">
        <v>26</v>
      </c>
      <c r="P10" s="165">
        <v>33</v>
      </c>
    </row>
    <row r="11" spans="1:16">
      <c r="B11" s="189">
        <v>2020</v>
      </c>
      <c r="C11" s="186">
        <v>36</v>
      </c>
      <c r="D11" s="161"/>
      <c r="G11" s="164">
        <v>5</v>
      </c>
      <c r="H11" s="165">
        <v>43</v>
      </c>
      <c r="I11" s="165">
        <v>30</v>
      </c>
      <c r="J11" s="165">
        <v>27</v>
      </c>
      <c r="K11" s="165">
        <v>21</v>
      </c>
      <c r="L11" s="165">
        <v>17</v>
      </c>
      <c r="M11" s="165">
        <v>17</v>
      </c>
      <c r="N11" s="165">
        <v>12</v>
      </c>
      <c r="O11" s="165">
        <v>28</v>
      </c>
      <c r="P11" s="165">
        <v>35</v>
      </c>
    </row>
    <row r="12" spans="1:16">
      <c r="B12" s="189">
        <v>2021</v>
      </c>
      <c r="C12" s="186">
        <v>44</v>
      </c>
      <c r="D12" s="161"/>
      <c r="G12" s="164">
        <v>6</v>
      </c>
      <c r="H12" s="165">
        <v>51</v>
      </c>
      <c r="I12" s="165">
        <v>37</v>
      </c>
      <c r="J12" s="165">
        <v>32</v>
      </c>
      <c r="K12" s="165">
        <v>25</v>
      </c>
      <c r="L12" s="165">
        <v>21</v>
      </c>
      <c r="M12" s="165">
        <v>21</v>
      </c>
      <c r="N12" s="165">
        <v>13</v>
      </c>
      <c r="O12" s="165">
        <v>31</v>
      </c>
      <c r="P12" s="165">
        <v>38</v>
      </c>
    </row>
    <row r="13" spans="1:16">
      <c r="B13" s="189">
        <v>2022</v>
      </c>
      <c r="C13" s="186">
        <v>51</v>
      </c>
      <c r="D13" s="161"/>
      <c r="G13" s="164">
        <v>7</v>
      </c>
      <c r="H13" s="165">
        <v>58</v>
      </c>
      <c r="I13" s="165">
        <v>43</v>
      </c>
      <c r="J13" s="165">
        <v>36</v>
      </c>
      <c r="K13" s="165">
        <v>29</v>
      </c>
      <c r="L13" s="165">
        <v>25</v>
      </c>
      <c r="M13" s="165">
        <v>25</v>
      </c>
      <c r="N13" s="165">
        <v>15</v>
      </c>
      <c r="O13" s="165">
        <v>34</v>
      </c>
      <c r="P13" s="165">
        <v>41</v>
      </c>
    </row>
    <row r="14" spans="1:16">
      <c r="B14" s="189">
        <v>2023</v>
      </c>
      <c r="C14" s="186">
        <v>67</v>
      </c>
      <c r="D14" s="161"/>
      <c r="G14" s="164">
        <v>8</v>
      </c>
      <c r="H14" s="165">
        <v>64</v>
      </c>
      <c r="I14" s="165">
        <v>49</v>
      </c>
      <c r="J14" s="165">
        <v>41</v>
      </c>
      <c r="K14" s="165">
        <v>32</v>
      </c>
      <c r="L14" s="165">
        <v>28</v>
      </c>
      <c r="M14" s="165">
        <v>27</v>
      </c>
      <c r="N14" s="165">
        <v>16</v>
      </c>
      <c r="O14" s="165">
        <v>36</v>
      </c>
      <c r="P14" s="165">
        <v>44</v>
      </c>
    </row>
    <row r="15" spans="1:16">
      <c r="B15" s="190">
        <v>2024</v>
      </c>
      <c r="C15" s="187">
        <v>71</v>
      </c>
      <c r="G15" s="164">
        <v>9</v>
      </c>
      <c r="H15" s="165">
        <v>69</v>
      </c>
      <c r="I15" s="165">
        <v>52</v>
      </c>
      <c r="J15" s="165">
        <v>44</v>
      </c>
      <c r="K15" s="165">
        <v>35</v>
      </c>
      <c r="L15" s="165">
        <v>30</v>
      </c>
      <c r="M15" s="165">
        <v>30</v>
      </c>
      <c r="N15" s="165">
        <v>17</v>
      </c>
      <c r="O15" s="165">
        <v>38</v>
      </c>
      <c r="P15" s="165">
        <v>45</v>
      </c>
    </row>
    <row r="16" spans="1:16">
      <c r="B16" s="189">
        <v>2025</v>
      </c>
      <c r="C16" s="188">
        <v>138</v>
      </c>
      <c r="D16" s="196" t="s">
        <v>470</v>
      </c>
      <c r="G16" s="164">
        <v>10</v>
      </c>
      <c r="H16" s="165">
        <v>72</v>
      </c>
      <c r="I16" s="165">
        <v>55</v>
      </c>
      <c r="J16" s="165">
        <v>47</v>
      </c>
      <c r="K16" s="165">
        <v>38</v>
      </c>
      <c r="L16" s="165">
        <v>32</v>
      </c>
      <c r="M16" s="165">
        <v>31</v>
      </c>
      <c r="N16" s="165">
        <v>18</v>
      </c>
      <c r="O16" s="165">
        <v>40</v>
      </c>
      <c r="P16" s="165">
        <v>46</v>
      </c>
    </row>
    <row r="17" spans="2:16">
      <c r="B17" s="189">
        <v>2026</v>
      </c>
      <c r="C17" s="188">
        <v>145</v>
      </c>
      <c r="D17" s="451" t="s">
        <v>488</v>
      </c>
      <c r="G17" s="164">
        <v>11</v>
      </c>
      <c r="H17" s="165">
        <v>73</v>
      </c>
      <c r="I17" s="165">
        <v>57</v>
      </c>
      <c r="J17" s="165">
        <v>49</v>
      </c>
      <c r="K17" s="165">
        <v>41</v>
      </c>
      <c r="L17" s="165">
        <v>33</v>
      </c>
      <c r="M17" s="165">
        <v>33</v>
      </c>
      <c r="N17" s="165">
        <v>19</v>
      </c>
      <c r="O17" s="165">
        <v>41</v>
      </c>
      <c r="P17" s="165">
        <v>48</v>
      </c>
    </row>
    <row r="18" spans="2:16">
      <c r="B18" s="189">
        <v>2027</v>
      </c>
      <c r="C18" s="188">
        <v>132</v>
      </c>
      <c r="D18" s="451" t="s">
        <v>489</v>
      </c>
      <c r="G18" s="164">
        <v>12</v>
      </c>
      <c r="H18" s="165">
        <v>73</v>
      </c>
      <c r="I18" s="165">
        <v>57</v>
      </c>
      <c r="J18" s="165">
        <v>51</v>
      </c>
      <c r="K18" s="165">
        <v>43</v>
      </c>
      <c r="L18" s="165">
        <v>34</v>
      </c>
      <c r="M18" s="165">
        <v>34</v>
      </c>
      <c r="N18" s="165">
        <v>19</v>
      </c>
      <c r="O18" s="165">
        <v>42</v>
      </c>
      <c r="P18" s="165">
        <v>49</v>
      </c>
    </row>
    <row r="19" spans="2:16">
      <c r="B19" s="189">
        <v>2028</v>
      </c>
      <c r="C19" s="188">
        <v>133</v>
      </c>
      <c r="D19" s="451" t="s">
        <v>490</v>
      </c>
      <c r="G19" s="164">
        <v>13</v>
      </c>
      <c r="H19" s="165">
        <v>74</v>
      </c>
      <c r="I19" s="165">
        <v>57</v>
      </c>
      <c r="J19" s="165">
        <v>51</v>
      </c>
      <c r="K19" s="165">
        <v>44</v>
      </c>
      <c r="L19" s="165">
        <v>34</v>
      </c>
      <c r="M19" s="165">
        <v>35</v>
      </c>
      <c r="N19" s="165">
        <v>20</v>
      </c>
      <c r="O19" s="165">
        <v>42</v>
      </c>
      <c r="P19" s="165">
        <v>50</v>
      </c>
    </row>
    <row r="20" spans="2:16">
      <c r="B20" s="189">
        <v>2029</v>
      </c>
      <c r="C20" s="188">
        <v>126</v>
      </c>
      <c r="D20" s="451" t="s">
        <v>490</v>
      </c>
      <c r="G20" s="164">
        <v>14</v>
      </c>
      <c r="H20" s="165">
        <v>75</v>
      </c>
      <c r="I20" s="165">
        <v>58</v>
      </c>
      <c r="J20" s="165">
        <v>53</v>
      </c>
      <c r="K20" s="165">
        <v>45</v>
      </c>
      <c r="L20" s="165">
        <v>35</v>
      </c>
      <c r="M20" s="165">
        <v>35</v>
      </c>
      <c r="N20" s="165">
        <v>21</v>
      </c>
      <c r="O20" s="165">
        <v>44</v>
      </c>
      <c r="P20" s="165">
        <v>51</v>
      </c>
    </row>
    <row r="21" spans="2:16">
      <c r="B21" s="189">
        <v>2030</v>
      </c>
      <c r="C21" s="188">
        <v>126</v>
      </c>
      <c r="D21" s="451" t="s">
        <v>490</v>
      </c>
      <c r="G21" s="164">
        <v>15</v>
      </c>
      <c r="H21" s="165">
        <v>76</v>
      </c>
      <c r="I21" s="165">
        <v>59</v>
      </c>
      <c r="J21" s="165">
        <v>54</v>
      </c>
      <c r="K21" s="165">
        <v>46</v>
      </c>
      <c r="L21" s="165">
        <v>35</v>
      </c>
      <c r="M21" s="165">
        <v>36</v>
      </c>
      <c r="N21" s="165">
        <v>22</v>
      </c>
      <c r="O21" s="165">
        <v>45</v>
      </c>
      <c r="P21" s="165">
        <v>51</v>
      </c>
    </row>
    <row r="22" spans="2:16">
      <c r="B22" s="189">
        <v>2031</v>
      </c>
      <c r="C22" s="188">
        <v>122</v>
      </c>
      <c r="D22" s="451" t="s">
        <v>490</v>
      </c>
      <c r="G22" s="164">
        <v>16</v>
      </c>
      <c r="H22" s="165">
        <v>78</v>
      </c>
      <c r="I22" s="165">
        <v>62</v>
      </c>
      <c r="J22" s="165">
        <v>55</v>
      </c>
      <c r="K22" s="165">
        <v>47</v>
      </c>
      <c r="L22" s="165">
        <v>36</v>
      </c>
      <c r="M22" s="165">
        <v>38</v>
      </c>
      <c r="N22" s="165">
        <v>23</v>
      </c>
      <c r="O22" s="165">
        <v>47</v>
      </c>
      <c r="P22" s="165">
        <v>52</v>
      </c>
    </row>
    <row r="23" spans="2:16">
      <c r="B23" s="189">
        <v>2032</v>
      </c>
      <c r="C23" s="188">
        <v>122</v>
      </c>
      <c r="D23" s="451" t="s">
        <v>490</v>
      </c>
      <c r="G23" s="164">
        <v>17</v>
      </c>
      <c r="H23" s="165">
        <v>81</v>
      </c>
      <c r="I23" s="165">
        <v>64</v>
      </c>
      <c r="J23" s="165">
        <v>56</v>
      </c>
      <c r="K23" s="165">
        <v>48</v>
      </c>
      <c r="L23" s="165">
        <v>37</v>
      </c>
      <c r="M23" s="165">
        <v>39</v>
      </c>
      <c r="N23" s="165">
        <v>24</v>
      </c>
      <c r="O23" s="165">
        <v>48</v>
      </c>
      <c r="P23" s="165">
        <v>53</v>
      </c>
    </row>
    <row r="24" spans="2:16">
      <c r="B24" s="189">
        <v>2033</v>
      </c>
      <c r="C24" s="188">
        <v>104</v>
      </c>
      <c r="D24" s="451" t="s">
        <v>490</v>
      </c>
      <c r="G24" s="164">
        <v>18</v>
      </c>
      <c r="H24" s="165">
        <v>82</v>
      </c>
      <c r="I24" s="165">
        <v>66</v>
      </c>
      <c r="J24" s="165">
        <v>58</v>
      </c>
      <c r="K24" s="165">
        <v>48</v>
      </c>
      <c r="L24" s="165">
        <v>38</v>
      </c>
      <c r="M24" s="165">
        <v>40</v>
      </c>
      <c r="N24" s="165">
        <v>24</v>
      </c>
      <c r="O24" s="165">
        <v>49</v>
      </c>
      <c r="P24" s="165">
        <v>54</v>
      </c>
    </row>
    <row r="25" spans="2:16">
      <c r="B25" s="189">
        <v>2034</v>
      </c>
      <c r="C25" s="188">
        <v>58</v>
      </c>
      <c r="G25" s="164">
        <v>19</v>
      </c>
      <c r="H25" s="165">
        <v>82</v>
      </c>
      <c r="I25" s="165">
        <v>66</v>
      </c>
      <c r="J25" s="165">
        <v>56</v>
      </c>
      <c r="K25" s="165">
        <v>47</v>
      </c>
      <c r="L25" s="165">
        <v>38</v>
      </c>
      <c r="M25" s="165">
        <v>40</v>
      </c>
      <c r="N25" s="165">
        <v>24</v>
      </c>
      <c r="O25" s="165">
        <v>49</v>
      </c>
      <c r="P25" s="165">
        <v>54</v>
      </c>
    </row>
    <row r="26" spans="2:16">
      <c r="B26" s="189">
        <v>2035</v>
      </c>
      <c r="C26" s="188">
        <v>40</v>
      </c>
      <c r="G26" s="164">
        <v>20</v>
      </c>
      <c r="H26" s="165">
        <v>81</v>
      </c>
      <c r="I26" s="165">
        <v>64</v>
      </c>
      <c r="J26" s="165">
        <v>53</v>
      </c>
      <c r="K26" s="165">
        <v>44</v>
      </c>
      <c r="L26" s="165">
        <v>37</v>
      </c>
      <c r="M26" s="165">
        <v>38</v>
      </c>
      <c r="N26" s="165">
        <v>23</v>
      </c>
      <c r="O26" s="165">
        <v>49</v>
      </c>
      <c r="P26" s="165">
        <v>53</v>
      </c>
    </row>
    <row r="27" spans="2:16">
      <c r="B27" s="189">
        <v>2036</v>
      </c>
      <c r="C27" s="188">
        <v>34</v>
      </c>
      <c r="G27" s="164">
        <v>21</v>
      </c>
      <c r="H27" s="165">
        <v>78</v>
      </c>
      <c r="I27" s="165">
        <v>61</v>
      </c>
      <c r="J27" s="165">
        <v>48</v>
      </c>
      <c r="K27" s="165">
        <v>40</v>
      </c>
      <c r="L27" s="165">
        <v>34</v>
      </c>
      <c r="M27" s="165">
        <v>35</v>
      </c>
      <c r="N27" s="165">
        <v>21</v>
      </c>
      <c r="O27" s="165">
        <v>47</v>
      </c>
      <c r="P27" s="165">
        <v>52</v>
      </c>
    </row>
    <row r="28" spans="2:16">
      <c r="B28" s="189">
        <v>2037</v>
      </c>
      <c r="C28" s="188">
        <v>33</v>
      </c>
      <c r="G28" s="164">
        <v>22</v>
      </c>
      <c r="H28" s="165">
        <v>72</v>
      </c>
      <c r="I28" s="165">
        <v>53</v>
      </c>
      <c r="J28" s="165">
        <v>40</v>
      </c>
      <c r="K28" s="165">
        <v>33</v>
      </c>
      <c r="L28" s="165">
        <v>29</v>
      </c>
      <c r="M28" s="165">
        <v>29</v>
      </c>
      <c r="N28" s="165">
        <v>18</v>
      </c>
      <c r="O28" s="165">
        <v>43</v>
      </c>
      <c r="P28" s="165">
        <v>47</v>
      </c>
    </row>
    <row r="29" spans="2:16">
      <c r="B29" s="189">
        <v>2038</v>
      </c>
      <c r="C29" s="188">
        <v>32</v>
      </c>
      <c r="G29" s="164">
        <v>23</v>
      </c>
      <c r="H29" s="165">
        <v>60</v>
      </c>
      <c r="I29" s="165">
        <v>41</v>
      </c>
      <c r="J29" s="165">
        <v>31</v>
      </c>
      <c r="K29" s="165">
        <v>25</v>
      </c>
      <c r="L29" s="165">
        <v>22</v>
      </c>
      <c r="M29" s="165">
        <v>21</v>
      </c>
      <c r="N29" s="165">
        <v>15</v>
      </c>
      <c r="O29" s="165">
        <v>35</v>
      </c>
      <c r="P29" s="165">
        <v>40</v>
      </c>
    </row>
    <row r="30" spans="2:16">
      <c r="B30" s="189">
        <v>2039</v>
      </c>
      <c r="C30" s="188">
        <v>13</v>
      </c>
      <c r="G30" s="164">
        <v>24</v>
      </c>
      <c r="H30" s="165">
        <v>48</v>
      </c>
      <c r="I30" s="165">
        <v>31</v>
      </c>
      <c r="J30" s="165">
        <v>23</v>
      </c>
      <c r="K30" s="165">
        <v>19</v>
      </c>
      <c r="L30" s="165">
        <v>16</v>
      </c>
      <c r="M30" s="165">
        <v>15</v>
      </c>
      <c r="N30" s="165">
        <v>12</v>
      </c>
      <c r="O30" s="165">
        <v>29</v>
      </c>
      <c r="P30" s="165">
        <v>35</v>
      </c>
    </row>
    <row r="31" spans="2:16">
      <c r="B31" s="189">
        <v>2040</v>
      </c>
      <c r="C31" s="188">
        <v>8</v>
      </c>
      <c r="G31" s="193"/>
      <c r="H31" s="193"/>
      <c r="I31" s="193"/>
      <c r="J31" s="193"/>
      <c r="K31" s="193"/>
      <c r="L31" s="193"/>
      <c r="M31" s="193"/>
      <c r="N31" s="193"/>
      <c r="O31" s="193"/>
      <c r="P31" s="193"/>
    </row>
    <row r="32" spans="2:16" ht="17">
      <c r="B32" s="189">
        <v>2041</v>
      </c>
      <c r="C32" s="188">
        <v>3</v>
      </c>
      <c r="F32" s="191" t="s">
        <v>486</v>
      </c>
      <c r="G32" s="193"/>
      <c r="H32" s="194">
        <f>SUM(H7:H30)/24</f>
        <v>63.875</v>
      </c>
      <c r="I32" s="194">
        <f t="shared" ref="I32:P32" si="0">SUM(I7:I30)/24</f>
        <v>48.333333333333336</v>
      </c>
      <c r="J32" s="194">
        <f t="shared" si="0"/>
        <v>41.083333333333336</v>
      </c>
      <c r="K32" s="194">
        <f t="shared" si="0"/>
        <v>33.833333333333336</v>
      </c>
      <c r="L32" s="194">
        <f t="shared" si="0"/>
        <v>27.75</v>
      </c>
      <c r="M32" s="194">
        <f t="shared" si="0"/>
        <v>27.916666666666668</v>
      </c>
      <c r="N32" s="194">
        <f t="shared" si="0"/>
        <v>17.375</v>
      </c>
      <c r="O32" s="194">
        <f t="shared" si="0"/>
        <v>38.291666666666664</v>
      </c>
      <c r="P32" s="194">
        <f t="shared" si="0"/>
        <v>44.333333333333336</v>
      </c>
    </row>
    <row r="37" spans="1:6">
      <c r="A37" s="184" t="s">
        <v>471</v>
      </c>
      <c r="B37" s="159"/>
      <c r="C37" s="159"/>
      <c r="D37" s="159"/>
      <c r="E37" s="159"/>
      <c r="F37" s="159"/>
    </row>
    <row r="38" spans="1:6">
      <c r="A38" s="2382" t="s">
        <v>472</v>
      </c>
      <c r="B38" s="2382" t="s">
        <v>473</v>
      </c>
      <c r="C38" s="2388">
        <v>2024</v>
      </c>
      <c r="D38" s="2388"/>
      <c r="E38" s="2388">
        <v>2030</v>
      </c>
      <c r="F38" s="2388"/>
    </row>
    <row r="39" spans="1:6" ht="48" customHeight="1">
      <c r="A39" s="2382"/>
      <c r="B39" s="2382"/>
      <c r="C39" s="166" t="s">
        <v>474</v>
      </c>
      <c r="D39" s="166" t="s">
        <v>475</v>
      </c>
      <c r="E39" s="166" t="s">
        <v>474</v>
      </c>
      <c r="F39" s="167" t="s">
        <v>475</v>
      </c>
    </row>
    <row r="40" spans="1:6">
      <c r="A40" s="2381" t="s">
        <v>476</v>
      </c>
      <c r="B40" s="168" t="s">
        <v>477</v>
      </c>
      <c r="C40" s="169">
        <v>0.44</v>
      </c>
      <c r="D40" s="170">
        <v>219.5400357761053</v>
      </c>
      <c r="E40" s="171">
        <v>1</v>
      </c>
      <c r="F40" s="170">
        <v>498.95462676387569</v>
      </c>
    </row>
    <row r="41" spans="1:6">
      <c r="A41" s="2382"/>
      <c r="B41" s="172" t="s">
        <v>478</v>
      </c>
      <c r="C41" s="173">
        <v>0.39</v>
      </c>
      <c r="D41" s="174">
        <v>194.59230443791154</v>
      </c>
      <c r="E41" s="175">
        <v>0.99</v>
      </c>
      <c r="F41" s="174">
        <v>493.96508049623691</v>
      </c>
    </row>
    <row r="42" spans="1:6">
      <c r="A42" s="2382"/>
      <c r="B42" s="172" t="s">
        <v>479</v>
      </c>
      <c r="C42" s="173">
        <v>0.19</v>
      </c>
      <c r="D42" s="174">
        <v>94.801379085136389</v>
      </c>
      <c r="E42" s="175">
        <v>0.72</v>
      </c>
      <c r="F42" s="174">
        <v>359.24733126999047</v>
      </c>
    </row>
    <row r="43" spans="1:6">
      <c r="A43" s="2382" t="s">
        <v>480</v>
      </c>
      <c r="B43" s="172" t="s">
        <v>477</v>
      </c>
      <c r="C43" s="173">
        <v>0.49</v>
      </c>
      <c r="D43" s="174">
        <v>244.48776711429909</v>
      </c>
      <c r="E43" s="175">
        <v>0.98</v>
      </c>
      <c r="F43" s="174">
        <v>488.97553422859818</v>
      </c>
    </row>
    <row r="44" spans="1:6">
      <c r="A44" s="2382"/>
      <c r="B44" s="172" t="s">
        <v>478</v>
      </c>
      <c r="C44" s="173">
        <v>0.41</v>
      </c>
      <c r="D44" s="174">
        <v>204.57139697318902</v>
      </c>
      <c r="E44" s="175">
        <v>0.97</v>
      </c>
      <c r="F44" s="174">
        <v>483.98598796095939</v>
      </c>
    </row>
    <row r="45" spans="1:6">
      <c r="A45" s="2382"/>
      <c r="B45" s="172" t="s">
        <v>479</v>
      </c>
      <c r="C45" s="173">
        <v>0.2</v>
      </c>
      <c r="D45" s="174">
        <v>99.790925352775147</v>
      </c>
      <c r="E45" s="175">
        <v>0.87</v>
      </c>
      <c r="F45" s="174">
        <v>434.09052528457187</v>
      </c>
    </row>
    <row r="46" spans="1:6">
      <c r="A46" s="2382" t="s">
        <v>481</v>
      </c>
      <c r="B46" s="172" t="s">
        <v>478</v>
      </c>
      <c r="C46" s="173">
        <v>0.47</v>
      </c>
      <c r="D46" s="174">
        <v>234.50867457902157</v>
      </c>
      <c r="E46" s="175">
        <v>0.96</v>
      </c>
      <c r="F46" s="174">
        <v>478.99644169332066</v>
      </c>
    </row>
    <row r="47" spans="1:6">
      <c r="A47" s="2382"/>
      <c r="B47" s="176" t="s">
        <v>482</v>
      </c>
      <c r="C47" s="177">
        <v>0.2148534515342061</v>
      </c>
      <c r="D47" s="178">
        <v>107.20212371918026</v>
      </c>
      <c r="E47" s="179">
        <v>0.77635600953683415</v>
      </c>
      <c r="F47" s="178">
        <v>387.36642297434298</v>
      </c>
    </row>
    <row r="48" spans="1:6">
      <c r="A48" s="2383" t="s">
        <v>483</v>
      </c>
      <c r="B48" s="2384"/>
      <c r="C48" s="2384"/>
      <c r="D48" s="2384"/>
      <c r="E48" s="2384"/>
      <c r="F48" s="2384"/>
    </row>
    <row r="49" spans="1:6">
      <c r="A49" s="2383"/>
      <c r="B49" s="2383"/>
      <c r="C49" s="2383"/>
      <c r="D49" s="2383"/>
      <c r="E49" s="2383"/>
      <c r="F49" s="2383"/>
    </row>
  </sheetData>
  <sheetProtection sheet="1" objects="1" scenarios="1"/>
  <mergeCells count="9">
    <mergeCell ref="A40:A42"/>
    <mergeCell ref="A43:A45"/>
    <mergeCell ref="A46:A47"/>
    <mergeCell ref="A48:F49"/>
    <mergeCell ref="H5:P5"/>
    <mergeCell ref="A38:A39"/>
    <mergeCell ref="B38:B39"/>
    <mergeCell ref="C38:D38"/>
    <mergeCell ref="E38:F38"/>
  </mergeCell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CF2F2-2306-BF41-B0AC-A467E7A272DC}">
  <sheetPr codeName="Sheet3">
    <tabColor rgb="FFFFC000"/>
    <pageSetUpPr fitToPage="1"/>
  </sheetPr>
  <dimension ref="A1:V51"/>
  <sheetViews>
    <sheetView zoomScale="90" zoomScaleNormal="90" workbookViewId="0">
      <selection activeCell="V52" sqref="A1:V52"/>
    </sheetView>
  </sheetViews>
  <sheetFormatPr baseColWidth="10" defaultRowHeight="16"/>
  <cols>
    <col min="1" max="1" width="31.75" style="158" customWidth="1"/>
    <col min="2" max="2" width="30.5" style="2311" customWidth="1"/>
    <col min="3" max="3" width="25.75" style="774" customWidth="1"/>
    <col min="4" max="4" width="21.25" style="158" customWidth="1"/>
    <col min="5" max="5" width="19.75" style="158" customWidth="1"/>
    <col min="6" max="6" width="24.5" style="158" customWidth="1"/>
    <col min="7" max="7" width="17" style="771" customWidth="1"/>
    <col min="8" max="8" width="18.5" style="771" customWidth="1"/>
    <col min="9" max="9" width="16.75" style="771" customWidth="1"/>
    <col min="10" max="10" width="26" style="771" customWidth="1"/>
    <col min="11" max="11" width="22.25" style="771" customWidth="1"/>
    <col min="12" max="12" width="24" style="191" customWidth="1"/>
    <col min="13" max="13" width="23.25" style="158" customWidth="1"/>
    <col min="14" max="14" width="16.25" style="158" customWidth="1"/>
    <col min="15" max="15" width="17" style="158" customWidth="1"/>
    <col min="16" max="16" width="10.75" style="158"/>
    <col min="17" max="18" width="10.75" style="158" customWidth="1"/>
    <col min="19" max="19" width="10.75" style="158"/>
    <col min="20" max="20" width="10.75" style="158" customWidth="1"/>
    <col min="21" max="25" width="10.75" style="158"/>
    <col min="26" max="27" width="10.75" style="158" customWidth="1"/>
    <col min="28" max="16384" width="10.75" style="158"/>
  </cols>
  <sheetData>
    <row r="1" spans="1:22" ht="17">
      <c r="A1" s="2312"/>
      <c r="B1" s="2313" t="s">
        <v>2163</v>
      </c>
      <c r="D1" s="779" t="s">
        <v>1590</v>
      </c>
      <c r="E1" s="780" t="str">
        <f>REPORT!H19</f>
        <v>Alexandria</v>
      </c>
      <c r="F1" s="772"/>
      <c r="G1" s="773"/>
      <c r="H1" s="773"/>
      <c r="I1" s="773"/>
      <c r="J1" s="773"/>
      <c r="K1" s="773"/>
      <c r="L1" s="788"/>
      <c r="M1" s="772"/>
      <c r="N1" s="772"/>
      <c r="O1" s="772"/>
      <c r="P1" s="772"/>
      <c r="Q1" s="772"/>
      <c r="R1" s="772"/>
      <c r="S1" s="772"/>
      <c r="T1" s="772"/>
      <c r="U1" s="772"/>
      <c r="V1" s="772"/>
    </row>
    <row r="2" spans="1:22" ht="17">
      <c r="A2" s="2314"/>
      <c r="B2" s="2315">
        <v>2022</v>
      </c>
      <c r="D2" s="779" t="s">
        <v>465</v>
      </c>
      <c r="E2" s="781">
        <f>REPORT!H12</f>
        <v>2022</v>
      </c>
      <c r="F2" s="772"/>
      <c r="G2" s="773"/>
      <c r="H2" s="773"/>
      <c r="I2" s="773"/>
      <c r="J2" s="773"/>
      <c r="K2" s="773"/>
      <c r="L2" s="788"/>
      <c r="M2" s="772"/>
      <c r="N2" s="772"/>
      <c r="O2" s="772"/>
      <c r="P2" s="772"/>
      <c r="Q2" s="772"/>
      <c r="R2" s="772"/>
      <c r="S2" s="772"/>
      <c r="T2" s="772"/>
      <c r="U2" s="772"/>
      <c r="V2" s="772"/>
    </row>
    <row r="3" spans="1:22" ht="46" customHeight="1">
      <c r="A3" s="2314"/>
      <c r="B3" s="2316"/>
      <c r="D3" s="779"/>
      <c r="E3" s="772"/>
      <c r="F3" s="772"/>
      <c r="G3" s="773"/>
      <c r="H3" s="773"/>
      <c r="I3" s="773"/>
      <c r="J3" s="773"/>
      <c r="K3" s="773"/>
      <c r="L3" s="788"/>
      <c r="M3" s="772"/>
      <c r="N3" s="772"/>
      <c r="O3" s="772"/>
      <c r="P3" s="772"/>
      <c r="Q3" s="772"/>
      <c r="R3" s="772"/>
      <c r="S3" s="772"/>
      <c r="T3" s="772"/>
      <c r="U3" s="772"/>
      <c r="V3" s="772"/>
    </row>
    <row r="4" spans="1:22" ht="35" thickBot="1">
      <c r="A4" s="2317" t="s">
        <v>2162</v>
      </c>
      <c r="B4" s="2316" t="s">
        <v>2161</v>
      </c>
      <c r="C4" s="782" t="s">
        <v>1602</v>
      </c>
      <c r="D4" s="782" t="s">
        <v>1578</v>
      </c>
      <c r="E4" s="782" t="s">
        <v>1600</v>
      </c>
      <c r="F4" s="782" t="s">
        <v>1593</v>
      </c>
      <c r="G4" s="782" t="s">
        <v>1594</v>
      </c>
      <c r="H4" s="782" t="s">
        <v>1595</v>
      </c>
      <c r="I4" s="782" t="s">
        <v>1596</v>
      </c>
      <c r="J4" s="782" t="s">
        <v>1599</v>
      </c>
      <c r="K4" s="782" t="s">
        <v>1598</v>
      </c>
      <c r="L4" s="782" t="s">
        <v>1597</v>
      </c>
      <c r="M4" s="787" t="s">
        <v>1601</v>
      </c>
      <c r="N4" s="772"/>
      <c r="O4" s="772"/>
      <c r="P4" s="772"/>
      <c r="Q4" s="772"/>
      <c r="R4" s="772"/>
      <c r="S4" s="772"/>
      <c r="T4" s="772"/>
      <c r="U4" s="772"/>
      <c r="V4" s="772"/>
    </row>
    <row r="5" spans="1:22" ht="17">
      <c r="A5" s="2318">
        <v>632.4</v>
      </c>
      <c r="B5" s="2319">
        <f t="shared" ref="B5:B16" si="0">A5/$A$17</f>
        <v>0.18203799654576855</v>
      </c>
      <c r="C5" s="2309">
        <v>0.18809999999999999</v>
      </c>
      <c r="D5" s="790" t="s">
        <v>39</v>
      </c>
      <c r="E5" s="791">
        <f>E18*C$5</f>
        <v>865.26</v>
      </c>
      <c r="F5" s="791">
        <f>F$18*C5</f>
        <v>22416.211429448958</v>
      </c>
      <c r="G5" s="791">
        <f>G$18*C5</f>
        <v>4359.8545971058775</v>
      </c>
      <c r="H5" s="791">
        <f>H$18*C5</f>
        <v>9213.2884799999974</v>
      </c>
      <c r="I5" s="792">
        <f>I$18/12</f>
        <v>3646.4960000000005</v>
      </c>
      <c r="J5" s="793">
        <f>J$18/12</f>
        <v>6251.1360000000013</v>
      </c>
      <c r="K5" s="791">
        <f>K18*C$5</f>
        <v>24973.218377321435</v>
      </c>
      <c r="L5" s="793">
        <f>L18*M5</f>
        <v>1178.6516928000001</v>
      </c>
      <c r="M5" s="789">
        <v>0.12570000000000001</v>
      </c>
      <c r="N5" s="794"/>
      <c r="O5" s="2389" t="s">
        <v>1893</v>
      </c>
      <c r="P5" s="2390"/>
      <c r="Q5" s="2390"/>
      <c r="R5" s="2390"/>
      <c r="S5" s="2390"/>
      <c r="T5" s="2390"/>
      <c r="U5" s="2391"/>
      <c r="V5" s="772"/>
    </row>
    <row r="6" spans="1:22" ht="17">
      <c r="A6" s="2320">
        <v>562.20000000000005</v>
      </c>
      <c r="B6" s="2319">
        <f t="shared" si="0"/>
        <v>0.16183074265975822</v>
      </c>
      <c r="C6" s="2310">
        <v>0.1699</v>
      </c>
      <c r="D6" s="796" t="s">
        <v>1579</v>
      </c>
      <c r="E6" s="797">
        <f>E18*C6</f>
        <v>781.54</v>
      </c>
      <c r="F6" s="797">
        <f t="shared" ref="F6:F16" si="1">F$18*C6</f>
        <v>20247.285071044011</v>
      </c>
      <c r="G6" s="797">
        <f t="shared" ref="G6:G16" si="2">G$18*C6</f>
        <v>3938.0079534730921</v>
      </c>
      <c r="H6" s="797">
        <f t="shared" ref="H6:H16" si="3">H$18*C6</f>
        <v>8321.8379199999981</v>
      </c>
      <c r="I6" s="798">
        <f t="shared" ref="I6:J16" si="4">I$18/12</f>
        <v>3646.4960000000005</v>
      </c>
      <c r="J6" s="799">
        <f t="shared" si="4"/>
        <v>6251.1360000000013</v>
      </c>
      <c r="K6" s="797">
        <f t="shared" ref="K6:K16" si="5">K$18*C6</f>
        <v>22556.883584832067</v>
      </c>
      <c r="L6" s="799">
        <f>L18*M6</f>
        <v>1080.1963008</v>
      </c>
      <c r="M6" s="795">
        <v>0.1152</v>
      </c>
      <c r="N6" s="800"/>
      <c r="O6" s="2392"/>
      <c r="P6" s="2393"/>
      <c r="Q6" s="2393"/>
      <c r="R6" s="2393"/>
      <c r="S6" s="2393"/>
      <c r="T6" s="2393"/>
      <c r="U6" s="2394"/>
      <c r="V6" s="772"/>
    </row>
    <row r="7" spans="1:22" ht="17">
      <c r="A7" s="2320">
        <v>523.1</v>
      </c>
      <c r="B7" s="2319">
        <f t="shared" si="0"/>
        <v>0.15057570523891767</v>
      </c>
      <c r="C7" s="2310">
        <v>0.1366</v>
      </c>
      <c r="D7" s="796" t="s">
        <v>1580</v>
      </c>
      <c r="E7" s="797">
        <f>E18*C7</f>
        <v>628.36</v>
      </c>
      <c r="F7" s="797">
        <f t="shared" si="1"/>
        <v>16278.864865830557</v>
      </c>
      <c r="G7" s="797">
        <f t="shared" si="2"/>
        <v>3166.1676659471714</v>
      </c>
      <c r="H7" s="797">
        <f t="shared" si="3"/>
        <v>6690.7772799999984</v>
      </c>
      <c r="I7" s="798">
        <f t="shared" si="4"/>
        <v>3646.4960000000005</v>
      </c>
      <c r="J7" s="799">
        <f t="shared" si="4"/>
        <v>6251.1360000000013</v>
      </c>
      <c r="K7" s="797">
        <f t="shared" si="5"/>
        <v>18135.787508464156</v>
      </c>
      <c r="L7" s="799">
        <f>L18*M7</f>
        <v>883.28551679999998</v>
      </c>
      <c r="M7" s="795">
        <v>9.4200000000000006E-2</v>
      </c>
      <c r="N7" s="800"/>
      <c r="O7" s="2392"/>
      <c r="P7" s="2393"/>
      <c r="Q7" s="2393"/>
      <c r="R7" s="2393"/>
      <c r="S7" s="2393"/>
      <c r="T7" s="2393"/>
      <c r="U7" s="2394"/>
      <c r="V7" s="772"/>
    </row>
    <row r="8" spans="1:22" ht="17">
      <c r="A8" s="2320">
        <v>382</v>
      </c>
      <c r="B8" s="2319">
        <f t="shared" si="0"/>
        <v>0.10995970063327576</v>
      </c>
      <c r="C8" s="2310">
        <v>8.1900000000000001E-2</v>
      </c>
      <c r="D8" s="796" t="s">
        <v>1581</v>
      </c>
      <c r="E8" s="797">
        <f>E18*C8</f>
        <v>376.74</v>
      </c>
      <c r="F8" s="797">
        <f t="shared" si="1"/>
        <v>9760.1686128222755</v>
      </c>
      <c r="G8" s="797">
        <f t="shared" si="2"/>
        <v>1898.3098963475354</v>
      </c>
      <c r="H8" s="797">
        <f t="shared" si="3"/>
        <v>4011.5275199999992</v>
      </c>
      <c r="I8" s="798">
        <f t="shared" si="4"/>
        <v>3646.4960000000005</v>
      </c>
      <c r="J8" s="799">
        <f t="shared" si="4"/>
        <v>6251.1360000000013</v>
      </c>
      <c r="K8" s="797">
        <f t="shared" si="5"/>
        <v>10873.506566202157</v>
      </c>
      <c r="L8" s="799">
        <f>L18*M8</f>
        <v>687.31240320000006</v>
      </c>
      <c r="M8" s="795">
        <v>7.3300000000000004E-2</v>
      </c>
      <c r="N8" s="800"/>
      <c r="O8" s="2392"/>
      <c r="P8" s="2393"/>
      <c r="Q8" s="2393"/>
      <c r="R8" s="2393"/>
      <c r="S8" s="2393"/>
      <c r="T8" s="2393"/>
      <c r="U8" s="2394"/>
      <c r="V8" s="772"/>
    </row>
    <row r="9" spans="1:22" ht="17">
      <c r="A9" s="2320">
        <v>213.5</v>
      </c>
      <c r="B9" s="2319">
        <f t="shared" si="0"/>
        <v>6.1456534254461716E-2</v>
      </c>
      <c r="C9" s="2310">
        <v>3.0300000000000001E-2</v>
      </c>
      <c r="D9" s="796" t="s">
        <v>1582</v>
      </c>
      <c r="E9" s="797">
        <f>E18*C9</f>
        <v>139.38</v>
      </c>
      <c r="F9" s="797">
        <f t="shared" si="1"/>
        <v>3610.9048714104388</v>
      </c>
      <c r="G9" s="797">
        <f t="shared" si="2"/>
        <v>702.30512648754973</v>
      </c>
      <c r="H9" s="797">
        <f t="shared" si="3"/>
        <v>1484.1182399999998</v>
      </c>
      <c r="I9" s="798">
        <f t="shared" si="4"/>
        <v>3646.4960000000005</v>
      </c>
      <c r="J9" s="799">
        <f t="shared" si="4"/>
        <v>6251.1360000000013</v>
      </c>
      <c r="K9" s="797">
        <f t="shared" si="5"/>
        <v>4022.7991325509811</v>
      </c>
      <c r="L9" s="799">
        <f>L18*M9</f>
        <v>540.09815040000001</v>
      </c>
      <c r="M9" s="795">
        <v>5.7599999999999998E-2</v>
      </c>
      <c r="N9" s="800"/>
      <c r="O9" s="2392"/>
      <c r="P9" s="2393"/>
      <c r="Q9" s="2393"/>
      <c r="R9" s="2393"/>
      <c r="S9" s="2393"/>
      <c r="T9" s="2393"/>
      <c r="U9" s="2394"/>
      <c r="V9" s="772"/>
    </row>
    <row r="10" spans="1:22" ht="17">
      <c r="A10" s="2320">
        <v>40.9</v>
      </c>
      <c r="B10" s="2319">
        <f t="shared" si="0"/>
        <v>1.1773172135866436E-2</v>
      </c>
      <c r="C10" s="2310">
        <v>9.1000000000000004E-3</v>
      </c>
      <c r="D10" s="796" t="s">
        <v>1583</v>
      </c>
      <c r="E10" s="797">
        <f>E18*C10</f>
        <v>41.86</v>
      </c>
      <c r="F10" s="797">
        <f t="shared" si="1"/>
        <v>1084.463179202475</v>
      </c>
      <c r="G10" s="797">
        <f t="shared" si="2"/>
        <v>210.92332181639281</v>
      </c>
      <c r="H10" s="797">
        <f t="shared" si="3"/>
        <v>445.72527999999994</v>
      </c>
      <c r="I10" s="798">
        <f t="shared" si="4"/>
        <v>3646.4960000000005</v>
      </c>
      <c r="J10" s="799">
        <f t="shared" si="4"/>
        <v>6251.1360000000013</v>
      </c>
      <c r="K10" s="797">
        <f t="shared" si="5"/>
        <v>1208.1673962446841</v>
      </c>
      <c r="L10" s="799">
        <f>L18*M10</f>
        <v>491.33928960000003</v>
      </c>
      <c r="M10" s="795">
        <v>5.2400000000000002E-2</v>
      </c>
      <c r="N10" s="800"/>
      <c r="O10" s="2392"/>
      <c r="P10" s="2393"/>
      <c r="Q10" s="2393"/>
      <c r="R10" s="2393"/>
      <c r="S10" s="2393"/>
      <c r="T10" s="2393"/>
      <c r="U10" s="2394"/>
      <c r="V10" s="772"/>
    </row>
    <row r="11" spans="1:22" ht="17">
      <c r="A11" s="2320">
        <v>0</v>
      </c>
      <c r="B11" s="2319">
        <f t="shared" si="0"/>
        <v>0</v>
      </c>
      <c r="C11" s="2310">
        <v>3.0000000000000001E-3</v>
      </c>
      <c r="D11" s="796" t="s">
        <v>1584</v>
      </c>
      <c r="E11" s="797">
        <f>E18*C11</f>
        <v>13.8</v>
      </c>
      <c r="F11" s="797">
        <f t="shared" si="1"/>
        <v>357.51533380301373</v>
      </c>
      <c r="G11" s="797">
        <f t="shared" si="2"/>
        <v>69.535161038371257</v>
      </c>
      <c r="H11" s="797">
        <f t="shared" si="3"/>
        <v>146.94239999999996</v>
      </c>
      <c r="I11" s="798">
        <f t="shared" si="4"/>
        <v>3646.4960000000005</v>
      </c>
      <c r="J11" s="799">
        <f t="shared" si="4"/>
        <v>6251.1360000000013</v>
      </c>
      <c r="K11" s="797">
        <f t="shared" si="5"/>
        <v>398.29694381692883</v>
      </c>
      <c r="L11" s="799">
        <f>L18*M11</f>
        <v>491.33928960000003</v>
      </c>
      <c r="M11" s="795">
        <v>5.2400000000000002E-2</v>
      </c>
      <c r="N11" s="800"/>
      <c r="O11" s="2392"/>
      <c r="P11" s="2393"/>
      <c r="Q11" s="2393"/>
      <c r="R11" s="2393"/>
      <c r="S11" s="2393"/>
      <c r="T11" s="2393"/>
      <c r="U11" s="2394"/>
      <c r="V11" s="772"/>
    </row>
    <row r="12" spans="1:22" ht="17">
      <c r="A12" s="2320">
        <v>0.4</v>
      </c>
      <c r="B12" s="2319">
        <f t="shared" si="0"/>
        <v>1.1514104778353483E-4</v>
      </c>
      <c r="C12" s="2310">
        <v>4.4999999999999997E-3</v>
      </c>
      <c r="D12" s="796" t="s">
        <v>1585</v>
      </c>
      <c r="E12" s="797">
        <f>E18*C12</f>
        <v>20.7</v>
      </c>
      <c r="F12" s="797">
        <f t="shared" si="1"/>
        <v>536.27300070452054</v>
      </c>
      <c r="G12" s="797">
        <f t="shared" si="2"/>
        <v>104.30274155755689</v>
      </c>
      <c r="H12" s="797">
        <f t="shared" si="3"/>
        <v>220.41359999999992</v>
      </c>
      <c r="I12" s="798">
        <f t="shared" si="4"/>
        <v>3646.4960000000005</v>
      </c>
      <c r="J12" s="799">
        <f t="shared" si="4"/>
        <v>6251.1360000000013</v>
      </c>
      <c r="K12" s="797">
        <f t="shared" si="5"/>
        <v>597.4454157253931</v>
      </c>
      <c r="L12" s="799">
        <f>L18*M12</f>
        <v>491.33928960000003</v>
      </c>
      <c r="M12" s="795">
        <v>5.2400000000000002E-2</v>
      </c>
      <c r="N12" s="800"/>
      <c r="O12" s="2392"/>
      <c r="P12" s="2393"/>
      <c r="Q12" s="2393"/>
      <c r="R12" s="2393"/>
      <c r="S12" s="2393"/>
      <c r="T12" s="2393"/>
      <c r="U12" s="2394"/>
      <c r="V12" s="772"/>
    </row>
    <row r="13" spans="1:22" ht="17">
      <c r="A13" s="2320">
        <v>21.1</v>
      </c>
      <c r="B13" s="2319">
        <f t="shared" si="0"/>
        <v>6.0736902705814631E-3</v>
      </c>
      <c r="C13" s="2310">
        <v>1.52E-2</v>
      </c>
      <c r="D13" s="796" t="s">
        <v>1586</v>
      </c>
      <c r="E13" s="797">
        <f>E18*C13</f>
        <v>69.92</v>
      </c>
      <c r="F13" s="797">
        <f t="shared" si="1"/>
        <v>1811.4110246019361</v>
      </c>
      <c r="G13" s="797">
        <f t="shared" si="2"/>
        <v>352.31148259441437</v>
      </c>
      <c r="H13" s="797">
        <f t="shared" si="3"/>
        <v>744.50815999999986</v>
      </c>
      <c r="I13" s="798">
        <f t="shared" si="4"/>
        <v>3646.4960000000005</v>
      </c>
      <c r="J13" s="799">
        <f t="shared" si="4"/>
        <v>6251.1360000000013</v>
      </c>
      <c r="K13" s="797">
        <f t="shared" si="5"/>
        <v>2018.0378486724392</v>
      </c>
      <c r="L13" s="799">
        <f>L18*M13</f>
        <v>637.61587200000008</v>
      </c>
      <c r="M13" s="795">
        <v>6.8000000000000005E-2</v>
      </c>
      <c r="N13" s="800"/>
      <c r="O13" s="2392"/>
      <c r="P13" s="2393"/>
      <c r="Q13" s="2393"/>
      <c r="R13" s="2393"/>
      <c r="S13" s="2393"/>
      <c r="T13" s="2393"/>
      <c r="U13" s="2394"/>
      <c r="V13" s="772"/>
    </row>
    <row r="14" spans="1:22" ht="17">
      <c r="A14" s="2320">
        <v>173</v>
      </c>
      <c r="B14" s="2319">
        <f t="shared" si="0"/>
        <v>4.9798503166378814E-2</v>
      </c>
      <c r="C14" s="2310">
        <v>6.6799999999999998E-2</v>
      </c>
      <c r="D14" s="796" t="s">
        <v>1587</v>
      </c>
      <c r="E14" s="797">
        <f>E18*C14</f>
        <v>307.27999999999997</v>
      </c>
      <c r="F14" s="797">
        <f t="shared" si="1"/>
        <v>7960.6747660137717</v>
      </c>
      <c r="G14" s="797">
        <f t="shared" si="2"/>
        <v>1548.3162524544</v>
      </c>
      <c r="H14" s="797">
        <f t="shared" si="3"/>
        <v>3271.9174399999993</v>
      </c>
      <c r="I14" s="798">
        <f t="shared" si="4"/>
        <v>3646.4960000000005</v>
      </c>
      <c r="J14" s="799">
        <f t="shared" si="4"/>
        <v>6251.1360000000013</v>
      </c>
      <c r="K14" s="797">
        <f t="shared" si="5"/>
        <v>8868.7452823236144</v>
      </c>
      <c r="L14" s="799">
        <f>L18*M14</f>
        <v>785.76779520000002</v>
      </c>
      <c r="M14" s="795">
        <v>8.3799999999999999E-2</v>
      </c>
      <c r="N14" s="800"/>
      <c r="O14" s="2392"/>
      <c r="P14" s="2393"/>
      <c r="Q14" s="2393"/>
      <c r="R14" s="2393"/>
      <c r="S14" s="2393"/>
      <c r="T14" s="2393"/>
      <c r="U14" s="2394"/>
      <c r="V14" s="772"/>
    </row>
    <row r="15" spans="1:22" ht="17">
      <c r="A15" s="2320">
        <v>389.2</v>
      </c>
      <c r="B15" s="2319">
        <f t="shared" si="0"/>
        <v>0.11203223949337938</v>
      </c>
      <c r="C15" s="2310">
        <v>0.12139999999999999</v>
      </c>
      <c r="D15" s="796" t="s">
        <v>1588</v>
      </c>
      <c r="E15" s="797">
        <f>E18*C15</f>
        <v>558.43999999999994</v>
      </c>
      <c r="F15" s="797">
        <f t="shared" si="1"/>
        <v>14467.453841228622</v>
      </c>
      <c r="G15" s="797">
        <f t="shared" si="2"/>
        <v>2813.8561833527569</v>
      </c>
      <c r="H15" s="797">
        <f t="shared" si="3"/>
        <v>5946.2691199999981</v>
      </c>
      <c r="I15" s="798">
        <f t="shared" si="4"/>
        <v>3646.4960000000005</v>
      </c>
      <c r="J15" s="799">
        <f t="shared" si="4"/>
        <v>6251.1360000000013</v>
      </c>
      <c r="K15" s="797">
        <f t="shared" si="5"/>
        <v>16117.749659791718</v>
      </c>
      <c r="L15" s="799">
        <f>L18*M15</f>
        <v>981.74090879999994</v>
      </c>
      <c r="M15" s="795">
        <v>0.1047</v>
      </c>
      <c r="N15" s="800"/>
      <c r="O15" s="2392"/>
      <c r="P15" s="2393"/>
      <c r="Q15" s="2393"/>
      <c r="R15" s="2393"/>
      <c r="S15" s="2393"/>
      <c r="T15" s="2393"/>
      <c r="U15" s="2394"/>
      <c r="V15" s="772"/>
    </row>
    <row r="16" spans="1:22" ht="18" thickBot="1">
      <c r="A16" s="2320">
        <v>536.20000000000005</v>
      </c>
      <c r="B16" s="2319">
        <f t="shared" si="0"/>
        <v>0.15434657455382844</v>
      </c>
      <c r="C16" s="2310">
        <v>0.17299999999999999</v>
      </c>
      <c r="D16" s="796" t="s">
        <v>1589</v>
      </c>
      <c r="E16" s="797">
        <f>E18*C16</f>
        <v>795.8</v>
      </c>
      <c r="F16" s="797">
        <f t="shared" si="1"/>
        <v>20616.717582640456</v>
      </c>
      <c r="G16" s="797">
        <f t="shared" si="2"/>
        <v>4009.8609532127421</v>
      </c>
      <c r="H16" s="797">
        <f t="shared" si="3"/>
        <v>8473.6783999999971</v>
      </c>
      <c r="I16" s="798">
        <f t="shared" si="4"/>
        <v>3646.4960000000005</v>
      </c>
      <c r="J16" s="799">
        <f t="shared" si="4"/>
        <v>6251.1360000000013</v>
      </c>
      <c r="K16" s="797">
        <f t="shared" si="5"/>
        <v>22968.457093442892</v>
      </c>
      <c r="L16" s="799">
        <f>L18*M16</f>
        <v>1128.9551615999999</v>
      </c>
      <c r="M16" s="795">
        <v>0.12039999999999999</v>
      </c>
      <c r="N16" s="800"/>
      <c r="O16" s="2395"/>
      <c r="P16" s="2396"/>
      <c r="Q16" s="2396"/>
      <c r="R16" s="2396"/>
      <c r="S16" s="2396"/>
      <c r="T16" s="2396"/>
      <c r="U16" s="2397"/>
      <c r="V16" s="772"/>
    </row>
    <row r="17" spans="1:22" ht="17">
      <c r="A17" s="2321">
        <f t="shared" ref="A17" si="6">SUM(A5:A16)</f>
        <v>3474</v>
      </c>
      <c r="B17" s="2322">
        <f t="shared" ref="B17:L17" si="7">SUM(B5:B16)</f>
        <v>1</v>
      </c>
      <c r="C17" s="2308">
        <f t="shared" si="7"/>
        <v>0.9997999999999998</v>
      </c>
      <c r="D17" s="787" t="s">
        <v>1591</v>
      </c>
      <c r="E17" s="783">
        <f t="shared" si="7"/>
        <v>4599.08</v>
      </c>
      <c r="F17" s="784">
        <f t="shared" si="7"/>
        <v>119147.94357875104</v>
      </c>
      <c r="G17" s="785">
        <f t="shared" si="7"/>
        <v>23173.75133538786</v>
      </c>
      <c r="H17" s="786">
        <f t="shared" si="7"/>
        <v>48971.003839999983</v>
      </c>
      <c r="I17" s="786">
        <f t="shared" si="7"/>
        <v>43757.951999999997</v>
      </c>
      <c r="J17" s="785">
        <f t="shared" si="7"/>
        <v>75013.631999999998</v>
      </c>
      <c r="K17" s="786">
        <f t="shared" si="7"/>
        <v>132739.09480938845</v>
      </c>
      <c r="L17" s="785">
        <f t="shared" si="7"/>
        <v>9377.6416704000003</v>
      </c>
      <c r="M17" s="772"/>
      <c r="N17" s="772"/>
      <c r="O17" s="772"/>
      <c r="P17" s="772"/>
      <c r="Q17" s="772"/>
      <c r="R17" s="772"/>
      <c r="S17" s="772"/>
      <c r="T17" s="772"/>
      <c r="U17" s="772"/>
      <c r="V17" s="772"/>
    </row>
    <row r="18" spans="1:22" ht="18" thickBot="1">
      <c r="A18" s="2323">
        <f>REPORT!D20</f>
        <v>4600</v>
      </c>
      <c r="B18" s="2324">
        <f>A17/A18</f>
        <v>0.75521739130434784</v>
      </c>
      <c r="D18" s="788" t="s">
        <v>1592</v>
      </c>
      <c r="E18" s="776">
        <f>REPORT!D20</f>
        <v>4600</v>
      </c>
      <c r="F18" s="777">
        <f>REPORT!D127</f>
        <v>119171.77793433791</v>
      </c>
      <c r="G18" s="777">
        <f>REPORT!I103</f>
        <v>23178.387012790419</v>
      </c>
      <c r="H18" s="777">
        <f>REPORT!M121</f>
        <v>48980.799999999988</v>
      </c>
      <c r="I18" s="777">
        <f>REPORT!H65</f>
        <v>43757.952000000005</v>
      </c>
      <c r="J18" s="778">
        <f>REPORT!H67+REPORT!H65</f>
        <v>75013.632000000012</v>
      </c>
      <c r="K18" s="777">
        <f>REPORT!D136</f>
        <v>132765.64793897627</v>
      </c>
      <c r="L18" s="778">
        <f>REPORT!H66</f>
        <v>9376.7039999999997</v>
      </c>
      <c r="N18" s="772"/>
      <c r="O18" s="772"/>
      <c r="P18" s="772"/>
      <c r="Q18" s="772"/>
      <c r="R18" s="772"/>
      <c r="S18" s="772"/>
      <c r="T18" s="772"/>
      <c r="U18" s="772"/>
      <c r="V18" s="772"/>
    </row>
    <row r="19" spans="1:22">
      <c r="D19" s="772"/>
      <c r="E19" s="774"/>
      <c r="F19" s="772"/>
      <c r="G19" s="773"/>
      <c r="H19" s="773"/>
      <c r="I19" s="773"/>
      <c r="J19" s="773"/>
      <c r="K19" s="773"/>
      <c r="L19" s="788"/>
      <c r="M19" s="772"/>
      <c r="N19" s="772"/>
      <c r="O19" s="772"/>
      <c r="P19" s="772"/>
      <c r="Q19" s="772"/>
      <c r="R19" s="772"/>
      <c r="S19" s="772"/>
      <c r="T19" s="772"/>
      <c r="U19" s="772"/>
      <c r="V19" s="772"/>
    </row>
    <row r="20" spans="1:22">
      <c r="D20" s="772"/>
      <c r="E20" s="772"/>
      <c r="F20" s="772"/>
      <c r="G20" s="773"/>
      <c r="H20" s="773"/>
      <c r="I20" s="773"/>
      <c r="J20" s="773"/>
      <c r="K20" s="773"/>
      <c r="L20" s="788"/>
      <c r="M20" s="772"/>
      <c r="N20" s="772"/>
      <c r="O20" s="772"/>
      <c r="P20" s="772"/>
      <c r="Q20" s="772"/>
      <c r="R20" s="772"/>
      <c r="S20" s="772"/>
      <c r="T20" s="772"/>
      <c r="U20" s="772"/>
      <c r="V20" s="772"/>
    </row>
    <row r="21" spans="1:22">
      <c r="D21" s="772"/>
      <c r="E21" s="772"/>
      <c r="F21" s="772"/>
      <c r="G21" s="773"/>
      <c r="H21" s="773"/>
      <c r="I21" s="773"/>
      <c r="J21" s="773"/>
      <c r="K21" s="773"/>
      <c r="L21" s="788"/>
      <c r="M21" s="772"/>
      <c r="N21" s="772"/>
      <c r="O21" s="772"/>
      <c r="P21" s="772"/>
      <c r="Q21" s="772"/>
      <c r="R21" s="772"/>
      <c r="S21" s="772"/>
      <c r="T21" s="772"/>
      <c r="U21" s="772"/>
      <c r="V21" s="772"/>
    </row>
    <row r="22" spans="1:22">
      <c r="D22" s="772"/>
      <c r="E22" s="772"/>
      <c r="F22" s="772"/>
      <c r="G22" s="773"/>
      <c r="H22" s="773"/>
      <c r="I22" s="773"/>
      <c r="J22" s="773"/>
      <c r="K22" s="773"/>
      <c r="L22" s="788"/>
      <c r="M22" s="772"/>
      <c r="N22" s="772"/>
      <c r="O22" s="772"/>
      <c r="P22" s="772"/>
      <c r="Q22" s="772"/>
      <c r="R22" s="772"/>
      <c r="S22" s="772"/>
      <c r="T22" s="772"/>
      <c r="U22" s="772"/>
      <c r="V22" s="772"/>
    </row>
    <row r="23" spans="1:22">
      <c r="D23" s="772"/>
      <c r="E23" s="772"/>
      <c r="F23" s="772"/>
      <c r="G23" s="773"/>
      <c r="H23" s="773"/>
      <c r="I23" s="773"/>
      <c r="J23" s="773"/>
      <c r="K23" s="773"/>
      <c r="L23" s="788"/>
      <c r="M23" s="772"/>
      <c r="N23" s="772"/>
      <c r="O23" s="772"/>
      <c r="P23" s="772"/>
      <c r="Q23" s="772"/>
      <c r="R23" s="772"/>
      <c r="S23" s="772"/>
      <c r="T23" s="772"/>
      <c r="U23" s="772"/>
      <c r="V23" s="772"/>
    </row>
    <row r="24" spans="1:22">
      <c r="D24" s="772"/>
      <c r="E24" s="772"/>
      <c r="F24" s="772"/>
      <c r="G24" s="773"/>
      <c r="H24" s="773"/>
      <c r="I24" s="773"/>
      <c r="J24" s="773"/>
      <c r="K24" s="773"/>
      <c r="L24" s="788"/>
      <c r="M24" s="772"/>
      <c r="N24" s="772"/>
      <c r="O24" s="772"/>
      <c r="P24" s="772"/>
      <c r="Q24" s="772"/>
      <c r="R24" s="772"/>
      <c r="S24" s="772"/>
      <c r="T24" s="772"/>
      <c r="U24" s="772"/>
      <c r="V24" s="772"/>
    </row>
    <row r="25" spans="1:22">
      <c r="D25" s="772"/>
      <c r="E25" s="772"/>
      <c r="F25" s="772"/>
      <c r="G25" s="773"/>
      <c r="H25" s="773"/>
      <c r="I25" s="773"/>
      <c r="J25" s="773"/>
      <c r="K25" s="773"/>
      <c r="L25" s="788"/>
      <c r="M25" s="772"/>
      <c r="N25" s="772"/>
      <c r="O25" s="772"/>
      <c r="P25" s="772"/>
      <c r="Q25" s="772"/>
      <c r="R25" s="772"/>
      <c r="S25" s="772"/>
      <c r="T25" s="772"/>
      <c r="U25" s="772"/>
      <c r="V25" s="772"/>
    </row>
    <row r="26" spans="1:22">
      <c r="D26" s="772"/>
      <c r="E26" s="772"/>
      <c r="F26" s="772"/>
      <c r="G26" s="773"/>
      <c r="H26" s="773"/>
      <c r="I26" s="773"/>
      <c r="J26" s="773"/>
      <c r="K26" s="773"/>
      <c r="L26" s="788"/>
      <c r="M26" s="772"/>
      <c r="N26" s="772"/>
      <c r="O26" s="772"/>
      <c r="P26" s="772"/>
      <c r="Q26" s="772"/>
      <c r="R26" s="772"/>
      <c r="S26" s="772"/>
      <c r="T26" s="772"/>
      <c r="U26" s="772"/>
      <c r="V26" s="772"/>
    </row>
    <row r="27" spans="1:22">
      <c r="D27" s="772"/>
      <c r="E27" s="772"/>
      <c r="F27" s="772"/>
      <c r="G27" s="773"/>
      <c r="H27" s="773"/>
      <c r="I27" s="773"/>
      <c r="J27" s="773"/>
      <c r="K27" s="773"/>
      <c r="L27" s="788"/>
      <c r="M27" s="772"/>
      <c r="N27" s="772"/>
      <c r="O27" s="772"/>
      <c r="P27" s="772"/>
      <c r="Q27" s="772"/>
      <c r="R27" s="772"/>
      <c r="S27" s="772"/>
      <c r="T27" s="772"/>
      <c r="U27" s="772"/>
      <c r="V27" s="772"/>
    </row>
    <row r="28" spans="1:22">
      <c r="D28" s="772"/>
      <c r="E28" s="772"/>
      <c r="F28" s="772"/>
      <c r="G28" s="773"/>
      <c r="H28" s="773"/>
      <c r="I28" s="773"/>
      <c r="J28" s="773"/>
      <c r="K28" s="773"/>
      <c r="L28" s="788"/>
      <c r="M28" s="772"/>
      <c r="N28" s="772"/>
      <c r="O28" s="772"/>
      <c r="P28" s="772"/>
      <c r="Q28" s="772"/>
      <c r="R28" s="772"/>
      <c r="S28" s="772"/>
      <c r="T28" s="772"/>
      <c r="U28" s="772"/>
      <c r="V28" s="772"/>
    </row>
    <row r="29" spans="1:22">
      <c r="D29" s="772"/>
      <c r="E29" s="772"/>
      <c r="F29" s="772"/>
      <c r="G29" s="773"/>
      <c r="H29" s="773"/>
      <c r="I29" s="773"/>
      <c r="J29" s="773"/>
      <c r="K29" s="773"/>
      <c r="L29" s="788"/>
      <c r="M29" s="772"/>
      <c r="N29" s="772"/>
      <c r="O29" s="772"/>
      <c r="P29" s="772"/>
      <c r="Q29" s="772"/>
      <c r="R29" s="772"/>
      <c r="S29" s="772"/>
      <c r="T29" s="772"/>
      <c r="U29" s="772"/>
      <c r="V29" s="772"/>
    </row>
    <row r="30" spans="1:22">
      <c r="D30" s="772"/>
      <c r="E30" s="772"/>
      <c r="F30" s="772"/>
      <c r="G30" s="773"/>
      <c r="H30" s="773"/>
      <c r="I30" s="773"/>
      <c r="J30" s="773"/>
      <c r="K30" s="773"/>
      <c r="L30" s="788"/>
      <c r="M30" s="772"/>
      <c r="N30" s="772"/>
      <c r="O30" s="772"/>
      <c r="P30" s="772"/>
      <c r="Q30" s="772"/>
      <c r="R30" s="772"/>
      <c r="S30" s="772"/>
      <c r="T30" s="772"/>
      <c r="U30" s="772"/>
      <c r="V30" s="772"/>
    </row>
    <row r="31" spans="1:22">
      <c r="D31" s="772"/>
      <c r="E31" s="772"/>
      <c r="F31" s="772"/>
      <c r="G31" s="773"/>
      <c r="H31" s="773"/>
      <c r="I31" s="773"/>
      <c r="J31" s="773"/>
      <c r="K31" s="773"/>
      <c r="L31" s="788"/>
      <c r="M31" s="772"/>
      <c r="N31" s="772"/>
      <c r="O31" s="772"/>
      <c r="P31" s="772"/>
      <c r="Q31" s="772"/>
      <c r="R31" s="772"/>
      <c r="S31" s="772"/>
      <c r="T31" s="772"/>
      <c r="U31" s="772"/>
      <c r="V31" s="772"/>
    </row>
    <row r="32" spans="1:22">
      <c r="D32" s="772"/>
      <c r="E32" s="772"/>
      <c r="F32" s="772"/>
      <c r="G32" s="773"/>
      <c r="H32" s="773"/>
      <c r="I32" s="773"/>
      <c r="J32" s="773"/>
      <c r="K32" s="773"/>
      <c r="L32" s="788"/>
      <c r="M32" s="772"/>
      <c r="N32" s="772"/>
      <c r="O32" s="772"/>
      <c r="P32" s="772"/>
      <c r="Q32" s="772"/>
      <c r="R32" s="772"/>
      <c r="S32" s="772"/>
      <c r="T32" s="772"/>
      <c r="U32" s="772"/>
      <c r="V32" s="772"/>
    </row>
    <row r="33" spans="4:22">
      <c r="D33" s="772"/>
      <c r="E33" s="772"/>
      <c r="F33" s="772"/>
      <c r="G33" s="773"/>
      <c r="H33" s="773"/>
      <c r="I33" s="773"/>
      <c r="J33" s="773"/>
      <c r="K33" s="773"/>
      <c r="L33" s="788"/>
      <c r="M33" s="772"/>
      <c r="N33" s="772"/>
      <c r="O33" s="772"/>
      <c r="P33" s="772"/>
      <c r="Q33" s="772"/>
      <c r="R33" s="772"/>
      <c r="S33" s="772"/>
      <c r="T33" s="772"/>
      <c r="U33" s="772"/>
      <c r="V33" s="772"/>
    </row>
    <row r="34" spans="4:22">
      <c r="D34" s="772"/>
      <c r="E34" s="772"/>
      <c r="F34" s="772"/>
      <c r="G34" s="773"/>
      <c r="H34" s="773"/>
      <c r="I34" s="773"/>
      <c r="J34" s="773"/>
      <c r="K34" s="773"/>
      <c r="L34" s="788"/>
      <c r="M34" s="772"/>
      <c r="N34" s="772"/>
      <c r="O34" s="772"/>
      <c r="P34" s="772"/>
      <c r="Q34" s="772"/>
      <c r="R34" s="772"/>
      <c r="S34" s="772"/>
      <c r="T34" s="772"/>
      <c r="U34" s="772"/>
      <c r="V34" s="772"/>
    </row>
    <row r="35" spans="4:22">
      <c r="D35" s="772"/>
      <c r="E35" s="772"/>
      <c r="F35" s="772"/>
      <c r="G35" s="773"/>
      <c r="H35" s="773"/>
      <c r="I35" s="773"/>
      <c r="J35" s="773"/>
      <c r="K35" s="773"/>
      <c r="L35" s="788"/>
      <c r="M35" s="772"/>
      <c r="N35" s="772"/>
      <c r="O35" s="772"/>
      <c r="P35" s="772"/>
      <c r="Q35" s="772"/>
      <c r="R35" s="772"/>
      <c r="S35" s="772"/>
      <c r="T35" s="772"/>
      <c r="U35" s="772"/>
      <c r="V35" s="772"/>
    </row>
    <row r="36" spans="4:22">
      <c r="D36" s="772"/>
      <c r="E36" s="772"/>
      <c r="F36" s="772"/>
      <c r="G36" s="773"/>
      <c r="H36" s="773"/>
      <c r="I36" s="773"/>
      <c r="J36" s="773"/>
      <c r="K36" s="773"/>
      <c r="L36" s="788"/>
      <c r="M36" s="772"/>
      <c r="N36" s="772"/>
      <c r="O36" s="772"/>
      <c r="P36" s="772"/>
      <c r="Q36" s="772"/>
      <c r="R36" s="772"/>
      <c r="S36" s="772"/>
      <c r="T36" s="772"/>
      <c r="U36" s="772"/>
      <c r="V36" s="772"/>
    </row>
    <row r="37" spans="4:22">
      <c r="D37" s="772"/>
      <c r="E37" s="772"/>
      <c r="F37" s="772"/>
      <c r="G37" s="773"/>
      <c r="H37" s="773"/>
      <c r="I37" s="773"/>
      <c r="J37" s="773"/>
      <c r="K37" s="773"/>
      <c r="L37" s="788"/>
      <c r="M37" s="772"/>
      <c r="N37" s="772"/>
      <c r="O37" s="772"/>
      <c r="P37" s="772"/>
      <c r="Q37" s="772"/>
      <c r="R37" s="772"/>
      <c r="S37" s="772"/>
      <c r="T37" s="772"/>
      <c r="U37" s="772"/>
      <c r="V37" s="772"/>
    </row>
    <row r="38" spans="4:22">
      <c r="D38" s="772"/>
      <c r="E38" s="772"/>
      <c r="F38" s="772"/>
      <c r="G38" s="773"/>
      <c r="H38" s="773"/>
      <c r="I38" s="773"/>
      <c r="J38" s="773"/>
      <c r="K38" s="773"/>
      <c r="L38" s="788"/>
      <c r="M38" s="772"/>
      <c r="N38" s="772"/>
      <c r="O38" s="772"/>
      <c r="P38" s="772"/>
      <c r="Q38" s="772"/>
      <c r="R38" s="772"/>
      <c r="S38" s="772"/>
      <c r="T38" s="772"/>
      <c r="U38" s="772"/>
      <c r="V38" s="772"/>
    </row>
    <row r="39" spans="4:22">
      <c r="D39" s="772"/>
      <c r="E39" s="772"/>
      <c r="F39" s="772"/>
      <c r="G39" s="773"/>
      <c r="H39" s="773"/>
      <c r="I39" s="773"/>
      <c r="J39" s="773"/>
      <c r="K39" s="773"/>
      <c r="L39" s="788"/>
      <c r="M39" s="772"/>
      <c r="N39" s="772"/>
      <c r="O39" s="772"/>
      <c r="P39" s="772"/>
      <c r="Q39" s="772"/>
      <c r="R39" s="772"/>
      <c r="S39" s="772"/>
      <c r="T39" s="772"/>
      <c r="U39" s="772"/>
      <c r="V39" s="772"/>
    </row>
    <row r="40" spans="4:22">
      <c r="D40" s="772"/>
      <c r="E40" s="772"/>
      <c r="F40" s="772"/>
      <c r="G40" s="773"/>
      <c r="H40" s="773"/>
      <c r="I40" s="773"/>
      <c r="J40" s="773"/>
      <c r="K40" s="773"/>
      <c r="L40" s="788"/>
      <c r="M40" s="772"/>
      <c r="N40" s="772"/>
      <c r="O40" s="772"/>
      <c r="P40" s="772"/>
      <c r="Q40" s="772"/>
      <c r="R40" s="772"/>
      <c r="S40" s="772"/>
      <c r="T40" s="772"/>
      <c r="U40" s="772"/>
      <c r="V40" s="772"/>
    </row>
    <row r="41" spans="4:22">
      <c r="D41" s="772"/>
      <c r="E41" s="772"/>
      <c r="F41" s="772"/>
      <c r="G41" s="773"/>
      <c r="H41" s="773"/>
      <c r="I41" s="773"/>
      <c r="J41" s="773"/>
      <c r="K41" s="773"/>
      <c r="L41" s="788"/>
      <c r="M41" s="772"/>
      <c r="N41" s="772"/>
      <c r="O41" s="772"/>
      <c r="P41" s="772"/>
      <c r="Q41" s="772"/>
      <c r="R41" s="772"/>
      <c r="S41" s="772"/>
      <c r="T41" s="772"/>
      <c r="U41" s="772"/>
      <c r="V41" s="772"/>
    </row>
    <row r="42" spans="4:22">
      <c r="D42" s="772"/>
      <c r="E42" s="772"/>
      <c r="F42" s="772"/>
      <c r="G42" s="773"/>
      <c r="H42" s="773"/>
      <c r="I42" s="773"/>
      <c r="J42" s="773"/>
      <c r="K42" s="773"/>
      <c r="L42" s="788"/>
      <c r="M42" s="772"/>
      <c r="N42" s="772"/>
      <c r="O42" s="772"/>
      <c r="P42" s="772"/>
      <c r="Q42" s="772"/>
      <c r="R42" s="772"/>
      <c r="S42" s="772"/>
      <c r="T42" s="772"/>
      <c r="U42" s="772"/>
      <c r="V42" s="772"/>
    </row>
    <row r="43" spans="4:22">
      <c r="D43" s="772"/>
      <c r="E43" s="772"/>
      <c r="F43" s="772"/>
      <c r="G43" s="773"/>
      <c r="H43" s="773"/>
      <c r="I43" s="773"/>
      <c r="J43" s="773"/>
      <c r="K43" s="773"/>
      <c r="L43" s="788"/>
      <c r="M43" s="772"/>
      <c r="N43" s="772"/>
      <c r="O43" s="772"/>
      <c r="P43" s="772"/>
      <c r="Q43" s="772"/>
      <c r="R43" s="772"/>
      <c r="S43" s="772"/>
      <c r="T43" s="772"/>
      <c r="U43" s="772"/>
      <c r="V43" s="772"/>
    </row>
    <row r="44" spans="4:22">
      <c r="D44" s="772"/>
      <c r="E44" s="772"/>
      <c r="F44" s="772"/>
      <c r="G44" s="773"/>
      <c r="H44" s="773"/>
      <c r="I44" s="773"/>
      <c r="J44" s="773"/>
      <c r="K44" s="773"/>
      <c r="L44" s="788"/>
      <c r="M44" s="772"/>
      <c r="N44" s="772"/>
      <c r="O44" s="772"/>
      <c r="P44" s="772"/>
      <c r="Q44" s="772"/>
      <c r="R44" s="772"/>
      <c r="S44" s="772"/>
      <c r="T44" s="772"/>
      <c r="U44" s="772"/>
      <c r="V44" s="772"/>
    </row>
    <row r="45" spans="4:22">
      <c r="D45" s="772"/>
      <c r="E45" s="772"/>
      <c r="F45" s="772"/>
      <c r="G45" s="773"/>
      <c r="H45" s="773"/>
      <c r="I45" s="773"/>
      <c r="J45" s="773"/>
      <c r="K45" s="773"/>
      <c r="L45" s="788"/>
      <c r="M45" s="772"/>
      <c r="N45" s="772"/>
      <c r="O45" s="772"/>
      <c r="P45" s="772"/>
      <c r="Q45" s="772"/>
      <c r="R45" s="772"/>
      <c r="S45" s="772"/>
      <c r="T45" s="772"/>
      <c r="U45" s="772"/>
      <c r="V45" s="772"/>
    </row>
    <row r="46" spans="4:22">
      <c r="D46" s="772"/>
      <c r="E46" s="772"/>
      <c r="F46" s="772"/>
      <c r="G46" s="773"/>
      <c r="H46" s="773"/>
      <c r="I46" s="773"/>
      <c r="J46" s="773"/>
      <c r="K46" s="773"/>
      <c r="L46" s="788"/>
      <c r="M46" s="772"/>
      <c r="N46" s="772"/>
      <c r="O46" s="772"/>
      <c r="P46" s="772"/>
      <c r="Q46" s="772"/>
      <c r="R46" s="772"/>
      <c r="S46" s="772"/>
      <c r="T46" s="772"/>
      <c r="U46" s="772"/>
      <c r="V46" s="772"/>
    </row>
    <row r="47" spans="4:22">
      <c r="D47" s="772"/>
      <c r="E47" s="772"/>
      <c r="F47" s="772"/>
      <c r="G47" s="773"/>
      <c r="H47" s="773"/>
      <c r="I47" s="773"/>
      <c r="J47" s="773"/>
      <c r="K47" s="773"/>
      <c r="L47" s="788"/>
      <c r="M47" s="772"/>
      <c r="N47" s="772"/>
      <c r="O47" s="772"/>
      <c r="P47" s="772"/>
      <c r="Q47" s="772"/>
      <c r="R47" s="772"/>
      <c r="S47" s="772"/>
      <c r="T47" s="772"/>
      <c r="U47" s="772"/>
      <c r="V47" s="772"/>
    </row>
    <row r="48" spans="4:22">
      <c r="D48" s="772"/>
      <c r="E48" s="772"/>
      <c r="F48" s="772"/>
      <c r="G48" s="773"/>
      <c r="H48" s="773"/>
      <c r="I48" s="773"/>
      <c r="J48" s="773"/>
      <c r="K48" s="773"/>
      <c r="L48" s="788"/>
      <c r="M48" s="772"/>
      <c r="N48" s="772"/>
      <c r="O48" s="772"/>
      <c r="P48" s="772"/>
      <c r="Q48" s="772"/>
      <c r="R48" s="772"/>
      <c r="S48" s="772"/>
      <c r="T48" s="772"/>
      <c r="U48" s="772"/>
      <c r="V48" s="772"/>
    </row>
    <row r="49" spans="4:22">
      <c r="D49" s="772"/>
      <c r="E49" s="772"/>
      <c r="F49" s="772"/>
      <c r="G49" s="773"/>
      <c r="H49" s="773"/>
      <c r="I49" s="773"/>
      <c r="J49" s="773"/>
      <c r="K49" s="773"/>
      <c r="L49" s="788"/>
      <c r="M49" s="772"/>
      <c r="N49" s="772"/>
      <c r="O49" s="772"/>
      <c r="P49" s="772"/>
      <c r="Q49" s="772"/>
      <c r="R49" s="772"/>
      <c r="S49" s="772"/>
      <c r="T49" s="772"/>
      <c r="U49" s="772"/>
      <c r="V49" s="772"/>
    </row>
    <row r="50" spans="4:22">
      <c r="D50" s="772"/>
      <c r="E50" s="772"/>
      <c r="F50" s="772"/>
      <c r="G50" s="773"/>
      <c r="H50" s="773"/>
      <c r="I50" s="773"/>
      <c r="J50" s="773"/>
      <c r="K50" s="773"/>
      <c r="L50" s="788"/>
      <c r="M50" s="772"/>
      <c r="N50" s="772"/>
      <c r="O50" s="772"/>
      <c r="P50" s="772"/>
      <c r="Q50" s="772"/>
      <c r="R50" s="772"/>
      <c r="S50" s="772"/>
      <c r="T50" s="772"/>
      <c r="U50" s="772"/>
      <c r="V50" s="772"/>
    </row>
    <row r="51" spans="4:22">
      <c r="D51" s="772"/>
      <c r="E51" s="772"/>
      <c r="F51" s="772"/>
      <c r="G51" s="773"/>
      <c r="H51" s="773"/>
      <c r="I51" s="773"/>
      <c r="J51" s="773"/>
      <c r="K51" s="773"/>
      <c r="L51" s="788"/>
      <c r="M51" s="772"/>
      <c r="N51" s="772"/>
      <c r="O51" s="772"/>
      <c r="P51" s="772"/>
      <c r="Q51" s="772"/>
      <c r="R51" s="772"/>
      <c r="S51" s="772"/>
      <c r="T51" s="772"/>
      <c r="U51" s="772"/>
      <c r="V51" s="772"/>
    </row>
  </sheetData>
  <sheetProtection algorithmName="SHA-512" hashValue="8/TKmw6QC40AkxsCT9+dDDy3aym8XekqH2+WFWQNFIbk9lwOxCvKyNqLup/oqrUypmCAixqODNlJAzBLYMW28Q==" saltValue="7G7Ai2Iff2P4w+w/qEGyjQ==" spinCount="100000" sheet="1" objects="1" scenarios="1"/>
  <mergeCells count="1">
    <mergeCell ref="O5:U16"/>
  </mergeCells>
  <pageMargins left="0.7" right="0.7" top="0.75" bottom="0.75" header="0.3" footer="0.3"/>
  <pageSetup scale="42" orientation="landscape"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C856A-8D91-9043-B681-500176F9D942}">
  <sheetPr codeName="Sheet11">
    <tabColor theme="0"/>
  </sheetPr>
  <dimension ref="A1:L55"/>
  <sheetViews>
    <sheetView workbookViewId="0">
      <selection activeCell="D3" sqref="D3"/>
    </sheetView>
  </sheetViews>
  <sheetFormatPr baseColWidth="10" defaultRowHeight="16"/>
  <cols>
    <col min="2" max="2" width="18.25" style="456" customWidth="1"/>
    <col min="3" max="3" width="24" style="456" customWidth="1"/>
    <col min="4" max="4" width="255.5" style="456" customWidth="1"/>
    <col min="5" max="5" width="255.5" customWidth="1"/>
    <col min="6" max="6" width="85.25" customWidth="1"/>
    <col min="7" max="7" width="28.75" customWidth="1"/>
    <col min="8" max="8" width="102.25" customWidth="1"/>
    <col min="9" max="9" width="25.25" customWidth="1"/>
  </cols>
  <sheetData>
    <row r="1" spans="1:12" ht="30" customHeight="1">
      <c r="A1" s="455"/>
      <c r="B1" s="158"/>
      <c r="C1" s="158"/>
      <c r="D1" s="457" t="s">
        <v>429</v>
      </c>
    </row>
    <row r="2" spans="1:12" ht="83" customHeight="1">
      <c r="A2" s="455"/>
      <c r="B2" s="158"/>
      <c r="C2" s="158"/>
      <c r="D2" s="740" t="s">
        <v>1818</v>
      </c>
    </row>
    <row r="3" spans="1:12" ht="409" customHeight="1">
      <c r="D3" s="803" t="s">
        <v>1606</v>
      </c>
    </row>
    <row r="4" spans="1:12" ht="26" customHeight="1">
      <c r="D4" s="458" t="s">
        <v>1603</v>
      </c>
      <c r="E4" s="455"/>
      <c r="F4" s="88"/>
      <c r="G4" s="99"/>
      <c r="H4" s="24"/>
      <c r="I4" s="24"/>
    </row>
    <row r="5" spans="1:12" ht="27" customHeight="1">
      <c r="D5" s="459" t="s">
        <v>902</v>
      </c>
      <c r="E5" s="154"/>
      <c r="F5" s="88"/>
      <c r="G5" s="99"/>
      <c r="H5" s="24"/>
      <c r="I5" s="24"/>
      <c r="J5" s="154"/>
      <c r="K5" s="154"/>
      <c r="L5" s="154"/>
    </row>
    <row r="6" spans="1:12" ht="26" customHeight="1">
      <c r="D6" s="459" t="s">
        <v>903</v>
      </c>
      <c r="E6" s="455"/>
      <c r="F6" s="88"/>
      <c r="G6" s="99"/>
      <c r="H6" s="24"/>
      <c r="I6" s="24"/>
    </row>
    <row r="7" spans="1:12" ht="26" customHeight="1">
      <c r="D7" s="459" t="s">
        <v>1817</v>
      </c>
      <c r="E7" s="455"/>
    </row>
    <row r="8" spans="1:12" ht="26" customHeight="1">
      <c r="D8" s="459"/>
      <c r="E8" s="455"/>
    </row>
    <row r="9" spans="1:12" ht="26" customHeight="1">
      <c r="B9" s="458" t="s">
        <v>880</v>
      </c>
      <c r="C9" s="458" t="s">
        <v>882</v>
      </c>
      <c r="D9" s="458" t="s">
        <v>881</v>
      </c>
    </row>
    <row r="10" spans="1:12" ht="26" customHeight="1">
      <c r="B10" s="459" t="s">
        <v>885</v>
      </c>
      <c r="C10" s="459">
        <v>3.0019999999999998</v>
      </c>
      <c r="D10" s="459" t="s">
        <v>884</v>
      </c>
    </row>
    <row r="11" spans="1:12" ht="26" customHeight="1">
      <c r="B11" s="459" t="s">
        <v>885</v>
      </c>
      <c r="C11" s="459">
        <v>3.0030000000000001</v>
      </c>
      <c r="D11" s="459" t="s">
        <v>886</v>
      </c>
    </row>
    <row r="12" spans="1:12" ht="26" customHeight="1">
      <c r="B12" s="459" t="s">
        <v>885</v>
      </c>
      <c r="C12" s="459">
        <v>3.0030000000000001</v>
      </c>
      <c r="D12" s="459" t="s">
        <v>887</v>
      </c>
    </row>
    <row r="13" spans="1:12" ht="26" customHeight="1">
      <c r="B13" s="459" t="s">
        <v>889</v>
      </c>
      <c r="C13" s="459">
        <v>3.004</v>
      </c>
      <c r="D13" s="459" t="s">
        <v>888</v>
      </c>
    </row>
    <row r="14" spans="1:12" ht="26" customHeight="1">
      <c r="B14" s="459" t="s">
        <v>889</v>
      </c>
      <c r="C14" s="459">
        <v>3.004</v>
      </c>
      <c r="D14" s="459" t="s">
        <v>890</v>
      </c>
    </row>
    <row r="15" spans="1:12" ht="26" customHeight="1">
      <c r="B15" s="459" t="s">
        <v>889</v>
      </c>
      <c r="C15" s="459">
        <v>3.0049999999999999</v>
      </c>
      <c r="D15" s="459" t="s">
        <v>891</v>
      </c>
    </row>
    <row r="16" spans="1:12" ht="26" customHeight="1">
      <c r="B16" s="459" t="s">
        <v>893</v>
      </c>
      <c r="C16" s="459">
        <v>3.0049999999999999</v>
      </c>
      <c r="D16" s="459" t="s">
        <v>892</v>
      </c>
    </row>
    <row r="17" spans="2:4" ht="26" customHeight="1">
      <c r="B17" s="459" t="s">
        <v>893</v>
      </c>
      <c r="C17" s="459">
        <v>3.0059999999999998</v>
      </c>
      <c r="D17" s="459" t="s">
        <v>894</v>
      </c>
    </row>
    <row r="18" spans="2:4" ht="26" customHeight="1">
      <c r="B18" s="459" t="s">
        <v>896</v>
      </c>
      <c r="C18" s="459">
        <v>3.0059999999999998</v>
      </c>
      <c r="D18" s="459" t="s">
        <v>895</v>
      </c>
    </row>
    <row r="19" spans="2:4" ht="26" customHeight="1">
      <c r="B19" s="459" t="s">
        <v>900</v>
      </c>
      <c r="C19" s="459">
        <v>3.0059999999999998</v>
      </c>
      <c r="D19" s="459" t="s">
        <v>899</v>
      </c>
    </row>
    <row r="20" spans="2:4" ht="26" customHeight="1">
      <c r="B20" s="459" t="s">
        <v>898</v>
      </c>
      <c r="C20" s="459">
        <v>3.0070000000000001</v>
      </c>
      <c r="D20" s="459" t="s">
        <v>897</v>
      </c>
    </row>
    <row r="21" spans="2:4" ht="26" customHeight="1">
      <c r="B21" s="459" t="s">
        <v>883</v>
      </c>
      <c r="C21" s="459">
        <v>3.0070000000000001</v>
      </c>
      <c r="D21" s="459" t="s">
        <v>901</v>
      </c>
    </row>
    <row r="22" spans="2:4" ht="26" customHeight="1">
      <c r="B22" s="459" t="s">
        <v>883</v>
      </c>
      <c r="C22" s="459">
        <v>3.0070000000000001</v>
      </c>
      <c r="D22" s="459" t="s">
        <v>904</v>
      </c>
    </row>
    <row r="23" spans="2:4" ht="26" customHeight="1">
      <c r="B23" s="459" t="s">
        <v>910</v>
      </c>
      <c r="C23" s="459">
        <v>3.012</v>
      </c>
      <c r="D23" s="459" t="s">
        <v>911</v>
      </c>
    </row>
    <row r="24" spans="2:4" ht="26" customHeight="1">
      <c r="B24" s="459" t="s">
        <v>1437</v>
      </c>
      <c r="C24" s="459">
        <v>3.0129999999999999</v>
      </c>
      <c r="D24" s="459" t="s">
        <v>1438</v>
      </c>
    </row>
    <row r="25" spans="2:4" ht="26" customHeight="1">
      <c r="B25" s="459" t="s">
        <v>1544</v>
      </c>
      <c r="C25" s="459">
        <v>3.0139999999999998</v>
      </c>
      <c r="D25" s="459" t="s">
        <v>1545</v>
      </c>
    </row>
    <row r="26" spans="2:4" s="1630" customFormat="1" ht="26" customHeight="1">
      <c r="B26" s="460" t="s">
        <v>1548</v>
      </c>
      <c r="C26" s="460" t="s">
        <v>1549</v>
      </c>
      <c r="D26" s="460" t="s">
        <v>1550</v>
      </c>
    </row>
    <row r="27" spans="2:4" ht="26" customHeight="1">
      <c r="B27" s="459" t="s">
        <v>1555</v>
      </c>
      <c r="C27" s="459">
        <v>3.016</v>
      </c>
      <c r="D27" s="459" t="s">
        <v>1556</v>
      </c>
    </row>
    <row r="28" spans="2:4" ht="26" customHeight="1">
      <c r="B28" s="459"/>
      <c r="C28" s="459" t="s">
        <v>1559</v>
      </c>
      <c r="D28" s="459" t="s">
        <v>1560</v>
      </c>
    </row>
    <row r="29" spans="2:4" ht="26" customHeight="1">
      <c r="B29" s="459"/>
      <c r="C29" s="459">
        <v>3.0169999999999999</v>
      </c>
      <c r="D29" s="459" t="s">
        <v>1561</v>
      </c>
    </row>
    <row r="30" spans="2:4" ht="26" customHeight="1">
      <c r="B30" s="459"/>
      <c r="C30" s="459" t="s">
        <v>1570</v>
      </c>
      <c r="D30" s="459" t="s">
        <v>1571</v>
      </c>
    </row>
    <row r="31" spans="2:4" ht="26" customHeight="1">
      <c r="B31" s="459"/>
      <c r="C31" s="459">
        <v>3.0190000000000001</v>
      </c>
      <c r="D31" s="459" t="s">
        <v>1577</v>
      </c>
    </row>
    <row r="32" spans="2:4" ht="26" customHeight="1">
      <c r="B32" s="459" t="s">
        <v>1686</v>
      </c>
      <c r="C32" s="802">
        <v>3.02</v>
      </c>
      <c r="D32" s="459" t="s">
        <v>1688</v>
      </c>
    </row>
    <row r="33" spans="2:4" ht="26" customHeight="1">
      <c r="B33" s="459" t="s">
        <v>1685</v>
      </c>
      <c r="C33" s="802">
        <v>3.0209999999999999</v>
      </c>
      <c r="D33" s="459" t="s">
        <v>1604</v>
      </c>
    </row>
    <row r="34" spans="2:4" ht="26" customHeight="1">
      <c r="B34" s="459" t="s">
        <v>1687</v>
      </c>
      <c r="C34" s="802">
        <v>3.0219999999999998</v>
      </c>
      <c r="D34" s="459" t="s">
        <v>1689</v>
      </c>
    </row>
    <row r="35" spans="2:4" ht="26" customHeight="1">
      <c r="B35" s="459" t="s">
        <v>1687</v>
      </c>
      <c r="C35" s="802">
        <v>3.0230000000000001</v>
      </c>
      <c r="D35" s="459" t="s">
        <v>1707</v>
      </c>
    </row>
    <row r="36" spans="2:4" ht="26" customHeight="1">
      <c r="B36" s="459" t="s">
        <v>1712</v>
      </c>
      <c r="C36" s="802">
        <v>3.024</v>
      </c>
      <c r="D36" s="459" t="s">
        <v>1713</v>
      </c>
    </row>
    <row r="37" spans="2:4" ht="26" customHeight="1">
      <c r="B37" s="459" t="s">
        <v>1815</v>
      </c>
      <c r="C37" s="802">
        <v>3.03</v>
      </c>
      <c r="D37" s="459" t="s">
        <v>1816</v>
      </c>
    </row>
    <row r="38" spans="2:4" s="1630" customFormat="1" ht="26" customHeight="1">
      <c r="B38" s="459" t="s">
        <v>1958</v>
      </c>
      <c r="C38" s="802">
        <v>3.032</v>
      </c>
      <c r="D38" s="459" t="s">
        <v>1959</v>
      </c>
    </row>
    <row r="39" spans="2:4" ht="26" customHeight="1">
      <c r="B39" s="459" t="s">
        <v>1987</v>
      </c>
      <c r="C39" s="802">
        <v>3.0329999999999999</v>
      </c>
      <c r="D39" s="459" t="s">
        <v>1988</v>
      </c>
    </row>
    <row r="40" spans="2:4" ht="26" customHeight="1">
      <c r="B40" s="459" t="s">
        <v>1996</v>
      </c>
      <c r="C40" s="802">
        <v>3.0339999999999998</v>
      </c>
      <c r="D40" s="459" t="s">
        <v>1997</v>
      </c>
    </row>
    <row r="41" spans="2:4" s="1630" customFormat="1" ht="26" customHeight="1">
      <c r="B41" s="460" t="s">
        <v>2023</v>
      </c>
      <c r="C41" s="801">
        <v>3.0350000000000001</v>
      </c>
      <c r="D41" s="460" t="s">
        <v>2024</v>
      </c>
    </row>
    <row r="42" spans="2:4" ht="26" customHeight="1"/>
    <row r="43" spans="2:4" ht="26" customHeight="1"/>
    <row r="44" spans="2:4" ht="26" customHeight="1"/>
    <row r="45" spans="2:4" ht="26" customHeight="1"/>
    <row r="46" spans="2:4" ht="26" customHeight="1"/>
    <row r="47" spans="2:4" ht="26" customHeight="1"/>
    <row r="48" spans="2:4" ht="26" customHeight="1"/>
    <row r="49" ht="26" customHeight="1"/>
    <row r="50" ht="26" customHeight="1"/>
    <row r="51" ht="26" customHeight="1"/>
    <row r="52" ht="26" customHeight="1"/>
    <row r="53" ht="26" customHeight="1"/>
    <row r="54" ht="26" customHeight="1"/>
    <row r="55" ht="26" customHeight="1"/>
  </sheetData>
  <sheetProtection algorithmName="SHA-512" hashValue="D0ekz4LEdO7dFeHgp9GNW5Pc/I2GSH9SLiwuzW5DjwXVU54Xk3woJA9rihYY8GCSKpc9mrO4mqV1bKXtHphizQ==" saltValue="1eh+yhW5e4Bo539V/YxLeA==" spinCount="100000" sheet="1" objects="1" scenarios="1"/>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11B5-D864-264C-A77E-D227D2CEC786}">
  <sheetPr codeName="Sheet15"/>
  <dimension ref="C1:AA32"/>
  <sheetViews>
    <sheetView topLeftCell="G1" zoomScale="80" zoomScaleNormal="80" workbookViewId="0">
      <selection activeCell="Z19" sqref="Z19"/>
    </sheetView>
  </sheetViews>
  <sheetFormatPr baseColWidth="10" defaultRowHeight="20"/>
  <cols>
    <col min="1" max="2" width="8.75" style="858" customWidth="1"/>
    <col min="3" max="3" width="8.75" style="1574" customWidth="1"/>
    <col min="4" max="5" width="8.75" style="858" customWidth="1"/>
    <col min="6" max="6" width="8.75" style="1574" customWidth="1"/>
    <col min="7" max="8" width="8.75" style="858" customWidth="1"/>
    <col min="9" max="12" width="8.75" style="1574" customWidth="1"/>
    <col min="13" max="18" width="8.75" style="858" customWidth="1"/>
    <col min="19" max="20" width="10.75" style="1727"/>
    <col min="21" max="22" width="27" style="858" customWidth="1"/>
    <col min="23" max="23" width="37" style="858" customWidth="1"/>
    <col min="24" max="27" width="27" style="858" customWidth="1"/>
    <col min="28" max="16384" width="10.75" style="858"/>
  </cols>
  <sheetData>
    <row r="1" spans="8:27" ht="66">
      <c r="H1" s="2004"/>
      <c r="I1" s="2162"/>
      <c r="J1" s="2162"/>
      <c r="K1" s="1764"/>
      <c r="L1" s="2162"/>
      <c r="M1" s="2006"/>
      <c r="N1" s="2163"/>
      <c r="O1" s="2008"/>
      <c r="P1" s="2008"/>
      <c r="Q1" s="2008"/>
      <c r="R1" s="1744"/>
      <c r="U1" s="210" t="s">
        <v>1690</v>
      </c>
      <c r="V1" s="210" t="s">
        <v>1695</v>
      </c>
      <c r="W1" s="210" t="s">
        <v>1692</v>
      </c>
      <c r="X1" s="210" t="s">
        <v>1698</v>
      </c>
      <c r="Y1" s="210" t="s">
        <v>1693</v>
      </c>
      <c r="Z1" s="210" t="s">
        <v>1694</v>
      </c>
      <c r="AA1" s="210" t="s">
        <v>1691</v>
      </c>
    </row>
    <row r="2" spans="8:27">
      <c r="H2" s="1749"/>
      <c r="I2" s="2085"/>
      <c r="J2" s="2086"/>
      <c r="K2" s="2087"/>
      <c r="L2" s="1752"/>
      <c r="M2" s="2088"/>
      <c r="N2" s="1752"/>
      <c r="O2" s="2089"/>
      <c r="P2" s="1727"/>
      <c r="Q2" s="1727"/>
      <c r="R2" s="1727"/>
      <c r="U2" s="449">
        <v>1.35</v>
      </c>
      <c r="V2" s="846">
        <v>2102.52</v>
      </c>
      <c r="W2" s="847">
        <f>SUM(REPORT!D89:D93)*V2</f>
        <v>724591.46759999997</v>
      </c>
      <c r="X2" s="850">
        <f>V2/V2</f>
        <v>1</v>
      </c>
      <c r="Y2" s="847">
        <f>(SUM(REPORT!D89:D93)*(REPORT!D$20*U2*24)/1000)*REPORT!L$12</f>
        <v>6677.2751760000001</v>
      </c>
      <c r="Z2" s="847">
        <f>Y2-Y2</f>
        <v>0</v>
      </c>
      <c r="AA2" s="849" t="s">
        <v>34</v>
      </c>
    </row>
    <row r="3" spans="8:27">
      <c r="H3" s="1745"/>
      <c r="I3" s="2092"/>
      <c r="J3" s="2006"/>
      <c r="K3" s="2093"/>
      <c r="L3" s="2006"/>
      <c r="M3" s="2008"/>
      <c r="N3" s="2007"/>
      <c r="O3" s="2089"/>
      <c r="P3" s="2094"/>
      <c r="Q3" s="2095"/>
      <c r="R3" s="2008"/>
      <c r="U3" s="853" t="s">
        <v>1696</v>
      </c>
      <c r="V3" s="851"/>
      <c r="W3" s="851"/>
      <c r="X3" s="851"/>
      <c r="Y3" s="851"/>
      <c r="Z3" s="851"/>
      <c r="AA3" s="851"/>
    </row>
    <row r="4" spans="8:27">
      <c r="H4" s="1727"/>
      <c r="I4" s="2101"/>
      <c r="J4" s="2101"/>
      <c r="K4" s="2101"/>
      <c r="L4" s="2101"/>
      <c r="M4" s="1727"/>
      <c r="N4" s="1727"/>
      <c r="O4" s="1727"/>
      <c r="P4" s="1727"/>
      <c r="Q4" s="1727"/>
      <c r="R4" s="1727"/>
      <c r="U4" s="852" t="s">
        <v>1697</v>
      </c>
      <c r="V4" s="24"/>
      <c r="W4" s="24"/>
      <c r="X4" s="848"/>
      <c r="Y4" s="24"/>
      <c r="Z4" s="24"/>
      <c r="AA4" s="848"/>
    </row>
    <row r="5" spans="8:27" ht="26">
      <c r="H5" s="1749"/>
      <c r="I5" s="2098"/>
      <c r="J5" s="1750"/>
      <c r="K5" s="2084"/>
      <c r="L5" s="1726"/>
      <c r="M5" s="1726"/>
      <c r="N5" s="2007"/>
      <c r="O5" s="2089"/>
      <c r="P5" s="1726"/>
      <c r="Q5" s="1726"/>
      <c r="R5" s="2091"/>
      <c r="U5" s="24"/>
      <c r="V5" s="24"/>
      <c r="W5" s="24"/>
      <c r="X5" s="24"/>
      <c r="Y5" s="24"/>
      <c r="Z5" s="24"/>
      <c r="AA5" s="24"/>
    </row>
    <row r="6" spans="8:27" ht="26">
      <c r="H6" s="1745"/>
      <c r="I6" s="2092"/>
      <c r="J6" s="1721"/>
      <c r="K6" s="2099"/>
      <c r="L6" s="2100"/>
      <c r="M6" s="1721"/>
      <c r="N6" s="1726"/>
      <c r="O6" s="1726"/>
      <c r="P6" s="2094"/>
      <c r="Q6" s="2095"/>
      <c r="R6" s="2091"/>
      <c r="U6" s="449">
        <v>1.2</v>
      </c>
      <c r="V6" s="846">
        <v>2000</v>
      </c>
      <c r="W6" s="847">
        <f>SUM(REPORT!D89:D93)*V6</f>
        <v>689260</v>
      </c>
      <c r="X6" s="850">
        <f>V6/V2</f>
        <v>0.95123946502292489</v>
      </c>
      <c r="Y6" s="847">
        <f>(SUM(REPORT!D89:D93)*(REPORT!D$20*U6*24)/1000)*REPORT!L$12</f>
        <v>5935.3557120000005</v>
      </c>
      <c r="Z6" s="847">
        <f>Y2-Y6</f>
        <v>741.91946399999961</v>
      </c>
      <c r="AA6" s="849">
        <f>(W6-W2)/Z6</f>
        <v>-47.621701969528047</v>
      </c>
    </row>
    <row r="7" spans="8:27">
      <c r="H7" s="1745"/>
      <c r="I7" s="2092"/>
      <c r="J7" s="2006"/>
      <c r="K7" s="2093"/>
      <c r="L7" s="2006"/>
      <c r="M7" s="2008"/>
      <c r="N7" s="1712"/>
      <c r="O7" s="2096"/>
      <c r="P7" s="2097"/>
      <c r="Q7" s="1706"/>
      <c r="R7" s="2008"/>
      <c r="U7" s="449">
        <v>1</v>
      </c>
      <c r="V7" s="846">
        <v>2102.52</v>
      </c>
      <c r="W7" s="847">
        <f>SUM(REPORT!D89:D93)*V7</f>
        <v>724591.46759999997</v>
      </c>
      <c r="X7" s="850">
        <f>V7/V2</f>
        <v>1</v>
      </c>
      <c r="Y7" s="847">
        <f>(SUM(REPORT!D89:D93)*(REPORT!D$20*U7*24)/1000)*REPORT!L$12</f>
        <v>4946.1297600000007</v>
      </c>
      <c r="Z7" s="847">
        <f>Y2-Y7</f>
        <v>1731.1454159999994</v>
      </c>
      <c r="AA7" s="849">
        <f>(W7-W2)/Z7</f>
        <v>0</v>
      </c>
    </row>
    <row r="8" spans="8:27" ht="26">
      <c r="H8" s="1727"/>
      <c r="I8" s="2101"/>
      <c r="J8" s="2101"/>
      <c r="K8" s="2101"/>
      <c r="L8" s="2101"/>
      <c r="M8" s="1727"/>
      <c r="N8" s="1727"/>
      <c r="O8" s="1727"/>
      <c r="P8" s="355"/>
      <c r="Q8" s="2090"/>
      <c r="R8" s="2091"/>
      <c r="U8" s="449">
        <v>0.74099999999999999</v>
      </c>
      <c r="V8" s="846">
        <f>V7*1.25</f>
        <v>2628.15</v>
      </c>
      <c r="W8" s="847">
        <f>SUM(REPORT!D89:D93)*V8</f>
        <v>905739.3345</v>
      </c>
      <c r="X8" s="850">
        <f>V8/V2</f>
        <v>1.25</v>
      </c>
      <c r="Y8" s="847">
        <f>(SUM(REPORT!D89:D93)*(REPORT!D$20*U8*24)/1000)*REPORT!L$12</f>
        <v>3665.0821521599996</v>
      </c>
      <c r="Z8" s="847">
        <f>Y2-Y8</f>
        <v>3012.1930238400005</v>
      </c>
      <c r="AA8" s="849">
        <f>(W8-W2)/Z8</f>
        <v>60.138200130703879</v>
      </c>
    </row>
    <row r="9" spans="8:27">
      <c r="H9" s="1727"/>
      <c r="I9" s="2101"/>
      <c r="J9" s="2101"/>
      <c r="K9" s="2101"/>
      <c r="L9" s="2101"/>
      <c r="M9" s="1727"/>
      <c r="N9" s="1727"/>
      <c r="O9" s="1727"/>
      <c r="P9" s="1727"/>
      <c r="Q9" s="1727"/>
      <c r="R9" s="1727"/>
      <c r="U9" s="449">
        <v>0.56999999999999995</v>
      </c>
      <c r="V9" s="846">
        <f>V7*1.35</f>
        <v>2838.402</v>
      </c>
      <c r="W9" s="847">
        <f>SUM(REPORT!D89:D93)*V9</f>
        <v>978198.48126000003</v>
      </c>
      <c r="X9" s="850">
        <f>V9/V2</f>
        <v>1.35</v>
      </c>
      <c r="Y9" s="847">
        <f>(SUM(REPORT!D89:D93)*(REPORT!D$20*U9*24)/1000)*REPORT!L$12</f>
        <v>2819.2939632000002</v>
      </c>
      <c r="Z9" s="847">
        <f>Y2-Y9</f>
        <v>3857.9812127999999</v>
      </c>
      <c r="AA9" s="849">
        <f>(W9-W2)/Z9</f>
        <v>65.735678758254025</v>
      </c>
    </row>
    <row r="10" spans="8:27">
      <c r="H10" s="2084"/>
      <c r="I10" s="2260"/>
      <c r="J10" s="2101"/>
      <c r="K10" s="2101"/>
      <c r="L10" s="2101"/>
      <c r="M10" s="1727"/>
      <c r="N10" s="1727"/>
      <c r="O10" s="1727"/>
      <c r="P10" s="1727"/>
      <c r="Q10" s="1727"/>
      <c r="R10" s="1727"/>
    </row>
    <row r="11" spans="8:27" ht="26">
      <c r="H11" s="1749"/>
      <c r="I11" s="2261"/>
      <c r="J11" s="1721"/>
      <c r="K11" s="2262"/>
      <c r="L11" s="1721"/>
      <c r="M11" s="2263"/>
      <c r="N11" s="2264"/>
      <c r="O11" s="1727"/>
      <c r="P11" s="1727"/>
      <c r="Q11" s="1727"/>
      <c r="R11" s="2091"/>
    </row>
    <row r="12" spans="8:27">
      <c r="H12" s="2084"/>
      <c r="I12" s="2087"/>
      <c r="J12" s="2101"/>
      <c r="K12" s="2101"/>
      <c r="L12" s="2101"/>
      <c r="M12" s="1727"/>
      <c r="N12" s="1727"/>
      <c r="O12" s="1727"/>
      <c r="P12" s="1727"/>
      <c r="Q12" s="1727"/>
      <c r="R12" s="1727"/>
    </row>
    <row r="13" spans="8:27">
      <c r="H13" s="2265"/>
      <c r="I13" s="2266"/>
      <c r="J13" s="1721"/>
      <c r="K13" s="2267"/>
      <c r="L13" s="1721"/>
      <c r="M13" s="2263"/>
      <c r="N13" s="1757"/>
      <c r="O13" s="1727"/>
      <c r="P13" s="1727"/>
      <c r="Q13" s="1727"/>
      <c r="R13" s="1727"/>
    </row>
    <row r="14" spans="8:27" ht="26">
      <c r="H14" s="2265"/>
      <c r="I14" s="2268"/>
      <c r="J14" s="1721"/>
      <c r="K14" s="2101"/>
      <c r="L14" s="2101"/>
      <c r="M14" s="1757"/>
      <c r="N14" s="1727"/>
      <c r="O14" s="1727"/>
      <c r="P14" s="2269"/>
      <c r="Q14" s="1727"/>
      <c r="R14" s="2091"/>
    </row>
    <row r="15" spans="8:27">
      <c r="H15" s="1745"/>
      <c r="I15" s="2270"/>
      <c r="J15" s="1719"/>
      <c r="K15" s="2101"/>
      <c r="L15" s="2101"/>
      <c r="M15" s="1749"/>
      <c r="N15" s="1727"/>
      <c r="O15" s="1727"/>
      <c r="P15" s="2271"/>
      <c r="Q15" s="1719"/>
      <c r="R15" s="1727"/>
    </row>
    <row r="16" spans="8:27" ht="21" customHeight="1">
      <c r="H16" s="1727"/>
      <c r="I16" s="2101"/>
      <c r="J16" s="2101"/>
      <c r="K16" s="2101"/>
      <c r="L16" s="2101"/>
      <c r="M16" s="1749"/>
      <c r="N16" s="1727"/>
      <c r="O16" s="1727"/>
      <c r="P16" s="2092"/>
      <c r="Q16" s="1719"/>
      <c r="R16" s="2272"/>
    </row>
    <row r="17" spans="8:18">
      <c r="H17" s="1745"/>
      <c r="I17" s="2271"/>
      <c r="J17" s="1719"/>
      <c r="K17" s="1721"/>
      <c r="L17" s="1726"/>
      <c r="M17" s="2273"/>
      <c r="N17" s="1726"/>
      <c r="O17" s="2274"/>
      <c r="P17" s="1726"/>
      <c r="Q17" s="1726"/>
      <c r="R17" s="2275"/>
    </row>
    <row r="18" spans="8:18">
      <c r="H18" s="1749"/>
      <c r="I18" s="2271"/>
      <c r="J18" s="1719"/>
      <c r="K18" s="1721"/>
      <c r="L18" s="1726"/>
      <c r="M18" s="2092"/>
      <c r="N18" s="1721"/>
      <c r="O18" s="1721"/>
      <c r="P18" s="2276"/>
      <c r="Q18" s="2277"/>
      <c r="R18" s="2278"/>
    </row>
    <row r="19" spans="8:18" ht="26">
      <c r="H19" s="2279"/>
      <c r="I19" s="2280"/>
      <c r="J19" s="2099"/>
      <c r="K19" s="2099"/>
      <c r="L19" s="2281"/>
      <c r="M19" s="1721"/>
      <c r="N19" s="1757"/>
      <c r="O19" s="2099"/>
      <c r="P19" s="2276"/>
      <c r="Q19" s="2099"/>
      <c r="R19" s="2272"/>
    </row>
    <row r="20" spans="8:18" ht="21" customHeight="1">
      <c r="H20" s="1727"/>
      <c r="I20" s="2101"/>
      <c r="J20" s="2101"/>
      <c r="K20" s="2101"/>
      <c r="L20" s="2101"/>
      <c r="M20" s="1727"/>
      <c r="N20" s="1727"/>
      <c r="O20" s="1727"/>
      <c r="P20" s="1726"/>
      <c r="Q20" s="2271"/>
      <c r="R20" s="2282"/>
    </row>
    <row r="21" spans="8:18" ht="26">
      <c r="H21" s="1727"/>
      <c r="I21" s="2101"/>
      <c r="J21" s="2101"/>
      <c r="K21" s="1726"/>
      <c r="L21" s="2092"/>
      <c r="M21" s="1721"/>
      <c r="N21" s="2283"/>
      <c r="O21" s="1757"/>
      <c r="P21" s="2276"/>
      <c r="Q21" s="2099"/>
      <c r="R21" s="2272"/>
    </row>
    <row r="22" spans="8:18">
      <c r="H22" s="1727"/>
      <c r="I22" s="2101"/>
      <c r="J22" s="2101"/>
      <c r="K22" s="2101"/>
      <c r="L22" s="2101"/>
      <c r="M22" s="1727"/>
      <c r="N22" s="1727"/>
      <c r="O22" s="1727"/>
      <c r="P22" s="1727"/>
      <c r="Q22" s="1727"/>
      <c r="R22" s="1727"/>
    </row>
    <row r="23" spans="8:18" ht="26">
      <c r="H23" s="2284"/>
      <c r="I23" s="2285"/>
      <c r="J23" s="1762"/>
      <c r="K23" s="2286"/>
      <c r="L23" s="2100"/>
      <c r="M23" s="1721"/>
      <c r="N23" s="1757"/>
      <c r="O23" s="1757"/>
      <c r="P23" s="1762"/>
      <c r="Q23" s="2287"/>
      <c r="R23" s="2272"/>
    </row>
    <row r="24" spans="8:18">
      <c r="H24" s="1727"/>
      <c r="I24" s="2101"/>
      <c r="J24" s="2101"/>
      <c r="K24" s="2101"/>
      <c r="L24" s="2101"/>
      <c r="M24" s="1727"/>
      <c r="N24" s="1727"/>
      <c r="O24" s="1727"/>
      <c r="P24" s="1727"/>
      <c r="Q24" s="1727"/>
      <c r="R24" s="1727"/>
    </row>
    <row r="25" spans="8:18">
      <c r="O25" s="1727"/>
      <c r="P25" s="1727"/>
      <c r="Q25" s="1727"/>
      <c r="R25" s="1727"/>
    </row>
    <row r="26" spans="8:18">
      <c r="O26" s="1727"/>
      <c r="P26" s="1727"/>
      <c r="Q26" s="1727"/>
      <c r="R26" s="1727"/>
    </row>
    <row r="27" spans="8:18">
      <c r="O27" s="1727"/>
      <c r="P27" s="1727"/>
      <c r="Q27" s="1727"/>
      <c r="R27" s="1727"/>
    </row>
    <row r="28" spans="8:18">
      <c r="O28" s="1727"/>
      <c r="P28" s="1727"/>
      <c r="Q28" s="1727"/>
      <c r="R28" s="1727"/>
    </row>
    <row r="29" spans="8:18">
      <c r="O29" s="1727"/>
      <c r="P29" s="1727"/>
      <c r="Q29" s="1727"/>
      <c r="R29" s="1727"/>
    </row>
    <row r="30" spans="8:18">
      <c r="O30" s="1727"/>
      <c r="P30" s="1727"/>
      <c r="Q30" s="1727"/>
      <c r="R30" s="1727"/>
    </row>
    <row r="31" spans="8:18">
      <c r="O31" s="1727"/>
      <c r="P31" s="1727"/>
      <c r="Q31" s="1727"/>
      <c r="R31" s="1727"/>
    </row>
    <row r="32" spans="8:18">
      <c r="O32" s="1727"/>
      <c r="P32" s="1727"/>
      <c r="Q32" s="1727"/>
      <c r="R32" s="1727"/>
    </row>
  </sheetData>
  <conditionalFormatting sqref="J5">
    <cfRule type="expression" dxfId="1" priority="1">
      <formula>$D$113="Heatpump"</formula>
    </cfRule>
  </conditionalFormatting>
  <dataValidations count="11">
    <dataValidation allowBlank="1" showInputMessage="1" showErrorMessage="1" promptTitle="COPc When Gas/Elect" prompt="If Primary Heating System is Electricity/Gas, then COPc must be user defined in this cell. This value completes from a formula in K121 but can be user-defined in this cell. " sqref="J5" xr:uid="{78659C81-D8E3-6247-BC12-93EE4BD2D591}"/>
    <dataValidation allowBlank="1" showInputMessage="1" showErrorMessage="1" promptTitle="ACH Value" prompt="Refer to ASHRAE 90.1_x000a_Offices: 4-6_x000a_Schools: 3-6_x000a_Retail: 3-5_x000a_Healthcare: 6-15_x000a_Residential: 0.35-1.0" sqref="I12" xr:uid="{9FB61571-F098-9443-9993-FFD7267EC7C4}"/>
    <dataValidation type="list" allowBlank="1" showInputMessage="1" showErrorMessage="1" promptTitle="Select Ventilation Method" prompt="Volume-Based (Constant)_x000a_Demand-Based (per Occupant)_x000a_CO2-Based (per Occupant x Occupied)" sqref="I10" xr:uid="{F1FE30BC-2B5F-B54A-BAB8-FF36E8485067}">
      <formula1>"Volume-Based, Demand-Based, CO2-Based"</formula1>
    </dataValidation>
    <dataValidation allowBlank="1" showInputMessage="1" showErrorMessage="1" promptTitle="Ventilation Guidance" prompt="8.33 l/s is Default, 12.5 l/s is considered best practice" sqref="I11" xr:uid="{333E4F53-65C6-1242-9F45-572608ED7B40}"/>
    <dataValidation allowBlank="1" showInputMessage="1" showErrorMessage="1" promptTitle="Typ. Range 50-90%" prompt="Refer to Reference Standard Requirements" sqref="I14" xr:uid="{CE296322-74A0-3541-AF3D-95805280BCD8}"/>
    <dataValidation allowBlank="1" showInputMessage="1" showErrorMessage="1" promptTitle="HSPF Dictates COP, CEER" prompt="Enter Value Required by Reference Standard. _x000a_Typ. range is 7-14. Only applies when 'Heatpump' Option is Selected from the dropdown to the left. _x000a__x000a_This has an outsized influence on TEUI - Choose Well!" sqref="K2" xr:uid="{A6F6495E-AC4D-E94E-8DEF-E2F596F97982}"/>
    <dataValidation type="list" allowBlank="1" showInputMessage="1" showErrorMessage="1" promptTitle="Select Primary Heating System" prompt="Select Electric, Heatpump or Gas and note defined efficiency inputs (HSPF or AFUE). Electricity is assumed 100% efficient. " sqref="I2" xr:uid="{645A066B-FC85-D94B-A50F-DCCD517149A5}">
      <formula1>"Electricity, Heatpump, Gas"</formula1>
    </dataValidation>
    <dataValidation type="list" allowBlank="1" showInputMessage="1" showErrorMessage="1" promptTitle="Select Cooling System" prompt="Yes: Cooling Provided, No: No Mechanical Cooling Provision" sqref="I5" xr:uid="{345311D7-A802-0F4F-A555-32CA35E0B7FB}">
      <formula1>"Yes, No"</formula1>
    </dataValidation>
    <dataValidation type="list" allowBlank="1" showInputMessage="1" showErrorMessage="1" promptTitle="Select Ventilation Method" prompt="Volume Constant: Volume Rate 24/7_x000a_Volume by Schedule: Volume Rate * Schedule_x000a_Occupant: Occupant Rate 24/7_x000a_Occupant by Schedule: Occupant Rate * Schedule _x000a_(aka. Demand-Based, typ. CO2 Monitored)" sqref="I10" xr:uid="{9080506C-5F7C-9C46-A214-8C3E9CA7EE29}">
      <formula1>"Volume Constant, Volume by Schedule, Occupant Constant, Occupant by Schedule"</formula1>
    </dataValidation>
    <dataValidation type="list" allowBlank="1" showInputMessage="1" showErrorMessage="1" promptTitle="Ventilation Boost Rate" sqref="P14" xr:uid="{FDEC82D7-15C5-F943-97D1-D535CC0320DE}">
      <formula1>"None, 1.10, 1.20, 1.30, 1.40, 1.50, 1.60, 1.70, 1.80, 1.90, 2.00"</formula1>
    </dataValidation>
    <dataValidation type="list" allowBlank="1" showInputMessage="1" showErrorMessage="1" promptTitle="Is a Heat Pump Specified?" prompt="Select Yes/No and Specify HSPF" sqref="I5" xr:uid="{F2B4ED49-EED6-EA48-8AF8-7C6704836309}">
      <formula1>"Yes, No"</formula1>
    </dataValidation>
  </dataValidation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3" id="{24584A93-A619-4A42-90B7-8AFA6BD6505E}">
            <x14:iconSet custom="1">
              <x14:cfvo type="percent">
                <xm:f>0</xm:f>
              </x14:cfvo>
              <x14:cfvo type="num" gte="0">
                <xm:f>0</xm:f>
              </x14:cfvo>
              <x14:cfvo type="num">
                <xm:f>1.0009999999999999</xm:f>
              </x14:cfvo>
              <x14:cfIcon iconSet="3Symbols2" iconId="1"/>
              <x14:cfIcon iconSet="3Symbols2" iconId="2"/>
              <x14:cfIcon iconSet="3Symbols2" iconId="0"/>
            </x14:iconSet>
          </x14:cfRule>
          <xm:sqref>R5:R6</xm:sqref>
        </x14:conditionalFormatting>
        <x14:conditionalFormatting xmlns:xm="http://schemas.microsoft.com/office/excel/2006/main">
          <x14:cfRule type="iconSet" priority="2" id="{88646C03-3CE3-8042-9189-CE7C303F1A4F}">
            <x14:iconSet custom="1">
              <x14:cfvo type="percent">
                <xm:f>0</xm:f>
              </x14:cfvo>
              <x14:cfvo type="num">
                <xm:f>7</xm:f>
              </x14:cfvo>
              <x14:cfvo type="num" gte="0">
                <xm:f>20</xm:f>
              </x14:cfvo>
              <x14:cfIcon iconSet="3Symbols2" iconId="2"/>
              <x14:cfIcon iconSet="3Symbols2" iconId="1"/>
              <x14:cfIcon iconSet="3Symbols2" iconId="0"/>
            </x14:iconSet>
          </x14:cfRule>
          <xm:sqref>R18</xm:sqref>
        </x14:conditionalFormatting>
        <x14:conditionalFormatting xmlns:xm="http://schemas.microsoft.com/office/excel/2006/main">
          <x14:cfRule type="iconSet" priority="134" id="{53ADAF25-CD89-534D-9DA1-538A25C6C063}">
            <x14:iconSet custom="1">
              <x14:cfvo type="percent">
                <xm:f>0</xm:f>
              </x14:cfvo>
              <x14:cfvo type="num" gte="0">
                <xm:f>0</xm:f>
              </x14:cfvo>
              <x14:cfvo type="num">
                <xm:f>0.99</xm:f>
              </x14:cfvo>
              <x14:cfIcon iconSet="3Symbols2" iconId="1"/>
              <x14:cfIcon iconSet="3Symbols2" iconId="0"/>
              <x14:cfIcon iconSet="3Symbols2" iconId="2"/>
            </x14:iconSet>
          </x14:cfRule>
          <xm:sqref>R8 R14 R11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0841D-709C-4A43-9474-C899C49B0782}">
  <sheetPr codeName="Sheet16"/>
  <dimension ref="A1:AA79"/>
  <sheetViews>
    <sheetView zoomScale="80" zoomScaleNormal="80" workbookViewId="0">
      <selection activeCell="D6" sqref="D6"/>
    </sheetView>
  </sheetViews>
  <sheetFormatPr baseColWidth="10" defaultRowHeight="20"/>
  <cols>
    <col min="1" max="1" width="127.5" style="1414" customWidth="1"/>
    <col min="2" max="2" width="109.25" style="858" customWidth="1"/>
    <col min="3" max="3" width="93.75" style="858" bestFit="1" customWidth="1"/>
    <col min="4" max="4" width="18" style="858" bestFit="1" customWidth="1"/>
    <col min="5" max="5" width="24.25" style="858" customWidth="1"/>
    <col min="6" max="6" width="22" style="858" customWidth="1"/>
    <col min="7" max="7" width="25.75" style="858" customWidth="1"/>
    <col min="8" max="8" width="26" style="858" customWidth="1"/>
    <col min="9" max="9" width="24.25" style="858" bestFit="1" customWidth="1"/>
    <col min="10" max="10" width="22.25" style="858" customWidth="1"/>
    <col min="11" max="11" width="30" style="858" customWidth="1"/>
    <col min="12" max="12" width="18" style="858" bestFit="1" customWidth="1"/>
    <col min="13" max="13" width="24.75" style="858" bestFit="1" customWidth="1"/>
    <col min="14" max="20" width="10.75" style="858"/>
    <col min="21" max="27" width="10.75" style="858" customWidth="1"/>
    <col min="28" max="16384" width="10.75" style="858"/>
  </cols>
  <sheetData>
    <row r="1" spans="1:27" ht="25" customHeight="1">
      <c r="C1" s="1727"/>
      <c r="D1" s="1727"/>
      <c r="E1" s="1727"/>
      <c r="F1" s="1727"/>
      <c r="G1" s="1727"/>
      <c r="H1" s="1727"/>
      <c r="I1" s="1727"/>
      <c r="J1" s="1727"/>
      <c r="K1" s="1727"/>
      <c r="L1" s="1727"/>
      <c r="M1" s="1727"/>
      <c r="N1" s="1727"/>
      <c r="U1" s="1405"/>
      <c r="V1" s="1405"/>
      <c r="W1" s="1405"/>
      <c r="X1" s="1405"/>
      <c r="Y1" s="1405"/>
      <c r="Z1" s="1405"/>
      <c r="AA1" s="1405"/>
    </row>
    <row r="2" spans="1:27" ht="65" customHeight="1">
      <c r="A2" s="1418" t="s">
        <v>1960</v>
      </c>
      <c r="C2" s="1728"/>
      <c r="D2" s="2399"/>
      <c r="E2" s="2399"/>
      <c r="F2" s="1729"/>
      <c r="G2" s="1730"/>
      <c r="H2" s="2399"/>
      <c r="I2" s="2399"/>
      <c r="J2" s="1729"/>
      <c r="K2" s="1730"/>
      <c r="L2" s="2399"/>
      <c r="M2" s="2399"/>
      <c r="N2" s="1727"/>
      <c r="U2" s="1406"/>
      <c r="V2" s="1407"/>
      <c r="W2" s="1408"/>
      <c r="X2" s="1409"/>
      <c r="Y2" s="1408"/>
      <c r="Z2" s="1408"/>
      <c r="AA2" s="1410"/>
    </row>
    <row r="3" spans="1:27" ht="25" customHeight="1">
      <c r="A3" s="1415" t="s">
        <v>1569</v>
      </c>
      <c r="C3" s="1731"/>
      <c r="D3" s="1732"/>
      <c r="E3" s="1712"/>
      <c r="F3" s="1717"/>
      <c r="G3" s="1714"/>
      <c r="H3" s="1711"/>
      <c r="I3" s="1712"/>
      <c r="J3" s="1713"/>
      <c r="K3" s="1714"/>
      <c r="L3" s="1733"/>
      <c r="M3" s="1734"/>
      <c r="N3" s="1727"/>
      <c r="U3" s="852"/>
      <c r="V3" s="852"/>
      <c r="W3" s="852"/>
      <c r="X3" s="852"/>
      <c r="Y3" s="852"/>
      <c r="Z3" s="852"/>
      <c r="AA3" s="852"/>
    </row>
    <row r="4" spans="1:27" ht="25" customHeight="1">
      <c r="A4" s="762" t="s">
        <v>286</v>
      </c>
      <c r="C4" s="1731"/>
      <c r="D4" s="1735"/>
      <c r="E4" s="1712"/>
      <c r="F4" s="1717"/>
      <c r="G4" s="1714"/>
      <c r="H4" s="1711"/>
      <c r="I4" s="1712"/>
      <c r="J4" s="1713"/>
      <c r="K4" s="1714"/>
      <c r="L4" s="1733"/>
      <c r="M4" s="1734"/>
      <c r="N4" s="1727"/>
      <c r="U4" s="852"/>
      <c r="V4" s="105"/>
      <c r="W4" s="105"/>
      <c r="X4" s="1390"/>
      <c r="Y4" s="105"/>
      <c r="Z4" s="105"/>
      <c r="AA4" s="1390"/>
    </row>
    <row r="5" spans="1:27" ht="25" customHeight="1">
      <c r="A5" s="968" t="s">
        <v>287</v>
      </c>
      <c r="C5" s="1731"/>
      <c r="D5" s="1736"/>
      <c r="E5" s="1712"/>
      <c r="F5" s="1717"/>
      <c r="G5" s="1714"/>
      <c r="H5" s="1711"/>
      <c r="I5" s="1712"/>
      <c r="J5" s="1713"/>
      <c r="K5" s="1714"/>
      <c r="L5" s="1733"/>
      <c r="M5" s="1734"/>
      <c r="N5" s="1727"/>
      <c r="U5" s="105"/>
      <c r="V5" s="105"/>
      <c r="W5" s="105"/>
      <c r="X5" s="105"/>
      <c r="Y5" s="105"/>
      <c r="Z5" s="105"/>
      <c r="AA5" s="105"/>
    </row>
    <row r="6" spans="1:27" ht="25" customHeight="1">
      <c r="A6" s="1411" t="s">
        <v>825</v>
      </c>
      <c r="C6" s="1731"/>
      <c r="D6" s="1736"/>
      <c r="E6" s="1712"/>
      <c r="F6" s="1717"/>
      <c r="G6" s="1714"/>
      <c r="H6" s="1711"/>
      <c r="I6" s="1712"/>
      <c r="J6" s="1713"/>
      <c r="K6" s="1714"/>
      <c r="L6" s="1733"/>
      <c r="M6" s="1734"/>
      <c r="N6" s="1727"/>
      <c r="U6" s="1406"/>
      <c r="V6" s="1407"/>
      <c r="W6" s="1408"/>
      <c r="X6" s="1409"/>
      <c r="Y6" s="1408"/>
      <c r="Z6" s="1408"/>
      <c r="AA6" s="1410"/>
    </row>
    <row r="7" spans="1:27" ht="25" customHeight="1">
      <c r="A7" s="917" t="s">
        <v>1553</v>
      </c>
      <c r="C7" s="1731"/>
      <c r="D7" s="1736"/>
      <c r="E7" s="1712"/>
      <c r="F7" s="1717"/>
      <c r="G7" s="1714"/>
      <c r="H7" s="1711"/>
      <c r="I7" s="1712"/>
      <c r="J7" s="1713"/>
      <c r="K7" s="1714"/>
      <c r="L7" s="1737"/>
      <c r="M7" s="1734"/>
      <c r="N7" s="1727"/>
      <c r="U7" s="1406"/>
      <c r="V7" s="1407"/>
      <c r="W7" s="1408"/>
      <c r="X7" s="1409"/>
      <c r="Y7" s="1408"/>
      <c r="Z7" s="1408"/>
      <c r="AA7" s="1410"/>
    </row>
    <row r="8" spans="1:27" ht="25" customHeight="1">
      <c r="A8" s="1416" t="s">
        <v>1554</v>
      </c>
      <c r="C8" s="1731"/>
      <c r="D8" s="1738"/>
      <c r="E8" s="1712"/>
      <c r="F8" s="1715"/>
      <c r="G8" s="1716"/>
      <c r="H8" s="1717"/>
      <c r="I8" s="1712"/>
      <c r="J8" s="1715"/>
      <c r="K8" s="1716"/>
      <c r="L8" s="1717"/>
      <c r="M8" s="1739"/>
      <c r="N8" s="1727"/>
      <c r="U8" s="1406"/>
      <c r="V8" s="1407"/>
      <c r="W8" s="1408"/>
      <c r="X8" s="1409"/>
      <c r="Y8" s="1408"/>
      <c r="Z8" s="1408"/>
      <c r="AA8" s="1410"/>
    </row>
    <row r="9" spans="1:27" ht="25" customHeight="1">
      <c r="A9" s="527" t="s">
        <v>841</v>
      </c>
      <c r="C9" s="1731"/>
      <c r="D9" s="1718"/>
      <c r="E9" s="1719"/>
      <c r="F9" s="1726"/>
      <c r="G9" s="1726"/>
      <c r="H9" s="1718"/>
      <c r="I9" s="1719"/>
      <c r="J9" s="1726"/>
      <c r="K9" s="1726"/>
      <c r="L9" s="1740"/>
      <c r="M9" s="1726"/>
      <c r="N9" s="1727"/>
      <c r="U9" s="1406"/>
      <c r="V9" s="1407"/>
      <c r="W9" s="1408"/>
      <c r="X9" s="1409"/>
      <c r="Y9" s="1408"/>
      <c r="Z9" s="1408"/>
      <c r="AA9" s="1410"/>
    </row>
    <row r="10" spans="1:27" ht="25" customHeight="1">
      <c r="A10" s="532" t="s">
        <v>314</v>
      </c>
      <c r="C10" s="1731"/>
      <c r="D10" s="1720"/>
      <c r="E10" s="1721"/>
      <c r="F10" s="1722"/>
      <c r="G10" s="1723"/>
      <c r="H10" s="1720"/>
      <c r="I10" s="1721"/>
      <c r="J10" s="1722"/>
      <c r="K10" s="1723"/>
      <c r="L10" s="1741"/>
      <c r="M10" s="1734"/>
      <c r="N10" s="1727"/>
      <c r="U10" s="1256"/>
      <c r="V10" s="1256"/>
      <c r="W10" s="1256"/>
      <c r="X10" s="1256"/>
      <c r="Y10" s="1256"/>
      <c r="Z10" s="1256"/>
      <c r="AA10" s="1256"/>
    </row>
    <row r="11" spans="1:27" ht="25" customHeight="1">
      <c r="A11" s="527" t="s">
        <v>313</v>
      </c>
      <c r="C11" s="1731"/>
      <c r="D11" s="1720"/>
      <c r="E11" s="1719"/>
      <c r="F11" s="1720"/>
      <c r="G11" s="1721"/>
      <c r="H11" s="1742"/>
      <c r="I11" s="1721"/>
      <c r="J11" s="1726"/>
      <c r="K11" s="1726"/>
      <c r="L11" s="1726"/>
      <c r="M11" s="1743"/>
      <c r="N11" s="1727"/>
      <c r="U11" s="1256"/>
      <c r="V11" s="1256"/>
      <c r="W11" s="1256"/>
      <c r="X11" s="1256"/>
      <c r="Y11" s="1256"/>
      <c r="Z11" s="1256"/>
      <c r="AA11" s="1256"/>
    </row>
    <row r="12" spans="1:27" ht="25" customHeight="1">
      <c r="A12" s="532" t="s">
        <v>485</v>
      </c>
      <c r="C12" s="1727"/>
      <c r="D12" s="1727"/>
      <c r="E12" s="1727"/>
      <c r="F12" s="1727"/>
      <c r="G12" s="1727"/>
      <c r="H12" s="1727"/>
      <c r="I12" s="1727"/>
      <c r="J12" s="1727"/>
      <c r="K12" s="1727"/>
      <c r="L12" s="1727"/>
      <c r="M12" s="1727"/>
      <c r="N12" s="1727"/>
    </row>
    <row r="13" spans="1:27" ht="25" customHeight="1">
      <c r="A13" s="1412" t="s">
        <v>1779</v>
      </c>
      <c r="B13" s="1417" t="s">
        <v>1820</v>
      </c>
      <c r="C13" s="1727"/>
      <c r="D13" s="1727"/>
      <c r="E13" s="1727"/>
      <c r="F13" s="1727"/>
      <c r="G13" s="1727"/>
      <c r="H13" s="1727"/>
      <c r="I13" s="1727"/>
      <c r="J13" s="1727"/>
      <c r="K13" s="1727"/>
      <c r="L13" s="1727"/>
      <c r="M13" s="1727"/>
      <c r="N13" s="1727"/>
    </row>
    <row r="14" spans="1:27" ht="25" customHeight="1">
      <c r="A14" s="1413" t="s">
        <v>1684</v>
      </c>
      <c r="B14" s="1417" t="s">
        <v>1821</v>
      </c>
      <c r="C14" s="1727"/>
      <c r="D14" s="1727"/>
      <c r="E14" s="1727"/>
      <c r="F14" s="1727"/>
      <c r="G14" s="1727"/>
      <c r="H14" s="1727"/>
      <c r="I14" s="1727"/>
      <c r="J14" s="1727"/>
      <c r="K14" s="1727"/>
      <c r="L14" s="1727"/>
      <c r="M14" s="1727"/>
      <c r="N14" s="1727"/>
    </row>
    <row r="15" spans="1:27" ht="25" customHeight="1">
      <c r="C15" s="1727"/>
      <c r="D15" s="1727"/>
      <c r="E15" s="1727"/>
      <c r="F15" s="1727"/>
      <c r="G15" s="1727"/>
      <c r="H15" s="1727"/>
      <c r="I15" s="1727"/>
      <c r="J15" s="1727"/>
      <c r="K15" s="1727"/>
      <c r="L15" s="1727"/>
      <c r="M15" s="1727"/>
      <c r="N15" s="1727"/>
    </row>
    <row r="16" spans="1:27" ht="76" customHeight="1">
      <c r="A16" s="1415" t="s">
        <v>1819</v>
      </c>
      <c r="C16" s="1728"/>
      <c r="D16" s="2399"/>
      <c r="E16" s="2399"/>
      <c r="F16" s="2399"/>
      <c r="G16" s="2399"/>
      <c r="H16" s="2399"/>
      <c r="I16" s="2399"/>
      <c r="J16" s="1727"/>
      <c r="K16" s="1728"/>
      <c r="L16" s="1728"/>
      <c r="M16" s="1744"/>
      <c r="N16" s="1727"/>
    </row>
    <row r="17" spans="1:14" ht="25" customHeight="1">
      <c r="A17" s="917" t="s">
        <v>791</v>
      </c>
      <c r="C17" s="1745"/>
      <c r="D17" s="2398"/>
      <c r="E17" s="2398"/>
      <c r="F17" s="1727"/>
      <c r="G17" s="1727"/>
      <c r="H17" s="1727"/>
      <c r="I17" s="1727"/>
      <c r="J17" s="1727"/>
      <c r="K17" s="1727"/>
      <c r="L17" s="1727"/>
      <c r="M17" s="1727"/>
      <c r="N17" s="1727"/>
    </row>
    <row r="18" spans="1:14" ht="25" customHeight="1">
      <c r="A18" s="532" t="s">
        <v>792</v>
      </c>
      <c r="C18" s="1746"/>
      <c r="D18" s="1747"/>
      <c r="E18" s="1727"/>
      <c r="F18" s="1727"/>
      <c r="G18" s="1727"/>
      <c r="H18" s="1727"/>
      <c r="I18" s="1727"/>
      <c r="J18" s="1727"/>
      <c r="K18" s="1727"/>
      <c r="L18" s="1727"/>
      <c r="M18" s="1727"/>
      <c r="N18" s="1727"/>
    </row>
    <row r="19" spans="1:14" ht="25" customHeight="1">
      <c r="A19" s="532" t="s">
        <v>793</v>
      </c>
      <c r="C19" s="1746"/>
      <c r="D19" s="1748"/>
      <c r="E19" s="1727"/>
      <c r="F19" s="1727"/>
      <c r="G19" s="1727"/>
      <c r="H19" s="1727"/>
      <c r="I19" s="1727"/>
      <c r="J19" s="1727"/>
      <c r="K19" s="1727"/>
      <c r="L19" s="1727"/>
      <c r="M19" s="1727"/>
      <c r="N19" s="1727"/>
    </row>
    <row r="20" spans="1:14" ht="25" customHeight="1">
      <c r="A20" s="532" t="s">
        <v>794</v>
      </c>
      <c r="C20" s="1749"/>
      <c r="D20" s="1748"/>
      <c r="E20" s="1727"/>
      <c r="F20" s="1727"/>
      <c r="G20" s="1727"/>
      <c r="H20" s="1727"/>
      <c r="I20" s="1727"/>
      <c r="J20" s="1727"/>
      <c r="K20" s="1727"/>
      <c r="L20" s="1727"/>
      <c r="M20" s="1727"/>
      <c r="N20" s="1727"/>
    </row>
    <row r="21" spans="1:14" ht="25" customHeight="1">
      <c r="A21" s="532" t="s">
        <v>795</v>
      </c>
      <c r="C21" s="1745"/>
      <c r="D21" s="1732"/>
      <c r="E21" s="1727"/>
      <c r="F21" s="1727"/>
      <c r="G21" s="1704"/>
      <c r="H21" s="1750"/>
      <c r="I21" s="1751"/>
      <c r="J21" s="1705"/>
      <c r="K21" s="1752"/>
      <c r="L21" s="1726"/>
      <c r="M21" s="1703"/>
      <c r="N21" s="1727"/>
    </row>
    <row r="22" spans="1:14" ht="25" customHeight="1">
      <c r="C22" s="1745"/>
      <c r="D22" s="1753"/>
      <c r="E22" s="1727"/>
      <c r="F22" s="1727"/>
      <c r="G22" s="1704"/>
      <c r="H22" s="1727"/>
      <c r="I22" s="1727"/>
      <c r="J22" s="1705"/>
      <c r="K22" s="1752"/>
      <c r="L22" s="1706"/>
      <c r="M22" s="1703"/>
      <c r="N22" s="1727"/>
    </row>
    <row r="23" spans="1:14" ht="25" customHeight="1">
      <c r="A23" s="762" t="s">
        <v>1730</v>
      </c>
      <c r="C23" s="1746"/>
      <c r="D23" s="1754"/>
      <c r="E23" s="1721"/>
      <c r="F23" s="1755"/>
      <c r="G23" s="1721"/>
      <c r="H23" s="1727"/>
      <c r="I23" s="1727"/>
      <c r="J23" s="1727"/>
      <c r="K23" s="1727"/>
      <c r="L23" s="1727"/>
      <c r="M23" s="1727"/>
      <c r="N23" s="1727"/>
    </row>
    <row r="24" spans="1:14" ht="25" customHeight="1">
      <c r="A24" s="1415" t="s">
        <v>1822</v>
      </c>
      <c r="C24" s="1727"/>
      <c r="D24" s="1727"/>
      <c r="E24" s="1727"/>
      <c r="F24" s="1727"/>
      <c r="G24" s="1727"/>
      <c r="H24" s="1756"/>
      <c r="I24" s="1757"/>
      <c r="J24" s="1727"/>
      <c r="K24" s="1727"/>
      <c r="L24" s="1727"/>
      <c r="M24" s="1727"/>
      <c r="N24" s="1727"/>
    </row>
    <row r="25" spans="1:14" ht="25" customHeight="1">
      <c r="A25" s="762" t="s">
        <v>796</v>
      </c>
      <c r="C25" s="1727"/>
      <c r="D25" s="1727"/>
      <c r="E25" s="1727"/>
      <c r="F25" s="1727"/>
      <c r="G25" s="1727"/>
      <c r="H25" s="1727"/>
      <c r="I25" s="1727"/>
      <c r="J25" s="1726"/>
      <c r="K25" s="1726"/>
      <c r="L25" s="1726"/>
      <c r="M25" s="1726"/>
      <c r="N25" s="1727"/>
    </row>
    <row r="26" spans="1:14" ht="25" customHeight="1">
      <c r="A26" s="310" t="s">
        <v>797</v>
      </c>
      <c r="C26" s="1727"/>
      <c r="D26" s="1727"/>
      <c r="E26" s="1758"/>
      <c r="F26" s="1759"/>
      <c r="G26" s="1721"/>
      <c r="H26" s="1760"/>
      <c r="I26" s="1721"/>
      <c r="J26" s="1761"/>
      <c r="K26" s="1760"/>
      <c r="L26" s="1721"/>
      <c r="M26" s="1762"/>
      <c r="N26" s="1727"/>
    </row>
    <row r="27" spans="1:14" ht="25" customHeight="1">
      <c r="A27" s="310" t="s">
        <v>798</v>
      </c>
      <c r="C27" s="1727"/>
      <c r="D27" s="1727"/>
      <c r="E27" s="1755"/>
      <c r="F27" s="1763"/>
      <c r="G27" s="1764"/>
      <c r="H27" s="1760"/>
      <c r="I27" s="1721"/>
      <c r="J27" s="1726"/>
      <c r="K27" s="1726"/>
      <c r="L27" s="1726"/>
      <c r="M27" s="1765"/>
      <c r="N27" s="1727"/>
    </row>
    <row r="28" spans="1:14" ht="25" customHeight="1">
      <c r="A28" s="763" t="s">
        <v>378</v>
      </c>
      <c r="C28" s="1727"/>
      <c r="D28" s="1727"/>
      <c r="E28" s="1766"/>
      <c r="F28" s="1767"/>
      <c r="G28" s="1721"/>
      <c r="H28" s="1768"/>
      <c r="I28" s="1721"/>
      <c r="J28" s="1726"/>
      <c r="K28" s="1721"/>
      <c r="L28" s="1726"/>
      <c r="M28" s="1765"/>
      <c r="N28" s="1727"/>
    </row>
    <row r="29" spans="1:14" ht="25" customHeight="1">
      <c r="A29" s="53" t="s">
        <v>379</v>
      </c>
      <c r="C29" s="1683"/>
      <c r="D29" s="1684"/>
      <c r="E29" s="1685"/>
      <c r="F29" s="1686"/>
      <c r="G29" s="1724"/>
      <c r="H29" s="1725"/>
      <c r="I29" s="1769"/>
      <c r="J29" s="1726"/>
      <c r="K29" s="1770"/>
      <c r="L29" s="1771"/>
      <c r="M29" s="1687"/>
      <c r="N29" s="1727"/>
    </row>
    <row r="30" spans="1:14" ht="25" customHeight="1">
      <c r="A30" s="311" t="s">
        <v>799</v>
      </c>
    </row>
    <row r="31" spans="1:14" ht="25" customHeight="1"/>
    <row r="32" spans="1:14" ht="25" customHeight="1">
      <c r="A32" s="1415" t="s">
        <v>1823</v>
      </c>
    </row>
    <row r="33" spans="1:1" ht="25" customHeight="1">
      <c r="A33" s="865" t="s">
        <v>829</v>
      </c>
    </row>
    <row r="34" spans="1:1" ht="25" customHeight="1">
      <c r="A34" s="318" t="s">
        <v>846</v>
      </c>
    </row>
    <row r="35" spans="1:1" ht="25" customHeight="1">
      <c r="A35" s="318" t="s">
        <v>848</v>
      </c>
    </row>
    <row r="36" spans="1:1" ht="25" customHeight="1">
      <c r="A36" s="316" t="s">
        <v>847</v>
      </c>
    </row>
    <row r="37" spans="1:1" ht="25" customHeight="1">
      <c r="A37"/>
    </row>
    <row r="38" spans="1:1" ht="25" customHeight="1"/>
    <row r="39" spans="1:1" ht="25" customHeight="1"/>
    <row r="40" spans="1:1" ht="25" customHeight="1"/>
    <row r="41" spans="1:1" ht="25" customHeight="1"/>
    <row r="42" spans="1:1" ht="25" customHeight="1"/>
    <row r="43" spans="1:1" ht="25" customHeight="1"/>
    <row r="44" spans="1:1" ht="25" customHeight="1"/>
    <row r="45" spans="1:1" ht="25" customHeight="1"/>
    <row r="46" spans="1:1" ht="25" customHeight="1"/>
    <row r="47" spans="1:1" ht="25" customHeight="1"/>
    <row r="48" spans="1:1" ht="25" customHeight="1"/>
    <row r="49" ht="25" customHeight="1"/>
    <row r="50" ht="25" customHeight="1"/>
    <row r="51" ht="25" customHeight="1"/>
    <row r="52" ht="25" customHeight="1"/>
    <row r="53" ht="25" customHeight="1"/>
    <row r="54" ht="25" customHeight="1"/>
    <row r="55" ht="25" customHeight="1"/>
    <row r="56" ht="25" customHeight="1"/>
    <row r="57" ht="25" customHeight="1"/>
    <row r="58" ht="25" customHeight="1"/>
    <row r="59" ht="25" customHeight="1"/>
    <row r="60" ht="25" customHeight="1"/>
    <row r="61" ht="25" customHeight="1"/>
    <row r="62" ht="25" customHeight="1"/>
    <row r="63" ht="25" customHeight="1"/>
    <row r="64" ht="25" customHeight="1"/>
    <row r="65" ht="25" customHeight="1"/>
    <row r="66" ht="25" customHeight="1"/>
    <row r="67" ht="25" customHeight="1"/>
    <row r="68" ht="25" customHeight="1"/>
    <row r="69" ht="25" customHeight="1"/>
    <row r="70" ht="25" customHeight="1"/>
    <row r="71" ht="25" customHeight="1"/>
    <row r="72" ht="25" customHeight="1"/>
    <row r="73" ht="25" customHeight="1"/>
    <row r="74" ht="25" customHeight="1"/>
    <row r="75" ht="25" customHeight="1"/>
    <row r="76" ht="25" customHeight="1"/>
    <row r="77" ht="25" customHeight="1"/>
    <row r="78" ht="25" customHeight="1"/>
    <row r="79" ht="25" customHeight="1"/>
  </sheetData>
  <mergeCells count="7">
    <mergeCell ref="D17:E17"/>
    <mergeCell ref="D2:E2"/>
    <mergeCell ref="H2:I2"/>
    <mergeCell ref="L2:M2"/>
    <mergeCell ref="D16:E16"/>
    <mergeCell ref="H16:I16"/>
    <mergeCell ref="F16:G16"/>
  </mergeCells>
  <conditionalFormatting sqref="H21">
    <cfRule type="expression" dxfId="0" priority="1" stopIfTrue="1">
      <formula>NOT($H$39="User Defined")</formula>
    </cfRule>
  </conditionalFormatting>
  <dataValidations count="15">
    <dataValidation allowBlank="1" showInputMessage="1" showErrorMessage="1" promptTitle="Biomass Guidance" prompt="If a form of Biomass thermal energy has been selected, the emissions will be offset automatically here, since according to IPCC and Canadian LULUCF methodologies, Biomass emissions are calculated based on forest inventories, and not as a scope 1 emission." sqref="D8" xr:uid="{E2C97178-6E2D-0B4A-9536-C9C63B862F11}"/>
    <dataValidation allowBlank="1" showInputMessage="1" showErrorMessage="1" promptTitle="PER Factors" prompt="For 100% electric buildings in Canada, PHPP adds a PER of 1.5. 1.0 represents Site Energy or Site EUI. We would recommend entry of 1.0 UNLESS you are comparing your model to PHPP-generated results for side-by-side comparison." sqref="H11" xr:uid="{E3867BE6-E75C-F049-93F9-A331F9B8B3BE}"/>
    <dataValidation allowBlank="1" showInputMessage="1" showErrorMessage="1" promptTitle="Wood" prompt="Enter a number here only if you have Utility Bill data. If none are yet available, be sure to select 'S.2 Targeted Use' mode. " sqref="D7" xr:uid="{92B8AF8C-8AAD-A649-8B08-A90FF1F3682B}"/>
    <dataValidation allowBlank="1" showInputMessage="1" showErrorMessage="1" promptTitle="Oil " prompt="Enter a number here only if you have Utility Bill data. If none are yet available, be sure to select 'S.2 Targeted Use' mode. " sqref="D6" xr:uid="{63FA421A-0AB2-084E-AAC4-423E04B94CDA}"/>
    <dataValidation allowBlank="1" showInputMessage="1" showErrorMessage="1" promptTitle="Propane" prompt="Enter a number here only if you have Utility Bill data. If none are yet available, be sure to select 'S.2 Targeted Use' mode. " sqref="D5" xr:uid="{5B09FF24-4B80-4246-86F4-DD673DBCB92D}"/>
    <dataValidation allowBlank="1" showInputMessage="1" showErrorMessage="1" promptTitle="Gas" prompt="Enter a number here only if you have Utility Bill data. If none are yet available, be sure to select 'S.2 Targeted Use' mode. " sqref="D4" xr:uid="{9B28BD19-2642-BE44-A88C-DE0B5E5E1089}"/>
    <dataValidation allowBlank="1" showInputMessage="1" showErrorMessage="1" promptTitle="Electricity" prompt="Enter a number here only if you have Utility Bill data. If none are yet available, be sure to select 'S.2 Targeted Use' mode. " sqref="D3 D21" xr:uid="{DC8BCD65-6C45-6848-961E-7E954FA546E4}"/>
    <dataValidation allowBlank="1" showInputMessage="1" showErrorMessage="1" promptTitle="Litres/Per-Person/Day" prompt="Enter a value for Total Water Per Day. If you are trying to match values from a water meter, divide the meter value by 365 and then again by #Occupants. " sqref="H21" xr:uid="{321065D7-58BB-C643-A6FC-4BAE07D52F10}"/>
    <dataValidation allowBlank="1" showInputMessage="1" showErrorMessage="1" promptTitle="Gas Exhaust Energy" prompt="Related to equipment efficiency, this takes the remainder of un-utilized energy in kWh and maps to a waste-flow. ie. 90% efficient equipment results in a 10% total net energy waste. Equipment efficienct is set at W.4 " sqref="K29" xr:uid="{8D80DB50-896F-5744-9D68-B77598CEC693}"/>
    <dataValidation type="list" allowBlank="1" showInputMessage="1" showErrorMessage="1" promptTitle="DHW/SHW Use Method (lpppd)" prompt="PHPP Method: 62.5 Total, 25 DHW_x000a_NBC Method: 225 Total, 88 DHW_x000a_OBC Method: 275 Total, 110 DHW_x000a_Luxury: 400 Total, 160 DHW_x000a__x000a_By Engineer: Uses kWh value calculated externally" sqref="D17" xr:uid="{504C6545-BA1A-274A-9867-162EC0DB3FC1}">
      <formula1>"User Defined, PHPP Method, NBC Method, OBC Method, Luxury, By Engineer"</formula1>
    </dataValidation>
    <dataValidation allowBlank="1" showInputMessage="1" showErrorMessage="1" promptTitle="Occupancy-Dependent Calculation" prompt="If non-Residential Occupancy Selected, this number will be used" sqref="H24" xr:uid="{EC18987A-BD84-6E41-9C92-FA56A44D01B9}"/>
    <dataValidation allowBlank="1" showInputMessage="1" showErrorMessage="1" promptTitle="Range of DWHR Efficiency" prompt="0-75%, with 40% a common Residential Unit Efficiency" sqref="D20" xr:uid="{54BD43D4-6A03-DA43-81E3-0AFDBC0AF165}"/>
    <dataValidation allowBlank="1" showInputMessage="1" showErrorMessage="1" promptTitle="If Heatpump Selected" prompt="EF can be greater than 100%, ie. COP 1.5 = 150%" sqref="D19" xr:uid="{2D81A589-1276-BF41-B1F9-E092A2D64C61}"/>
    <dataValidation allowBlank="1" showInputMessage="1" showErrorMessage="1" promptTitle="Enter Percapita Metered Use" prompt="Assume 220 litres/pp/day per NBC 9.36. Assume 40% of this is DHW or 88 litres/pp/day DHW. " sqref="J21 H29" xr:uid="{E7C135D9-C315-E94E-9E61-A6962C24AD14}"/>
    <dataValidation type="list" allowBlank="1" showInputMessage="1" showErrorMessage="1" promptTitle="DHW/SHW Heating Source" prompt="Select DHW Energy Source" sqref="D18" xr:uid="{3F7A36EC-6F8D-F34F-AA99-3284C9DE2B58}">
      <formula1>"Electric, Heatpump, Gas"</formula1>
    </dataValidation>
  </dataValidations>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iconSet" priority="4" id="{03685EF5-92DC-CF47-8CB9-58BEAE84F41E}">
            <x14:iconSet custom="1">
              <x14:cfvo type="percent">
                <xm:f>0</xm:f>
              </x14:cfvo>
              <x14:cfvo type="num" gte="0">
                <xm:f>0</xm:f>
              </x14:cfvo>
              <x14:cfvo type="num">
                <xm:f>1.0009999999999999</xm:f>
              </x14:cfvo>
              <x14:cfIcon iconSet="3Symbols2" iconId="2"/>
              <x14:cfIcon iconSet="3Symbols2" iconId="2"/>
              <x14:cfIcon iconSet="3Symbols2" iconId="0"/>
            </x14:iconSet>
          </x14:cfRule>
          <xm:sqref>M11</xm:sqref>
        </x14:conditionalFormatting>
        <x14:conditionalFormatting xmlns:xm="http://schemas.microsoft.com/office/excel/2006/main">
          <x14:cfRule type="iconSet" priority="2" id="{0E4C72DB-61E8-D241-8279-9CCD62113705}">
            <x14:iconSet custom="1">
              <x14:cfvo type="percent">
                <xm:f>0</xm:f>
              </x14:cfvo>
              <x14:cfvo type="num" gte="0">
                <xm:f>0</xm:f>
              </x14:cfvo>
              <x14:cfvo type="num">
                <xm:f>1.0009999999999999</xm:f>
              </x14:cfvo>
              <x14:cfIcon iconSet="3Symbols2" iconId="2"/>
              <x14:cfIcon iconSet="3Symbols2" iconId="2"/>
              <x14:cfIcon iconSet="3Symbols2" iconId="0"/>
            </x14:iconSet>
          </x14:cfRule>
          <xm:sqref>M21:M22 M29</xm:sqref>
        </x14:conditionalFormatting>
        <x14:conditionalFormatting xmlns:xm="http://schemas.microsoft.com/office/excel/2006/main">
          <x14:cfRule type="iconSet" priority="3" id="{089AE45A-96DB-004C-8602-00B84CEF326D}">
            <x14:iconSet custom="1">
              <x14:cfvo type="percent">
                <xm:f>0</xm:f>
              </x14:cfvo>
              <x14:cfvo type="num" gte="0">
                <xm:f>0</xm:f>
              </x14:cfvo>
              <x14:cfvo type="num">
                <xm:f>0.99</xm:f>
              </x14:cfvo>
              <x14:cfIcon iconSet="3Symbols2" iconId="1"/>
              <x14:cfIcon iconSet="3Symbols2" iconId="0"/>
              <x14:cfIcon iconSet="3Symbols2" iconId="2"/>
            </x14:iconSet>
          </x14:cfRule>
          <xm:sqref>M27:M28</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39</vt:i4>
      </vt:variant>
    </vt:vector>
  </HeadingPairs>
  <TitlesOfParts>
    <vt:vector size="55" baseType="lpstr">
      <vt:lpstr>REPORT</vt:lpstr>
      <vt:lpstr>REFERENCE</vt:lpstr>
      <vt:lpstr>ENERGY-BALANCE</vt:lpstr>
      <vt:lpstr>CARBON IMPACTS</vt:lpstr>
      <vt:lpstr>CODE-VALUES</vt:lpstr>
      <vt:lpstr>SCHEDULES</vt:lpstr>
      <vt:lpstr>CANADA</vt:lpstr>
      <vt:lpstr>COOLING-TARGET</vt:lpstr>
      <vt:lpstr>COOLING-REFERENCE</vt:lpstr>
      <vt:lpstr>NRL50-n-Factors</vt:lpstr>
      <vt:lpstr>S3-Carbon-Standards</vt:lpstr>
      <vt:lpstr>Ontario-Emissions</vt:lpstr>
      <vt:lpstr>Regression-Test</vt:lpstr>
      <vt:lpstr>License+ChangeLog</vt:lpstr>
      <vt:lpstr>ECONOMICS</vt:lpstr>
      <vt:lpstr>HOW -TO-USE</vt:lpstr>
      <vt:lpstr>AB</vt:lpstr>
      <vt:lpstr>AEFvalues</vt:lpstr>
      <vt:lpstr>AEFYear</vt:lpstr>
      <vt:lpstr>ASL</vt:lpstr>
      <vt:lpstr>BC</vt:lpstr>
      <vt:lpstr>CDDfuture</vt:lpstr>
      <vt:lpstr>CDDpresent</vt:lpstr>
      <vt:lpstr>ColdOne</vt:lpstr>
      <vt:lpstr>ColdTwoPointFive</vt:lpstr>
      <vt:lpstr>HDDfuture</vt:lpstr>
      <vt:lpstr>HDDpresent</vt:lpstr>
      <vt:lpstr>HotDry25future</vt:lpstr>
      <vt:lpstr>HotDry25present</vt:lpstr>
      <vt:lpstr>HotWet25Future</vt:lpstr>
      <vt:lpstr>HotWet25Present</vt:lpstr>
      <vt:lpstr>MB</vt:lpstr>
      <vt:lpstr>MinIndoorTemp</vt:lpstr>
      <vt:lpstr>NB</vt:lpstr>
      <vt:lpstr>NL</vt:lpstr>
      <vt:lpstr>NS</vt:lpstr>
      <vt:lpstr>NT</vt:lpstr>
      <vt:lpstr>NU</vt:lpstr>
      <vt:lpstr>OccType</vt:lpstr>
      <vt:lpstr>ON</vt:lpstr>
      <vt:lpstr>PE</vt:lpstr>
      <vt:lpstr>'CARBON IMPACTS'!Print_Area</vt:lpstr>
      <vt:lpstr>'ENERGY-BALANCE'!Print_Area</vt:lpstr>
      <vt:lpstr>REFERENCE!Print_Area</vt:lpstr>
      <vt:lpstr>'Regression-Test'!Print_Area</vt:lpstr>
      <vt:lpstr>REPORT!Print_Area</vt:lpstr>
      <vt:lpstr>'ENERGY-BALANCE'!PrintEB</vt:lpstr>
      <vt:lpstr>REFERENCE!PrintFACTS</vt:lpstr>
      <vt:lpstr>REPORT!PrintFACTS</vt:lpstr>
      <vt:lpstr>QC</vt:lpstr>
      <vt:lpstr>REFERENCE!S2RefStandard</vt:lpstr>
      <vt:lpstr>S2RepStandard</vt:lpstr>
      <vt:lpstr>SK</vt:lpstr>
      <vt:lpstr>Stories</vt:lpstr>
      <vt:lpstr>YT</vt:lpstr>
    </vt:vector>
  </TitlesOfParts>
  <Manager/>
  <Company>OpenBuilding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OBJECTIVE 3.030 (2025.01)</dc:title>
  <dc:subject/>
  <dc:creator>Andy Thomson</dc:creator>
  <cp:keywords/>
  <dc:description/>
  <cp:lastModifiedBy>Andy Thomson</cp:lastModifiedBy>
  <cp:lastPrinted>2025-04-01T13:41:38Z</cp:lastPrinted>
  <dcterms:created xsi:type="dcterms:W3CDTF">2022-02-17T15:49:04Z</dcterms:created>
  <dcterms:modified xsi:type="dcterms:W3CDTF">2025-04-02T19:48:50Z</dcterms:modified>
  <cp:category/>
</cp:coreProperties>
</file>