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us Rentals Residential Port" sheetId="1" r:id="rId4"/>
    <sheet state="visible" name="Maple St Project" sheetId="2" r:id="rId5"/>
    <sheet state="visible" name="Campus Rentals 2" sheetId="3" r:id="rId6"/>
    <sheet state="visible" name="Campus Rentals 3" sheetId="4" r:id="rId7"/>
    <sheet state="visible" name="Refis" sheetId="5" r:id="rId8"/>
    <sheet state="hidden" name="GP-LP Annual Return Residential" sheetId="6" r:id="rId9"/>
  </sheets>
  <definedNames/>
  <calcPr/>
</workbook>
</file>

<file path=xl/sharedStrings.xml><?xml version="1.0" encoding="utf-8"?>
<sst xmlns="http://schemas.openxmlformats.org/spreadsheetml/2006/main" count="230" uniqueCount="118">
  <si>
    <t>LLC Personal Investments</t>
  </si>
  <si>
    <t>Paid By Steven Rovner:</t>
  </si>
  <si>
    <t>Paid By Alec Rovner:</t>
  </si>
  <si>
    <t>Total:</t>
  </si>
  <si>
    <t>Item</t>
  </si>
  <si>
    <t>Cost</t>
  </si>
  <si>
    <t>Payee</t>
  </si>
  <si>
    <t>Date</t>
  </si>
  <si>
    <t>Deposit 2422 Joseph St</t>
  </si>
  <si>
    <t>Steven Rovner</t>
  </si>
  <si>
    <t>General Inspection 2422 Joseph St</t>
  </si>
  <si>
    <t>Tunnel Vision Video Plumbing 2422 Joseph St</t>
  </si>
  <si>
    <t>Nash AC &amp; Heat Inspection 2422 Joseph St</t>
  </si>
  <si>
    <t>Guaranty Roofing Inspection 2422 Joseph St</t>
  </si>
  <si>
    <t>Insurance</t>
  </si>
  <si>
    <t>Alec Rovner</t>
  </si>
  <si>
    <t>LLC Formation</t>
  </si>
  <si>
    <t>Home Payment 2422 Joseph St</t>
  </si>
  <si>
    <t>Loan Down Payment Alec 2422 Joseph St</t>
  </si>
  <si>
    <t>Loan Down Payment Steven 2422 Joseph St</t>
  </si>
  <si>
    <t>Refinance 2422 Joseph St</t>
  </si>
  <si>
    <t>Deposit 7700 Burthe</t>
  </si>
  <si>
    <t>Check Back to Steven</t>
  </si>
  <si>
    <t>Purchase 7608 Zimpel St</t>
  </si>
  <si>
    <t>Refinance 7608 Zimpel St</t>
  </si>
  <si>
    <t>Purchase 7500 Zimpel St</t>
  </si>
  <si>
    <t>Capital Call 7608 Zimpel St</t>
  </si>
  <si>
    <t>Refinance 7500 Zimple St</t>
  </si>
  <si>
    <t>Deposit 1414 Audubon</t>
  </si>
  <si>
    <t>Closing 1414 Audubon</t>
  </si>
  <si>
    <t>Deposit 7506 Zimple</t>
  </si>
  <si>
    <t>Deposit 460 NW 20th street #1060</t>
  </si>
  <si>
    <t>Purchase 7506 Zimpel St</t>
  </si>
  <si>
    <t>Purchase 460 NW 20th St</t>
  </si>
  <si>
    <t>Refinance 7506 Zimpel St</t>
  </si>
  <si>
    <t>Refinance 460 NW 20th St #1060</t>
  </si>
  <si>
    <t>Deposit 7900 Maple St</t>
  </si>
  <si>
    <t>Capital Call 1032 Cherokee St</t>
  </si>
  <si>
    <t>Capital Call Taxes</t>
  </si>
  <si>
    <t>Capital Call Deposit Returns 2024 Turnover</t>
  </si>
  <si>
    <t>Deposit Painting 460 NW 20th St</t>
  </si>
  <si>
    <t>Deposit Carpentry 460 NW 20th St</t>
  </si>
  <si>
    <t>Payment Carpentry 460 NW 20th St</t>
  </si>
  <si>
    <t>Payment Painting 460 NW 20th St</t>
  </si>
  <si>
    <t>Final Payment 7506 ZImpel St</t>
  </si>
  <si>
    <t xml:space="preserve">Payment 1414 Audubon St Construction </t>
  </si>
  <si>
    <t xml:space="preserve">Capital Call 1414 Audubon St </t>
  </si>
  <si>
    <t>Closing 490 NW 20th St Apt 105</t>
  </si>
  <si>
    <t>Purchase 7900 Maple St</t>
  </si>
  <si>
    <t>Capital Call Deposit 7900 Maple St Construction</t>
  </si>
  <si>
    <t xml:space="preserve">Demo and Re up of retainer </t>
  </si>
  <si>
    <t xml:space="preserve">Money Market Fund </t>
  </si>
  <si>
    <t xml:space="preserve">FINAL CLOSING CONSTRUCTION LOAN </t>
  </si>
  <si>
    <t xml:space="preserve">Paid By Sam Torres: </t>
  </si>
  <si>
    <t>Payment 7313-15 Freret St</t>
  </si>
  <si>
    <t>Refinance 7313-15 Freret St</t>
  </si>
  <si>
    <t xml:space="preserve">Check from Sam Torres to Steven </t>
  </si>
  <si>
    <t xml:space="preserve">Check Back to Steven One Month Payment </t>
  </si>
  <si>
    <t xml:space="preserve">Sam Torres Down Payment </t>
  </si>
  <si>
    <t>Sam Torres</t>
  </si>
  <si>
    <t>Paid By Sam Torres</t>
  </si>
  <si>
    <t xml:space="preserve">Paid By Campus Rentals LLC: </t>
  </si>
  <si>
    <t xml:space="preserve">Paid By Campus Rentals 2 LLC: </t>
  </si>
  <si>
    <t>Down Payment 1128 Lowerline St</t>
  </si>
  <si>
    <t>Deposit 1128 Lowerline St</t>
  </si>
  <si>
    <t>Check Back to Steven Rovner</t>
  </si>
  <si>
    <t xml:space="preserve">Property Survey </t>
  </si>
  <si>
    <t>Check Back to Sam Torres</t>
  </si>
  <si>
    <t xml:space="preserve">Electricity </t>
  </si>
  <si>
    <t>Campus Rentals LLC</t>
  </si>
  <si>
    <t>Water</t>
  </si>
  <si>
    <t>Campus Rentals 2 LLC</t>
  </si>
  <si>
    <t>Calculator</t>
  </si>
  <si>
    <t>Current Loan Balance</t>
  </si>
  <si>
    <t>Address</t>
  </si>
  <si>
    <t>Cash Out</t>
  </si>
  <si>
    <t>Old PMT</t>
  </si>
  <si>
    <t>New PMT</t>
  </si>
  <si>
    <t>Eval Rate</t>
  </si>
  <si>
    <t>7700 Burthe</t>
  </si>
  <si>
    <t>Current Property Annual Income</t>
  </si>
  <si>
    <t>1414 Audubon</t>
  </si>
  <si>
    <t>Prop Value</t>
  </si>
  <si>
    <t>7506 Zimple</t>
  </si>
  <si>
    <t>Prop Debt (65%)</t>
  </si>
  <si>
    <t>7500 Zimple</t>
  </si>
  <si>
    <t>Net Cash Out</t>
  </si>
  <si>
    <t>7608 Zimple</t>
  </si>
  <si>
    <t xml:space="preserve">Total </t>
  </si>
  <si>
    <t>New Payment</t>
  </si>
  <si>
    <t>2025 Investment Distributions</t>
  </si>
  <si>
    <t xml:space="preserve">Total Allocated Per Month </t>
  </si>
  <si>
    <t>Initial Investment</t>
  </si>
  <si>
    <t>GP Contribution</t>
  </si>
  <si>
    <t>LP Contribution</t>
  </si>
  <si>
    <t>Total Investment</t>
  </si>
  <si>
    <t>Total Profit</t>
  </si>
  <si>
    <t>Tier 1 Return %</t>
  </si>
  <si>
    <t>Tier 2 Return %</t>
  </si>
  <si>
    <t>Tier 3 Return %</t>
  </si>
  <si>
    <t>Threshold 1 Amt</t>
  </si>
  <si>
    <t>Threshold 2 Amt</t>
  </si>
  <si>
    <t>Threshold 3 Amt</t>
  </si>
  <si>
    <t>GP Share Tier 1</t>
  </si>
  <si>
    <t>LP Share Tier 1</t>
  </si>
  <si>
    <t>GP Share Tier 2</t>
  </si>
  <si>
    <t>LP Share Tier 2</t>
  </si>
  <si>
    <t>GP Share Tier 3</t>
  </si>
  <si>
    <t>LP Share Tier 3</t>
  </si>
  <si>
    <t>GP Profit Tier 1</t>
  </si>
  <si>
    <t>LP Profit Tier 1</t>
  </si>
  <si>
    <t>GP Profit Tier 2</t>
  </si>
  <si>
    <t>LP Profit Tier 2</t>
  </si>
  <si>
    <t>GP Profit Tier 3</t>
  </si>
  <si>
    <t>LP Profit Tier 3</t>
  </si>
  <si>
    <t xml:space="preserve">Total GP Return </t>
  </si>
  <si>
    <t xml:space="preserve">Total LP Return </t>
  </si>
  <si>
    <t>2026 Investment Distributions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</si>
</sst>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m/d/yyyy"/>
    <numFmt numFmtId="168" formatCode="m/d/yy"/>
    <numFmt numFmtId="169" formatCode="mm/dd/yyyy"/>
    <numFmt numFmtId="170" formatCode="0.0%"/>
  </numFmts>
  <fonts count="14">
    <font>
      <sz val="10.0"/>
      <color rgb="FF000000"/>
      <name val="Arial"/>
      <scheme val="minor"/>
    </font>
    <font>
      <sz val="12.0"/>
      <color rgb="FF000000"/>
      <name val="Calibri"/>
    </font>
    <font>
      <b/>
      <sz val="24.0"/>
      <color rgb="FF000000"/>
      <name val="Arial"/>
    </font>
    <font/>
    <font>
      <b/>
      <sz val="12.0"/>
      <color rgb="FF000000"/>
      <name val="Calibri"/>
    </font>
    <font>
      <sz val="12.0"/>
      <color rgb="FFFF0000"/>
      <name val="Calibri"/>
    </font>
    <font>
      <b/>
      <sz val="24.0"/>
      <color theme="1"/>
      <name val="Calibri"/>
    </font>
    <font>
      <b/>
      <sz val="24.0"/>
      <color rgb="FFFFFFFF"/>
      <name val="Calibri"/>
    </font>
    <font>
      <b/>
      <color rgb="FF000000"/>
      <name val="Arial"/>
    </font>
    <font>
      <b/>
      <sz val="11.0"/>
      <color rgb="FF140545"/>
      <name val="Calibri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00FF00"/>
        <bgColor rgb="FF00FF00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center" readingOrder="0" shrinkToFit="0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readingOrder="0" shrinkToFit="0" vertical="bottom" wrapText="0"/>
    </xf>
    <xf borderId="5" fillId="0" fontId="1" numFmtId="164" xfId="0" applyAlignment="1" applyBorder="1" applyFont="1" applyNumberFormat="1">
      <alignment horizontal="right" readingOrder="0" shrinkToFit="0" wrapText="0"/>
    </xf>
    <xf borderId="6" fillId="0" fontId="1" numFmtId="10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8" fillId="0" fontId="1" numFmtId="10" xfId="0" applyAlignment="1" applyBorder="1" applyFont="1" applyNumberFormat="1">
      <alignment shrinkToFit="0" vertical="bottom" wrapText="0"/>
    </xf>
    <xf borderId="0" fillId="0" fontId="5" numFmtId="166" xfId="0" applyAlignment="1" applyFont="1" applyNumberFormat="1">
      <alignment horizontal="right" readingOrder="0" shrinkToFit="0" vertical="bottom" wrapText="0"/>
    </xf>
    <xf borderId="7" fillId="2" fontId="6" numFmtId="0" xfId="0" applyAlignment="1" applyBorder="1" applyFill="1" applyFont="1">
      <alignment readingOrder="0" shrinkToFit="0" wrapText="0"/>
    </xf>
    <xf borderId="9" fillId="2" fontId="7" numFmtId="0" xfId="0" applyAlignment="1" applyBorder="1" applyFont="1">
      <alignment shrinkToFit="0" wrapText="0"/>
    </xf>
    <xf borderId="8" fillId="2" fontId="8" numFmtId="166" xfId="0" applyAlignment="1" applyBorder="1" applyFont="1" applyNumberFormat="1">
      <alignment horizontal="right" readingOrder="0" shrinkToFit="0" wrapText="0"/>
    </xf>
    <xf borderId="5" fillId="2" fontId="9" numFmtId="0" xfId="0" applyAlignment="1" applyBorder="1" applyFont="1">
      <alignment horizontal="left" readingOrder="0" shrinkToFit="0" vertical="bottom" wrapText="0"/>
    </xf>
    <xf borderId="5" fillId="2" fontId="9" numFmtId="0" xfId="0" applyAlignment="1" applyBorder="1" applyFont="1">
      <alignment horizontal="right" readingOrder="0" shrinkToFit="0" vertical="bottom" wrapText="0"/>
    </xf>
    <xf borderId="5" fillId="2" fontId="9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5" fillId="0" fontId="1" numFmtId="164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164" xfId="0" applyAlignment="1" applyBorder="1" applyFont="1" applyNumberFormat="1">
      <alignment horizontal="right" shrinkToFit="0" wrapText="0"/>
    </xf>
    <xf borderId="0" fillId="0" fontId="1" numFmtId="4" xfId="0" applyAlignment="1" applyFont="1" applyNumberFormat="1">
      <alignment shrinkToFit="0" vertical="bottom" wrapText="0"/>
    </xf>
    <xf borderId="5" fillId="0" fontId="1" numFmtId="167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horizontal="left" readingOrder="0" shrinkToFit="0" vertical="bottom" wrapText="0"/>
    </xf>
    <xf borderId="9" fillId="2" fontId="9" numFmtId="0" xfId="0" applyAlignment="1" applyBorder="1" applyFont="1">
      <alignment horizontal="right" readingOrder="0" shrinkToFit="0" vertical="bottom" wrapText="0"/>
    </xf>
    <xf borderId="8" fillId="2" fontId="9" numFmtId="0" xfId="0" applyAlignment="1" applyBorder="1" applyFont="1">
      <alignment horizontal="center" readingOrder="0"/>
    </xf>
    <xf borderId="0" fillId="0" fontId="1" numFmtId="168" xfId="0" applyAlignment="1" applyFont="1" applyNumberFormat="1">
      <alignment readingOrder="0" shrinkToFit="0" vertical="bottom" wrapText="0"/>
    </xf>
    <xf borderId="0" fillId="0" fontId="1" numFmtId="167" xfId="0" applyAlignment="1" applyFont="1" applyNumberFormat="1">
      <alignment readingOrder="0" shrinkToFit="0" vertical="bottom" wrapText="0"/>
    </xf>
    <xf borderId="0" fillId="0" fontId="11" numFmtId="164" xfId="0" applyAlignment="1" applyFont="1" applyNumberFormat="1">
      <alignment readingOrder="0"/>
    </xf>
    <xf borderId="0" fillId="0" fontId="1" numFmtId="16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11" numFmtId="0" xfId="0" applyAlignment="1" applyFont="1">
      <alignment readingOrder="0"/>
    </xf>
    <xf borderId="0" fillId="0" fontId="12" numFmtId="165" xfId="0" applyAlignment="1" applyFont="1" applyNumberForma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12" numFmtId="4" xfId="0" applyAlignment="1" applyFont="1" applyNumberFormat="1">
      <alignment readingOrder="0" shrinkToFit="0" vertical="bottom" wrapText="0"/>
    </xf>
    <xf borderId="0" fillId="0" fontId="11" numFmtId="165" xfId="0" applyAlignment="1" applyFont="1" applyNumberFormat="1">
      <alignment readingOrder="0"/>
    </xf>
    <xf borderId="0" fillId="0" fontId="11" numFmtId="0" xfId="0" applyFont="1"/>
    <xf borderId="0" fillId="0" fontId="10" numFmtId="0" xfId="0" applyAlignment="1" applyFont="1">
      <alignment readingOrder="0" shrinkToFit="0" vertical="bottom" wrapText="0"/>
    </xf>
    <xf borderId="0" fillId="0" fontId="11" numFmtId="165" xfId="0" applyFont="1" applyNumberFormat="1"/>
    <xf borderId="11" fillId="0" fontId="13" numFmtId="0" xfId="0" applyAlignment="1" applyBorder="1" applyFont="1">
      <alignment readingOrder="0"/>
    </xf>
    <xf borderId="12" fillId="0" fontId="11" numFmtId="0" xfId="0" applyBorder="1" applyFont="1"/>
    <xf borderId="13" fillId="0" fontId="13" numFmtId="0" xfId="0" applyAlignment="1" applyBorder="1" applyFont="1">
      <alignment readingOrder="0"/>
    </xf>
    <xf borderId="14" fillId="0" fontId="11" numFmtId="165" xfId="0" applyAlignment="1" applyBorder="1" applyFont="1" applyNumberFormat="1">
      <alignment readingOrder="0"/>
    </xf>
    <xf borderId="11" fillId="0" fontId="11" numFmtId="0" xfId="0" applyAlignment="1" applyBorder="1" applyFont="1">
      <alignment readingOrder="0"/>
    </xf>
    <xf borderId="15" fillId="0" fontId="11" numFmtId="0" xfId="0" applyAlignment="1" applyBorder="1" applyFont="1">
      <alignment readingOrder="0"/>
    </xf>
    <xf borderId="16" fillId="0" fontId="11" numFmtId="0" xfId="0" applyBorder="1" applyFont="1"/>
    <xf borderId="17" fillId="0" fontId="11" numFmtId="164" xfId="0" applyAlignment="1" applyBorder="1" applyFont="1" applyNumberFormat="1">
      <alignment readingOrder="0"/>
    </xf>
    <xf borderId="5" fillId="0" fontId="11" numFmtId="164" xfId="0" applyAlignment="1" applyBorder="1" applyFont="1" applyNumberFormat="1">
      <alignment readingOrder="0"/>
    </xf>
    <xf borderId="5" fillId="0" fontId="11" numFmtId="164" xfId="0" applyBorder="1" applyFont="1" applyNumberFormat="1"/>
    <xf borderId="5" fillId="0" fontId="11" numFmtId="9" xfId="0" applyAlignment="1" applyBorder="1" applyFont="1" applyNumberFormat="1">
      <alignment readingOrder="0"/>
    </xf>
    <xf borderId="5" fillId="0" fontId="11" numFmtId="170" xfId="0" applyAlignment="1" applyBorder="1" applyFont="1" applyNumberFormat="1">
      <alignment readingOrder="0"/>
    </xf>
    <xf borderId="18" fillId="0" fontId="11" numFmtId="0" xfId="0" applyBorder="1" applyFont="1"/>
    <xf borderId="17" fillId="0" fontId="11" numFmtId="0" xfId="0" applyBorder="1" applyFont="1"/>
    <xf borderId="5" fillId="0" fontId="11" numFmtId="0" xfId="0" applyBorder="1" applyFont="1"/>
    <xf borderId="17" fillId="0" fontId="11" numFmtId="0" xfId="0" applyAlignment="1" applyBorder="1" applyFont="1">
      <alignment readingOrder="0"/>
    </xf>
    <xf borderId="5" fillId="0" fontId="11" numFmtId="0" xfId="0" applyAlignment="1" applyBorder="1" applyFont="1">
      <alignment readingOrder="0"/>
    </xf>
    <xf borderId="18" fillId="0" fontId="11" numFmtId="0" xfId="0" applyAlignment="1" applyBorder="1" applyFont="1">
      <alignment readingOrder="0"/>
    </xf>
    <xf borderId="17" fillId="0" fontId="11" numFmtId="164" xfId="0" applyBorder="1" applyFont="1" applyNumberFormat="1"/>
    <xf borderId="5" fillId="0" fontId="11" numFmtId="10" xfId="0" applyAlignment="1" applyBorder="1" applyFont="1" applyNumberFormat="1">
      <alignment readingOrder="0"/>
    </xf>
    <xf borderId="18" fillId="0" fontId="11" numFmtId="10" xfId="0" applyAlignment="1" applyBorder="1" applyFont="1" applyNumberFormat="1">
      <alignment readingOrder="0"/>
    </xf>
    <xf borderId="19" fillId="0" fontId="11" numFmtId="0" xfId="0" applyBorder="1" applyFont="1"/>
    <xf borderId="1" fillId="0" fontId="11" numFmtId="0" xfId="0" applyAlignment="1" applyBorder="1" applyFont="1">
      <alignment readingOrder="0"/>
    </xf>
    <xf borderId="20" fillId="3" fontId="13" numFmtId="0" xfId="0" applyAlignment="1" applyBorder="1" applyFill="1" applyFont="1">
      <alignment readingOrder="0"/>
    </xf>
    <xf borderId="21" fillId="3" fontId="13" numFmtId="0" xfId="0" applyAlignment="1" applyBorder="1" applyFont="1">
      <alignment readingOrder="0"/>
    </xf>
    <xf borderId="22" fillId="0" fontId="11" numFmtId="0" xfId="0" applyBorder="1" applyFont="1"/>
    <xf borderId="13" fillId="0" fontId="11" numFmtId="164" xfId="0" applyBorder="1" applyFont="1" applyNumberFormat="1"/>
    <xf borderId="23" fillId="0" fontId="11" numFmtId="164" xfId="0" applyBorder="1" applyFont="1" applyNumberFormat="1"/>
    <xf borderId="24" fillId="0" fontId="11" numFmtId="164" xfId="0" applyBorder="1" applyFont="1" applyNumberFormat="1"/>
    <xf borderId="25" fillId="3" fontId="11" numFmtId="164" xfId="0" applyBorder="1" applyFont="1" applyNumberFormat="1"/>
    <xf borderId="26" fillId="3" fontId="11" numFmtId="164" xfId="0" applyBorder="1" applyFont="1" applyNumberFormat="1"/>
    <xf borderId="27" fillId="0" fontId="11" numFmtId="0" xfId="0" applyBorder="1" applyFont="1"/>
    <xf borderId="5" fillId="0" fontId="11" numFmtId="170" xfId="0" applyBorder="1" applyFont="1" applyNumberFormat="1"/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13"/>
    <col customWidth="1" min="3" max="3" width="13.0"/>
    <col customWidth="1" min="4" max="4" width="12.63"/>
    <col customWidth="1" min="5" max="5" width="9.63"/>
    <col customWidth="1" min="6" max="6" width="13.25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1"/>
      <c r="B5" s="2"/>
      <c r="C5" s="2"/>
      <c r="D5" s="2"/>
      <c r="E5" s="1"/>
      <c r="F5" s="1"/>
    </row>
    <row r="6">
      <c r="A6" s="1"/>
      <c r="B6" s="3" t="s">
        <v>0</v>
      </c>
      <c r="C6" s="4"/>
      <c r="D6" s="5"/>
      <c r="E6" s="1"/>
      <c r="F6" s="1"/>
    </row>
    <row r="7">
      <c r="A7" s="1"/>
      <c r="B7" s="6" t="s">
        <v>1</v>
      </c>
      <c r="C7" s="7">
        <f>SUMIF($D$11:$D$54, "Steven Rovner",$C$11:$C$54)</f>
        <v>-1014998.72</v>
      </c>
      <c r="D7" s="8">
        <f>C7/D9</f>
        <v>0.8899742165</v>
      </c>
      <c r="E7" s="9"/>
      <c r="F7" s="1"/>
    </row>
    <row r="8">
      <c r="A8" s="1"/>
      <c r="B8" s="10" t="s">
        <v>2</v>
      </c>
      <c r="C8" s="7">
        <f>SUMIF($D$11:$D$52, "Alec Rovner",$C$11:$C$52)</f>
        <v>-125482.32</v>
      </c>
      <c r="D8" s="11">
        <f>C8/D9</f>
        <v>0.1100257835</v>
      </c>
      <c r="E8" s="1"/>
      <c r="F8" s="12"/>
    </row>
    <row r="9">
      <c r="A9" s="1"/>
      <c r="B9" s="13" t="s">
        <v>3</v>
      </c>
      <c r="C9" s="14"/>
      <c r="D9" s="15">
        <f>SUM(C7:C8)</f>
        <v>-1140481.04</v>
      </c>
      <c r="E9" s="1"/>
      <c r="F9" s="1"/>
    </row>
    <row r="10">
      <c r="A10" s="1"/>
      <c r="B10" s="16" t="s">
        <v>4</v>
      </c>
      <c r="C10" s="17" t="s">
        <v>5</v>
      </c>
      <c r="D10" s="18" t="s">
        <v>6</v>
      </c>
      <c r="E10" s="18" t="s">
        <v>7</v>
      </c>
      <c r="F10" s="1"/>
    </row>
    <row r="11">
      <c r="A11" s="1"/>
      <c r="B11" s="19" t="s">
        <v>8</v>
      </c>
      <c r="C11" s="7">
        <v>-6000.0</v>
      </c>
      <c r="D11" s="20" t="s">
        <v>9</v>
      </c>
      <c r="E11" s="21"/>
      <c r="F11" s="1"/>
    </row>
    <row r="12">
      <c r="A12" s="1"/>
      <c r="B12" s="19" t="s">
        <v>10</v>
      </c>
      <c r="C12" s="7">
        <v>-735.0</v>
      </c>
      <c r="D12" s="20" t="s">
        <v>9</v>
      </c>
      <c r="E12" s="21"/>
      <c r="F12" s="1"/>
    </row>
    <row r="13">
      <c r="A13" s="1"/>
      <c r="B13" s="22" t="s">
        <v>11</v>
      </c>
      <c r="C13" s="7">
        <v>-225.0</v>
      </c>
      <c r="D13" s="20" t="s">
        <v>9</v>
      </c>
      <c r="E13" s="21"/>
      <c r="F13" s="1"/>
    </row>
    <row r="14">
      <c r="A14" s="1"/>
      <c r="B14" s="22" t="s">
        <v>12</v>
      </c>
      <c r="C14" s="7">
        <v>-514.5</v>
      </c>
      <c r="D14" s="20" t="s">
        <v>9</v>
      </c>
      <c r="E14" s="21"/>
      <c r="F14" s="1"/>
    </row>
    <row r="15">
      <c r="A15" s="1"/>
      <c r="B15" s="19" t="s">
        <v>13</v>
      </c>
      <c r="C15" s="7">
        <v>-350.0</v>
      </c>
      <c r="D15" s="20" t="s">
        <v>9</v>
      </c>
      <c r="E15" s="21"/>
      <c r="F15" s="1"/>
    </row>
    <row r="16">
      <c r="A16" s="1"/>
      <c r="B16" s="19" t="s">
        <v>14</v>
      </c>
      <c r="C16" s="7">
        <v>-5826.37</v>
      </c>
      <c r="D16" s="20" t="s">
        <v>15</v>
      </c>
      <c r="E16" s="21"/>
      <c r="F16" s="1"/>
    </row>
    <row r="17">
      <c r="A17" s="1"/>
      <c r="B17" s="19" t="s">
        <v>16</v>
      </c>
      <c r="C17" s="7">
        <v>-465.0</v>
      </c>
      <c r="D17" s="20" t="s">
        <v>9</v>
      </c>
      <c r="E17" s="21"/>
      <c r="F17" s="1"/>
    </row>
    <row r="18">
      <c r="A18" s="1"/>
      <c r="B18" s="19" t="s">
        <v>17</v>
      </c>
      <c r="C18" s="7">
        <v>-599000.0</v>
      </c>
      <c r="D18" s="20" t="s">
        <v>9</v>
      </c>
      <c r="E18" s="21"/>
      <c r="F18" s="1"/>
    </row>
    <row r="19">
      <c r="A19" s="1"/>
      <c r="B19" s="19" t="s">
        <v>17</v>
      </c>
      <c r="C19" s="7">
        <v>-22000.0</v>
      </c>
      <c r="D19" s="20" t="s">
        <v>15</v>
      </c>
      <c r="E19" s="21"/>
      <c r="F19" s="1"/>
    </row>
    <row r="20">
      <c r="A20" s="1"/>
      <c r="B20" s="19" t="s">
        <v>18</v>
      </c>
      <c r="C20" s="7">
        <v>-72500.0</v>
      </c>
      <c r="D20" s="20" t="s">
        <v>15</v>
      </c>
      <c r="E20" s="21"/>
      <c r="F20" s="1"/>
    </row>
    <row r="21">
      <c r="A21" s="1"/>
      <c r="B21" s="19" t="s">
        <v>19</v>
      </c>
      <c r="C21" s="23">
        <v>-147780.76</v>
      </c>
      <c r="D21" s="20" t="s">
        <v>9</v>
      </c>
      <c r="E21" s="24"/>
      <c r="F21" s="1"/>
    </row>
    <row r="22">
      <c r="A22" s="1"/>
      <c r="B22" s="19" t="s">
        <v>20</v>
      </c>
      <c r="C22" s="7">
        <v>601500.0</v>
      </c>
      <c r="D22" s="20" t="s">
        <v>9</v>
      </c>
      <c r="E22" s="21"/>
      <c r="F22" s="1"/>
    </row>
    <row r="23">
      <c r="A23" s="1"/>
      <c r="B23" s="19" t="s">
        <v>21</v>
      </c>
      <c r="C23" s="7">
        <v>-85000.0</v>
      </c>
      <c r="D23" s="20" t="s">
        <v>9</v>
      </c>
      <c r="E23" s="21"/>
      <c r="F23" s="1"/>
    </row>
    <row r="24">
      <c r="A24" s="1"/>
      <c r="B24" s="19" t="s">
        <v>22</v>
      </c>
      <c r="C24" s="7">
        <v>85000.0</v>
      </c>
      <c r="D24" s="20" t="s">
        <v>9</v>
      </c>
      <c r="E24" s="21"/>
      <c r="F24" s="1"/>
    </row>
    <row r="25">
      <c r="A25" s="1"/>
      <c r="B25" s="19" t="s">
        <v>23</v>
      </c>
      <c r="C25" s="7">
        <v>-250000.0</v>
      </c>
      <c r="D25" s="20" t="s">
        <v>9</v>
      </c>
      <c r="E25" s="21"/>
      <c r="F25" s="1"/>
    </row>
    <row r="26">
      <c r="A26" s="1"/>
      <c r="B26" s="19" t="s">
        <v>24</v>
      </c>
      <c r="C26" s="7">
        <v>250000.0</v>
      </c>
      <c r="D26" s="20" t="s">
        <v>9</v>
      </c>
      <c r="E26" s="21"/>
      <c r="F26" s="1"/>
    </row>
    <row r="27">
      <c r="A27" s="1"/>
      <c r="B27" s="19" t="s">
        <v>25</v>
      </c>
      <c r="C27" s="7">
        <v>-450000.0</v>
      </c>
      <c r="D27" s="20" t="s">
        <v>9</v>
      </c>
      <c r="E27" s="21"/>
      <c r="F27" s="1"/>
    </row>
    <row r="28">
      <c r="A28" s="1"/>
      <c r="B28" s="19" t="s">
        <v>26</v>
      </c>
      <c r="C28" s="7">
        <v>-10000.0</v>
      </c>
      <c r="D28" s="20" t="s">
        <v>9</v>
      </c>
      <c r="E28" s="21"/>
      <c r="F28" s="1"/>
    </row>
    <row r="29">
      <c r="A29" s="1"/>
      <c r="B29" s="19" t="s">
        <v>26</v>
      </c>
      <c r="C29" s="25">
        <v>-29693.85</v>
      </c>
      <c r="D29" s="20" t="s">
        <v>9</v>
      </c>
      <c r="E29" s="21"/>
      <c r="F29" s="1"/>
    </row>
    <row r="30">
      <c r="A30" s="1"/>
      <c r="B30" s="19" t="s">
        <v>26</v>
      </c>
      <c r="C30" s="25">
        <v>-8655.95</v>
      </c>
      <c r="D30" s="20" t="s">
        <v>15</v>
      </c>
      <c r="E30" s="21"/>
      <c r="F30" s="1"/>
    </row>
    <row r="31">
      <c r="A31" s="1"/>
      <c r="B31" s="19" t="s">
        <v>27</v>
      </c>
      <c r="C31" s="7">
        <v>450000.0</v>
      </c>
      <c r="D31" s="20" t="s">
        <v>9</v>
      </c>
      <c r="E31" s="21"/>
      <c r="F31" s="1"/>
    </row>
    <row r="32">
      <c r="A32" s="1"/>
      <c r="B32" s="19" t="s">
        <v>28</v>
      </c>
      <c r="C32" s="25">
        <v>-8000.0</v>
      </c>
      <c r="D32" s="20" t="s">
        <v>15</v>
      </c>
      <c r="E32" s="21"/>
      <c r="F32" s="1"/>
    </row>
    <row r="33">
      <c r="A33" s="1"/>
      <c r="B33" s="19" t="s">
        <v>29</v>
      </c>
      <c r="C33" s="25">
        <v>-205354.49</v>
      </c>
      <c r="D33" s="20" t="s">
        <v>9</v>
      </c>
      <c r="E33" s="21"/>
      <c r="F33" s="1"/>
    </row>
    <row r="34">
      <c r="A34" s="1"/>
      <c r="B34" s="19" t="s">
        <v>30</v>
      </c>
      <c r="C34" s="25">
        <v>-3500.0</v>
      </c>
      <c r="D34" s="20" t="s">
        <v>15</v>
      </c>
      <c r="E34" s="21"/>
      <c r="F34" s="1"/>
    </row>
    <row r="35">
      <c r="A35" s="1"/>
      <c r="B35" s="19" t="s">
        <v>31</v>
      </c>
      <c r="C35" s="25">
        <v>-5000.0</v>
      </c>
      <c r="D35" s="20" t="s">
        <v>15</v>
      </c>
      <c r="E35" s="21"/>
      <c r="F35" s="1"/>
    </row>
    <row r="36">
      <c r="A36" s="1"/>
      <c r="B36" s="19" t="s">
        <v>32</v>
      </c>
      <c r="C36" s="25">
        <v>-350411.8</v>
      </c>
      <c r="D36" s="20" t="s">
        <v>9</v>
      </c>
      <c r="E36" s="21"/>
      <c r="F36" s="1"/>
    </row>
    <row r="37">
      <c r="A37" s="1"/>
      <c r="B37" s="19" t="s">
        <v>33</v>
      </c>
      <c r="C37" s="25">
        <v>-244000.0</v>
      </c>
      <c r="D37" s="20" t="s">
        <v>9</v>
      </c>
      <c r="E37" s="21"/>
      <c r="F37" s="1"/>
    </row>
    <row r="38">
      <c r="A38" s="1"/>
      <c r="B38" s="19" t="s">
        <v>34</v>
      </c>
      <c r="C38" s="7">
        <v>228373.67</v>
      </c>
      <c r="D38" s="20" t="s">
        <v>9</v>
      </c>
      <c r="E38" s="21"/>
      <c r="F38" s="1"/>
    </row>
    <row r="39">
      <c r="A39" s="1"/>
      <c r="B39" s="19" t="s">
        <v>35</v>
      </c>
      <c r="C39" s="7">
        <v>192484.51</v>
      </c>
      <c r="D39" s="20" t="s">
        <v>9</v>
      </c>
      <c r="E39" s="21"/>
      <c r="F39" s="1"/>
    </row>
    <row r="40">
      <c r="A40" s="1"/>
      <c r="B40" s="19" t="s">
        <v>36</v>
      </c>
      <c r="C40" s="25">
        <v>-10000.0</v>
      </c>
      <c r="D40" s="20" t="s">
        <v>9</v>
      </c>
      <c r="E40" s="21"/>
      <c r="F40" s="26"/>
    </row>
    <row r="41">
      <c r="A41" s="1"/>
      <c r="B41" s="19" t="s">
        <v>37</v>
      </c>
      <c r="C41" s="25">
        <v>-20000.0</v>
      </c>
      <c r="D41" s="20" t="s">
        <v>9</v>
      </c>
      <c r="E41" s="21"/>
      <c r="F41" s="1"/>
    </row>
    <row r="42">
      <c r="A42" s="1"/>
      <c r="B42" s="19" t="s">
        <v>37</v>
      </c>
      <c r="C42" s="25">
        <v>-30007.52</v>
      </c>
      <c r="D42" s="20" t="s">
        <v>9</v>
      </c>
      <c r="E42" s="21"/>
      <c r="F42" s="1"/>
    </row>
    <row r="43">
      <c r="A43" s="1"/>
      <c r="B43" s="19" t="s">
        <v>37</v>
      </c>
      <c r="C43" s="25">
        <v>-24030.05</v>
      </c>
      <c r="D43" s="20" t="s">
        <v>9</v>
      </c>
      <c r="E43" s="21"/>
      <c r="F43" s="1"/>
    </row>
    <row r="44">
      <c r="A44" s="1"/>
      <c r="B44" s="19" t="s">
        <v>38</v>
      </c>
      <c r="C44" s="25">
        <v>-24000.0</v>
      </c>
      <c r="D44" s="20" t="s">
        <v>9</v>
      </c>
      <c r="E44" s="27">
        <v>45401.0</v>
      </c>
      <c r="F44" s="1"/>
    </row>
    <row r="45">
      <c r="A45" s="1"/>
      <c r="B45" s="19" t="s">
        <v>39</v>
      </c>
      <c r="C45" s="7">
        <v>-25000.0</v>
      </c>
      <c r="D45" s="24" t="s">
        <v>9</v>
      </c>
      <c r="E45" s="27">
        <v>45460.0</v>
      </c>
      <c r="F45" s="27"/>
    </row>
    <row r="46">
      <c r="A46" s="1"/>
      <c r="B46" s="19" t="s">
        <v>40</v>
      </c>
      <c r="C46" s="7">
        <v>-2250.0</v>
      </c>
      <c r="D46" s="24" t="s">
        <v>9</v>
      </c>
      <c r="E46" s="27">
        <v>45467.0</v>
      </c>
      <c r="F46" s="1"/>
    </row>
    <row r="47">
      <c r="B47" s="19" t="s">
        <v>41</v>
      </c>
      <c r="C47" s="7">
        <f>-1713.45</f>
        <v>-1713.45</v>
      </c>
      <c r="D47" s="24" t="s">
        <v>9</v>
      </c>
      <c r="E47" s="27">
        <v>45474.0</v>
      </c>
    </row>
    <row r="48">
      <c r="B48" s="19" t="s">
        <v>42</v>
      </c>
      <c r="C48" s="7">
        <v>-2235.0</v>
      </c>
      <c r="D48" s="24" t="s">
        <v>9</v>
      </c>
      <c r="E48" s="27">
        <v>45496.0</v>
      </c>
    </row>
    <row r="49">
      <c r="B49" s="19" t="s">
        <v>43</v>
      </c>
      <c r="C49" s="7">
        <v>-2500.0</v>
      </c>
      <c r="D49" s="24" t="s">
        <v>9</v>
      </c>
      <c r="E49" s="27">
        <v>45502.0</v>
      </c>
    </row>
    <row r="50">
      <c r="B50" s="19" t="s">
        <v>44</v>
      </c>
      <c r="C50" s="7">
        <v>-23323.95</v>
      </c>
      <c r="D50" s="24" t="s">
        <v>9</v>
      </c>
      <c r="E50" s="27">
        <v>45503.0</v>
      </c>
    </row>
    <row r="51">
      <c r="B51" s="19" t="s">
        <v>45</v>
      </c>
      <c r="C51" s="7">
        <v>-54766.53</v>
      </c>
      <c r="D51" s="24" t="s">
        <v>9</v>
      </c>
      <c r="E51" s="27">
        <v>45565.0</v>
      </c>
    </row>
    <row r="52">
      <c r="B52" s="19" t="s">
        <v>46</v>
      </c>
      <c r="C52" s="7">
        <v>-17000.0</v>
      </c>
      <c r="D52" s="24" t="s">
        <v>9</v>
      </c>
      <c r="E52" s="27">
        <v>45604.0</v>
      </c>
    </row>
    <row r="53">
      <c r="B53" s="19" t="s">
        <v>47</v>
      </c>
      <c r="C53" s="7">
        <f>-206000</f>
        <v>-206000</v>
      </c>
      <c r="D53" s="24" t="s">
        <v>9</v>
      </c>
      <c r="E53" s="27">
        <v>45912.0</v>
      </c>
    </row>
  </sheetData>
  <mergeCells count="1">
    <mergeCell ref="B6:D6"/>
  </mergeCells>
  <conditionalFormatting sqref="C7:C8 C11:C53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13"/>
    <col customWidth="1" min="3" max="3" width="13.0"/>
    <col customWidth="1" min="4" max="4" width="12.63"/>
    <col customWidth="1" min="5" max="5" width="10.63"/>
    <col customWidth="1" min="6" max="6" width="8.63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1"/>
      <c r="B5" s="2"/>
      <c r="C5" s="2"/>
      <c r="D5" s="2"/>
      <c r="E5" s="1"/>
      <c r="F5" s="1"/>
    </row>
    <row r="6">
      <c r="A6" s="1"/>
      <c r="B6" s="3" t="s">
        <v>0</v>
      </c>
      <c r="C6" s="4"/>
      <c r="D6" s="5"/>
      <c r="E6" s="1"/>
      <c r="F6" s="1"/>
    </row>
    <row r="7">
      <c r="A7" s="1"/>
      <c r="B7" s="6" t="s">
        <v>1</v>
      </c>
      <c r="C7" s="7">
        <f>SUMIF($D$11:$D$44, "Steven Rovner",$C$11:$C$44)</f>
        <v>-1124918.5</v>
      </c>
      <c r="D7" s="28"/>
      <c r="E7" s="1"/>
      <c r="F7" s="1"/>
    </row>
    <row r="8">
      <c r="A8" s="1"/>
      <c r="B8" s="10" t="s">
        <v>2</v>
      </c>
      <c r="C8" s="7">
        <f>SUMIF($D$11:$D$44, "Alec Rovner",$C$11:$C$44)</f>
        <v>0</v>
      </c>
      <c r="D8" s="29"/>
      <c r="E8" s="1"/>
      <c r="F8" s="12"/>
    </row>
    <row r="9">
      <c r="A9" s="1"/>
      <c r="B9" s="13" t="s">
        <v>3</v>
      </c>
      <c r="C9" s="7"/>
      <c r="D9" s="15">
        <f>SUM(C11:C14)</f>
        <v>-804918.5</v>
      </c>
      <c r="E9" s="1"/>
      <c r="F9" s="1"/>
    </row>
    <row r="10">
      <c r="A10" s="1"/>
      <c r="B10" s="30" t="s">
        <v>4</v>
      </c>
      <c r="C10" s="31" t="s">
        <v>5</v>
      </c>
      <c r="D10" s="32" t="s">
        <v>6</v>
      </c>
      <c r="E10" s="32" t="s">
        <v>7</v>
      </c>
      <c r="F10" s="1"/>
    </row>
    <row r="11">
      <c r="A11" s="1"/>
      <c r="B11" s="19"/>
      <c r="C11" s="7"/>
      <c r="D11" s="20"/>
      <c r="E11" s="1"/>
      <c r="F11" s="1"/>
    </row>
    <row r="12">
      <c r="A12" s="1"/>
      <c r="B12" s="19" t="s">
        <v>48</v>
      </c>
      <c r="C12" s="7">
        <v>-735000.0</v>
      </c>
      <c r="D12" s="20" t="s">
        <v>9</v>
      </c>
      <c r="E12" s="33">
        <v>45346.0</v>
      </c>
      <c r="F12" s="1"/>
    </row>
    <row r="13">
      <c r="A13" s="1"/>
      <c r="B13" s="22" t="s">
        <v>49</v>
      </c>
      <c r="C13" s="7">
        <v>-26000.0</v>
      </c>
      <c r="D13" s="20" t="s">
        <v>9</v>
      </c>
      <c r="E13" s="34">
        <v>45401.0</v>
      </c>
      <c r="F13" s="1"/>
    </row>
    <row r="14">
      <c r="A14" s="1"/>
      <c r="B14" s="22" t="s">
        <v>50</v>
      </c>
      <c r="C14" s="35">
        <v>-43918.5</v>
      </c>
      <c r="D14" s="20" t="s">
        <v>9</v>
      </c>
      <c r="E14" s="36">
        <v>45510.0</v>
      </c>
      <c r="F14" s="1"/>
    </row>
    <row r="15">
      <c r="A15" s="1"/>
      <c r="B15" s="19" t="s">
        <v>51</v>
      </c>
      <c r="C15" s="7">
        <v>-100000.0</v>
      </c>
      <c r="D15" s="20" t="s">
        <v>9</v>
      </c>
      <c r="E15" s="1"/>
      <c r="F15" s="1"/>
    </row>
    <row r="16">
      <c r="A16" s="1"/>
      <c r="B16" s="19" t="s">
        <v>52</v>
      </c>
      <c r="C16" s="7">
        <v>-220000.0</v>
      </c>
      <c r="D16" s="20" t="s">
        <v>9</v>
      </c>
      <c r="E16" s="34">
        <v>45911.0</v>
      </c>
      <c r="F16" s="1"/>
    </row>
    <row r="17">
      <c r="A17" s="1"/>
      <c r="B17" s="19"/>
      <c r="C17" s="7"/>
      <c r="D17" s="20"/>
      <c r="E17" s="1"/>
      <c r="F17" s="1"/>
    </row>
    <row r="18">
      <c r="A18" s="1"/>
      <c r="B18" s="19"/>
      <c r="C18" s="7"/>
      <c r="D18" s="20"/>
      <c r="E18" s="1"/>
      <c r="F18" s="1"/>
    </row>
    <row r="19">
      <c r="A19" s="1"/>
      <c r="B19" s="19"/>
      <c r="C19" s="7"/>
      <c r="D19" s="20"/>
      <c r="E19" s="1"/>
      <c r="F19" s="1"/>
    </row>
    <row r="20">
      <c r="A20" s="1"/>
      <c r="B20" s="19"/>
      <c r="C20" s="7"/>
      <c r="D20" s="20"/>
      <c r="E20" s="1"/>
      <c r="F20" s="1"/>
    </row>
    <row r="21">
      <c r="A21" s="1"/>
      <c r="B21" s="19"/>
      <c r="C21" s="23"/>
      <c r="D21" s="20"/>
      <c r="E21" s="37"/>
      <c r="F21" s="1"/>
    </row>
    <row r="22">
      <c r="A22" s="1"/>
      <c r="B22" s="19"/>
      <c r="C22" s="7"/>
      <c r="D22" s="20"/>
      <c r="E22" s="1"/>
      <c r="F22" s="1"/>
    </row>
    <row r="23">
      <c r="A23" s="1"/>
      <c r="B23" s="19"/>
      <c r="C23" s="7"/>
      <c r="D23" s="20"/>
      <c r="E23" s="1"/>
      <c r="F23" s="1"/>
    </row>
    <row r="24">
      <c r="A24" s="1"/>
      <c r="B24" s="19"/>
      <c r="C24" s="7"/>
      <c r="D24" s="20"/>
      <c r="E24" s="1"/>
      <c r="F24" s="1"/>
    </row>
    <row r="25">
      <c r="A25" s="1"/>
      <c r="B25" s="19"/>
      <c r="C25" s="7"/>
      <c r="D25" s="20"/>
      <c r="E25" s="1"/>
      <c r="F25" s="1"/>
    </row>
    <row r="26">
      <c r="A26" s="1"/>
      <c r="B26" s="19"/>
      <c r="C26" s="7"/>
      <c r="D26" s="20"/>
      <c r="E26" s="1"/>
      <c r="F26" s="1"/>
    </row>
    <row r="27">
      <c r="A27" s="1"/>
      <c r="B27" s="19"/>
      <c r="C27" s="7"/>
      <c r="D27" s="20"/>
      <c r="E27" s="1"/>
      <c r="F27" s="1"/>
    </row>
    <row r="28">
      <c r="A28" s="1"/>
      <c r="B28" s="19"/>
      <c r="C28" s="7"/>
      <c r="D28" s="20"/>
      <c r="E28" s="1"/>
      <c r="F28" s="1"/>
    </row>
    <row r="29">
      <c r="A29" s="1"/>
      <c r="B29" s="19"/>
      <c r="C29" s="25"/>
      <c r="D29" s="20"/>
      <c r="E29" s="1"/>
      <c r="F29" s="1"/>
    </row>
    <row r="30">
      <c r="A30" s="1"/>
      <c r="B30" s="19"/>
      <c r="C30" s="25"/>
      <c r="D30" s="20"/>
      <c r="E30" s="1"/>
      <c r="F30" s="1"/>
    </row>
    <row r="31">
      <c r="A31" s="1"/>
      <c r="B31" s="19"/>
      <c r="C31" s="7"/>
      <c r="D31" s="20"/>
      <c r="E31" s="1"/>
      <c r="F31" s="1"/>
    </row>
    <row r="32">
      <c r="A32" s="1"/>
      <c r="B32" s="19"/>
      <c r="C32" s="25"/>
      <c r="D32" s="20"/>
      <c r="E32" s="1"/>
      <c r="F32" s="1"/>
    </row>
    <row r="33">
      <c r="A33" s="1"/>
      <c r="B33" s="19"/>
      <c r="C33" s="25"/>
      <c r="D33" s="20"/>
      <c r="E33" s="1"/>
      <c r="F33" s="1"/>
    </row>
    <row r="34">
      <c r="A34" s="1"/>
      <c r="B34" s="19"/>
      <c r="C34" s="25"/>
      <c r="D34" s="20"/>
      <c r="E34" s="1"/>
      <c r="F34" s="1"/>
    </row>
    <row r="35">
      <c r="A35" s="1"/>
      <c r="B35" s="19"/>
      <c r="C35" s="25"/>
      <c r="D35" s="20"/>
      <c r="E35" s="1"/>
      <c r="F35" s="1"/>
    </row>
    <row r="36">
      <c r="A36" s="1"/>
      <c r="B36" s="19"/>
      <c r="C36" s="25"/>
      <c r="D36" s="20"/>
      <c r="E36" s="1"/>
      <c r="F36" s="1"/>
    </row>
    <row r="37">
      <c r="A37" s="1"/>
      <c r="B37" s="19"/>
      <c r="C37" s="25"/>
      <c r="D37" s="20"/>
      <c r="E37" s="1"/>
      <c r="F37" s="1"/>
    </row>
    <row r="38">
      <c r="A38" s="1"/>
      <c r="B38" s="19"/>
      <c r="C38" s="7"/>
      <c r="D38" s="20"/>
      <c r="E38" s="1"/>
      <c r="F38" s="1"/>
    </row>
    <row r="39">
      <c r="A39" s="1"/>
      <c r="B39" s="19"/>
      <c r="C39" s="7"/>
      <c r="D39" s="20"/>
      <c r="E39" s="1"/>
      <c r="F39" s="1"/>
    </row>
    <row r="40">
      <c r="A40" s="1"/>
      <c r="B40" s="19"/>
      <c r="C40" s="25"/>
      <c r="D40" s="20"/>
      <c r="E40" s="1"/>
      <c r="F40" s="1"/>
    </row>
    <row r="41">
      <c r="A41" s="1"/>
      <c r="B41" s="19"/>
      <c r="C41" s="25"/>
      <c r="D41" s="20"/>
      <c r="E41" s="1"/>
      <c r="F41" s="1"/>
    </row>
    <row r="42">
      <c r="A42" s="1"/>
      <c r="B42" s="19"/>
      <c r="C42" s="25"/>
      <c r="D42" s="20"/>
      <c r="E42" s="1"/>
      <c r="F42" s="1"/>
    </row>
    <row r="43">
      <c r="A43" s="1"/>
      <c r="B43" s="19"/>
      <c r="C43" s="25"/>
      <c r="D43" s="20"/>
      <c r="E43" s="1"/>
      <c r="F43" s="1"/>
    </row>
    <row r="44">
      <c r="A44" s="1"/>
      <c r="B44" s="19"/>
      <c r="C44" s="7"/>
      <c r="D44" s="24"/>
      <c r="E44" s="1"/>
      <c r="F44" s="1"/>
    </row>
    <row r="45">
      <c r="A45" s="1"/>
      <c r="F45" s="1"/>
    </row>
    <row r="46">
      <c r="A46" s="1"/>
      <c r="F46" s="1"/>
    </row>
  </sheetData>
  <mergeCells count="1">
    <mergeCell ref="B6:D6"/>
  </mergeCells>
  <conditionalFormatting sqref="C7:C9 C11:C44">
    <cfRule type="cellIs" dxfId="0" priority="1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13"/>
    <col customWidth="1" min="3" max="3" width="13.0"/>
    <col customWidth="1" min="4" max="4" width="12.63"/>
    <col customWidth="1" min="5" max="5" width="9.63"/>
  </cols>
  <sheetData>
    <row r="2">
      <c r="B2" s="3" t="s">
        <v>0</v>
      </c>
      <c r="C2" s="4"/>
      <c r="D2" s="5"/>
      <c r="E2" s="1"/>
    </row>
    <row r="3">
      <c r="B3" s="6" t="s">
        <v>1</v>
      </c>
      <c r="C3" s="7">
        <f>SUMIF($D$8:$D$15, "Steven Rovner",$C$8:$C$15)</f>
        <v>-32102.03333</v>
      </c>
      <c r="D3" s="8">
        <f>-C3/D6</f>
        <v>0.6636689292</v>
      </c>
      <c r="E3" s="38"/>
    </row>
    <row r="4">
      <c r="B4" s="6" t="s">
        <v>53</v>
      </c>
      <c r="C4" s="7">
        <f>SUMIF($D$8:$D$15, "Sam Torres" ,$C$8:$C$15)</f>
        <v>-16268.52</v>
      </c>
      <c r="D4" s="8">
        <f>-C4/D6</f>
        <v>0.3363310708</v>
      </c>
      <c r="E4" s="9"/>
    </row>
    <row r="5">
      <c r="B5" s="10" t="s">
        <v>2</v>
      </c>
      <c r="C5" s="7">
        <f>SUMIF($D$8:$D$11, "Alec Rovner",$C$8:$C$11)</f>
        <v>0</v>
      </c>
      <c r="D5" s="11">
        <f>-C5/D6</f>
        <v>0</v>
      </c>
      <c r="E5" s="1"/>
    </row>
    <row r="6">
      <c r="B6" s="13" t="s">
        <v>3</v>
      </c>
      <c r="C6" s="14"/>
      <c r="D6" s="15">
        <f>-SUM(C3:C5)</f>
        <v>48370.55333</v>
      </c>
      <c r="E6" s="1"/>
    </row>
    <row r="7">
      <c r="B7" s="16" t="s">
        <v>4</v>
      </c>
      <c r="C7" s="17" t="s">
        <v>5</v>
      </c>
      <c r="D7" s="18" t="s">
        <v>6</v>
      </c>
      <c r="E7" s="18" t="s">
        <v>7</v>
      </c>
    </row>
    <row r="8">
      <c r="B8" s="19" t="s">
        <v>54</v>
      </c>
      <c r="C8" s="7">
        <v>-900000.0</v>
      </c>
      <c r="D8" s="24" t="s">
        <v>9</v>
      </c>
      <c r="E8" s="27">
        <v>45519.0</v>
      </c>
    </row>
    <row r="9">
      <c r="B9" s="19" t="s">
        <v>55</v>
      </c>
      <c r="C9" s="7">
        <v>851629.45</v>
      </c>
      <c r="D9" s="24" t="s">
        <v>9</v>
      </c>
      <c r="E9" s="27">
        <v>45548.0</v>
      </c>
    </row>
    <row r="10">
      <c r="B10" s="19" t="s">
        <v>56</v>
      </c>
      <c r="C10" s="7">
        <v>10123.516666666681</v>
      </c>
      <c r="D10" s="24" t="s">
        <v>9</v>
      </c>
      <c r="E10" s="27">
        <v>45565.0</v>
      </c>
    </row>
    <row r="11">
      <c r="B11" s="19" t="s">
        <v>57</v>
      </c>
      <c r="C11" s="7">
        <v>6145.0</v>
      </c>
      <c r="D11" s="24" t="s">
        <v>9</v>
      </c>
      <c r="E11" s="27">
        <v>45565.0</v>
      </c>
    </row>
    <row r="12">
      <c r="B12" s="19" t="s">
        <v>58</v>
      </c>
      <c r="C12" s="7">
        <v>-16268.52</v>
      </c>
      <c r="D12" s="24" t="s">
        <v>59</v>
      </c>
      <c r="E12" s="27">
        <f>E9</f>
        <v>45548</v>
      </c>
    </row>
  </sheetData>
  <mergeCells count="1">
    <mergeCell ref="B2:D2"/>
  </mergeCells>
  <conditionalFormatting sqref="C3:C5 C8:C12">
    <cfRule type="cellIs" dxfId="0" priority="1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13"/>
    <col customWidth="1" min="3" max="3" width="13.0"/>
    <col customWidth="1" min="4" max="4" width="12.63"/>
    <col customWidth="1" min="5" max="5" width="9.63"/>
  </cols>
  <sheetData>
    <row r="2">
      <c r="B2" s="3" t="s">
        <v>0</v>
      </c>
      <c r="C2" s="4"/>
      <c r="D2" s="5"/>
      <c r="E2" s="1"/>
    </row>
    <row r="3">
      <c r="B3" s="6" t="s">
        <v>1</v>
      </c>
      <c r="C3" s="7">
        <f>SUMIF($D$10:$D$17, "Steven Rovner",$C$10:$C$17)</f>
        <v>-69180.48</v>
      </c>
      <c r="D3" s="8">
        <f>-C3/D8</f>
        <v>0.4987266626</v>
      </c>
      <c r="E3" s="9"/>
    </row>
    <row r="4" ht="17.25" customHeight="1">
      <c r="B4" s="6" t="s">
        <v>60</v>
      </c>
      <c r="C4" s="7">
        <f>SUMIF($D$10:$D$17, "Sam Torres" ,$C$10:$C$17)</f>
        <v>-69180.48</v>
      </c>
      <c r="D4" s="8">
        <f>-C4/D8</f>
        <v>0.4987266626</v>
      </c>
      <c r="E4" s="1"/>
    </row>
    <row r="5">
      <c r="B5" s="6" t="s">
        <v>61</v>
      </c>
      <c r="C5" s="7">
        <f>SUMIF($D$10:$D$17, "Campus Rentals LLC" ,$C$10:$C$17)</f>
        <v>-122</v>
      </c>
      <c r="D5" s="8">
        <f>-C5/D8</f>
        <v>0.0008795060809</v>
      </c>
      <c r="E5" s="1"/>
    </row>
    <row r="6">
      <c r="B6" s="6" t="s">
        <v>62</v>
      </c>
      <c r="C6" s="7">
        <f>SUMIF($D$10:$D$17, "Campus Rentals 2 LLC" ,$C$10:$C$17)</f>
        <v>-231.26</v>
      </c>
      <c r="D6" s="8">
        <f>-C6/D8</f>
        <v>0.001667168658</v>
      </c>
      <c r="E6" s="1"/>
    </row>
    <row r="7">
      <c r="B7" s="10" t="s">
        <v>2</v>
      </c>
      <c r="C7" s="7">
        <f>SUMIF($D$10:$D$13, "Alec Rovner",$C$10:$C$13)</f>
        <v>0</v>
      </c>
      <c r="D7" s="11"/>
      <c r="E7" s="1"/>
    </row>
    <row r="8">
      <c r="B8" s="13" t="s">
        <v>3</v>
      </c>
      <c r="C8" s="14"/>
      <c r="D8" s="15">
        <f>-SUM(C3:C7)</f>
        <v>138714.22</v>
      </c>
      <c r="E8" s="1"/>
    </row>
    <row r="9">
      <c r="B9" s="16" t="s">
        <v>4</v>
      </c>
      <c r="C9" s="17" t="s">
        <v>5</v>
      </c>
      <c r="D9" s="18" t="s">
        <v>6</v>
      </c>
      <c r="E9" s="18" t="s">
        <v>7</v>
      </c>
    </row>
    <row r="10">
      <c r="B10" s="19" t="s">
        <v>63</v>
      </c>
      <c r="C10" s="7">
        <v>-70000.0</v>
      </c>
      <c r="D10" s="24" t="s">
        <v>9</v>
      </c>
      <c r="E10" s="27">
        <v>45576.0</v>
      </c>
    </row>
    <row r="11">
      <c r="B11" s="19" t="s">
        <v>64</v>
      </c>
      <c r="C11" s="7">
        <v>-4300.0</v>
      </c>
      <c r="D11" s="24" t="s">
        <v>59</v>
      </c>
      <c r="E11" s="27">
        <v>45580.0</v>
      </c>
    </row>
    <row r="12">
      <c r="B12" s="19" t="s">
        <v>63</v>
      </c>
      <c r="C12" s="7">
        <v>-64880.48</v>
      </c>
      <c r="D12" s="24" t="s">
        <v>59</v>
      </c>
      <c r="E12" s="27">
        <v>45580.0</v>
      </c>
    </row>
    <row r="13">
      <c r="B13" s="19" t="s">
        <v>65</v>
      </c>
      <c r="C13" s="7">
        <v>819.52</v>
      </c>
      <c r="D13" s="24" t="s">
        <v>9</v>
      </c>
      <c r="E13" s="27">
        <v>45615.0</v>
      </c>
    </row>
    <row r="14">
      <c r="B14" s="19" t="s">
        <v>66</v>
      </c>
      <c r="C14" s="7">
        <v>-550.0</v>
      </c>
      <c r="D14" s="24" t="s">
        <v>59</v>
      </c>
      <c r="E14" s="27">
        <v>45580.0</v>
      </c>
    </row>
    <row r="15">
      <c r="B15" s="19" t="s">
        <v>67</v>
      </c>
      <c r="C15" s="7">
        <v>550.0</v>
      </c>
      <c r="D15" s="24" t="s">
        <v>59</v>
      </c>
      <c r="E15" s="27">
        <v>45615.0</v>
      </c>
    </row>
    <row r="16">
      <c r="B16" s="19" t="s">
        <v>68</v>
      </c>
      <c r="C16" s="7">
        <v>-122.0</v>
      </c>
      <c r="D16" s="24" t="s">
        <v>69</v>
      </c>
      <c r="E16" s="27">
        <v>45615.0</v>
      </c>
    </row>
    <row r="17">
      <c r="B17" s="19" t="s">
        <v>70</v>
      </c>
      <c r="C17" s="7">
        <v>-231.26</v>
      </c>
      <c r="D17" s="24" t="s">
        <v>71</v>
      </c>
      <c r="E17" s="27">
        <v>45675.0</v>
      </c>
    </row>
  </sheetData>
  <mergeCells count="1">
    <mergeCell ref="B2:D2"/>
  </mergeCells>
  <conditionalFormatting sqref="C3:C7 C10:C17">
    <cfRule type="cellIs" dxfId="0" priority="1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39" t="s">
        <v>72</v>
      </c>
    </row>
    <row r="2">
      <c r="A2" s="39" t="s">
        <v>73</v>
      </c>
      <c r="B2" s="40">
        <v>428642.27</v>
      </c>
      <c r="C2" s="41"/>
      <c r="D2" s="42"/>
      <c r="E2" s="43" t="s">
        <v>74</v>
      </c>
      <c r="F2" s="43" t="s">
        <v>75</v>
      </c>
      <c r="G2" s="39" t="s">
        <v>76</v>
      </c>
      <c r="H2" s="39" t="s">
        <v>77</v>
      </c>
    </row>
    <row r="3">
      <c r="A3" s="41" t="s">
        <v>78</v>
      </c>
      <c r="B3" s="44">
        <f>13200*12/1610000</f>
        <v>0.09838509317</v>
      </c>
      <c r="C3" s="41"/>
      <c r="D3" s="42"/>
      <c r="E3" s="41" t="s">
        <v>79</v>
      </c>
      <c r="F3" s="40">
        <v>300000.0</v>
      </c>
      <c r="G3" s="39">
        <v>5858.59</v>
      </c>
      <c r="H3" s="45">
        <v>7595.335213145612</v>
      </c>
    </row>
    <row r="4">
      <c r="A4" s="41" t="s">
        <v>80</v>
      </c>
      <c r="B4" s="42">
        <f>7200*12</f>
        <v>86400</v>
      </c>
      <c r="E4" s="41" t="s">
        <v>81</v>
      </c>
      <c r="F4" s="40">
        <v>169410.5</v>
      </c>
      <c r="G4" s="46">
        <f>1175.41+5133.55</f>
        <v>6308.96</v>
      </c>
      <c r="H4" s="45">
        <v>6092.091785543876</v>
      </c>
    </row>
    <row r="5">
      <c r="A5" s="41" t="s">
        <v>82</v>
      </c>
      <c r="B5" s="46">
        <f>B4/B3</f>
        <v>878181.8182</v>
      </c>
      <c r="E5" s="41" t="s">
        <v>83</v>
      </c>
      <c r="F5" s="40">
        <v>400000.0</v>
      </c>
      <c r="G5" s="39">
        <v>4781.63</v>
      </c>
      <c r="H5" s="45">
        <v>6645.918311502411</v>
      </c>
    </row>
    <row r="6">
      <c r="A6" s="41" t="s">
        <v>84</v>
      </c>
      <c r="B6" s="40">
        <f>B5*0.65</f>
        <v>570818.1818</v>
      </c>
      <c r="E6" s="41" t="s">
        <v>85</v>
      </c>
      <c r="F6" s="40">
        <v>180000.0</v>
      </c>
      <c r="G6" s="39">
        <v>6576.0</v>
      </c>
      <c r="H6" s="45">
        <v>6645.918311502411</v>
      </c>
    </row>
    <row r="7">
      <c r="A7" s="41" t="s">
        <v>86</v>
      </c>
      <c r="B7" s="40">
        <f>B6-B2</f>
        <v>142175.9118</v>
      </c>
      <c r="E7" s="41" t="s">
        <v>87</v>
      </c>
      <c r="F7" s="40">
        <v>140000.0</v>
      </c>
      <c r="G7" s="39">
        <v>3299.0</v>
      </c>
      <c r="H7" s="45">
        <v>3797.667606572806</v>
      </c>
    </row>
    <row r="8">
      <c r="A8" s="42"/>
      <c r="B8" s="40"/>
      <c r="E8" s="47" t="s">
        <v>88</v>
      </c>
      <c r="F8" s="40">
        <v>1169410.5</v>
      </c>
      <c r="G8" s="46">
        <f t="shared" ref="G8:H8" si="1">SUM(G3:G7)</f>
        <v>26824.18</v>
      </c>
      <c r="H8" s="48">
        <f t="shared" si="1"/>
        <v>30776.93123</v>
      </c>
    </row>
    <row r="9">
      <c r="A9" s="41" t="s">
        <v>89</v>
      </c>
      <c r="B9" s="40">
        <f>-PMT(0.07/12, 360, B6)</f>
        <v>3797.667607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15.25"/>
    <col customWidth="1" min="3" max="4" width="13.13"/>
    <col customWidth="1" min="5" max="5" width="13.75"/>
    <col customWidth="1" min="6" max="6" width="13.38"/>
    <col customWidth="1" min="7" max="7" width="14.0"/>
    <col customWidth="1" min="8" max="8" width="13.75"/>
  </cols>
  <sheetData>
    <row r="1">
      <c r="A1" s="49" t="s">
        <v>90</v>
      </c>
      <c r="B1" s="50"/>
    </row>
    <row r="2">
      <c r="A2" s="51" t="s">
        <v>91</v>
      </c>
      <c r="B2" s="52">
        <v>15000.0</v>
      </c>
    </row>
    <row r="3">
      <c r="A3" s="53" t="s">
        <v>92</v>
      </c>
      <c r="B3" s="54" t="s">
        <v>93</v>
      </c>
      <c r="C3" s="54" t="s">
        <v>94</v>
      </c>
      <c r="D3" s="54" t="s">
        <v>95</v>
      </c>
      <c r="E3" s="54" t="s">
        <v>96</v>
      </c>
      <c r="F3" s="54" t="s">
        <v>97</v>
      </c>
      <c r="G3" s="54" t="s">
        <v>98</v>
      </c>
      <c r="H3" s="54" t="s">
        <v>99</v>
      </c>
      <c r="I3" s="55"/>
    </row>
    <row r="4">
      <c r="A4" s="56">
        <f>'Campus Rentals Residential Port'!D9</f>
        <v>-1140481.04</v>
      </c>
      <c r="B4" s="57">
        <f>-'Campus Rentals Residential Port'!C8</f>
        <v>125482.32</v>
      </c>
      <c r="C4" s="57">
        <f>-'Campus Rentals Residential Port'!C7</f>
        <v>1014998.72</v>
      </c>
      <c r="D4" s="58">
        <f>B4+C4</f>
        <v>1140481.04</v>
      </c>
      <c r="E4" s="57">
        <f>B2*12</f>
        <v>180000</v>
      </c>
      <c r="F4" s="59">
        <v>0.15</v>
      </c>
      <c r="G4" s="60">
        <v>0.2</v>
      </c>
      <c r="H4" s="59">
        <v>0.25</v>
      </c>
      <c r="I4" s="61"/>
    </row>
    <row r="5">
      <c r="A5" s="62"/>
      <c r="B5" s="63"/>
      <c r="C5" s="63"/>
      <c r="D5" s="63"/>
      <c r="E5" s="63"/>
      <c r="F5" s="63"/>
      <c r="G5" s="63"/>
      <c r="H5" s="63"/>
      <c r="I5" s="61"/>
    </row>
    <row r="6">
      <c r="A6" s="64" t="s">
        <v>100</v>
      </c>
      <c r="B6" s="65" t="s">
        <v>101</v>
      </c>
      <c r="C6" s="65" t="s">
        <v>102</v>
      </c>
      <c r="D6" s="65" t="s">
        <v>103</v>
      </c>
      <c r="E6" s="65" t="s">
        <v>104</v>
      </c>
      <c r="F6" s="65" t="s">
        <v>105</v>
      </c>
      <c r="G6" s="65" t="s">
        <v>106</v>
      </c>
      <c r="H6" s="65" t="s">
        <v>107</v>
      </c>
      <c r="I6" s="66" t="s">
        <v>108</v>
      </c>
    </row>
    <row r="7">
      <c r="A7" s="67">
        <f>D4*F4</f>
        <v>171072.156</v>
      </c>
      <c r="B7" s="58">
        <f>D4*G4</f>
        <v>228096.208</v>
      </c>
      <c r="C7" s="58">
        <f>D4*H4</f>
        <v>285120.26</v>
      </c>
      <c r="D7" s="68">
        <f>B4/D4</f>
        <v>0.1100257835</v>
      </c>
      <c r="E7" s="68">
        <f>C4/D4</f>
        <v>0.8899742165</v>
      </c>
      <c r="F7" s="68">
        <f>D7+0.15</f>
        <v>0.2600257835</v>
      </c>
      <c r="G7" s="68">
        <f>1-F7</f>
        <v>0.7399742165</v>
      </c>
      <c r="H7" s="68">
        <f>F7+0.15</f>
        <v>0.4100257835</v>
      </c>
      <c r="I7" s="69">
        <f>1-H7</f>
        <v>0.5899742165</v>
      </c>
    </row>
    <row r="8">
      <c r="A8" s="62"/>
      <c r="B8" s="63"/>
      <c r="C8" s="63"/>
      <c r="D8" s="63"/>
      <c r="E8" s="63"/>
      <c r="F8" s="63"/>
      <c r="G8" s="70"/>
      <c r="H8" s="70"/>
      <c r="I8" s="61"/>
    </row>
    <row r="9">
      <c r="A9" s="64" t="s">
        <v>109</v>
      </c>
      <c r="B9" s="65" t="s">
        <v>110</v>
      </c>
      <c r="C9" s="65" t="s">
        <v>111</v>
      </c>
      <c r="D9" s="65" t="s">
        <v>112</v>
      </c>
      <c r="E9" s="65" t="s">
        <v>113</v>
      </c>
      <c r="F9" s="71" t="s">
        <v>114</v>
      </c>
      <c r="G9" s="72" t="s">
        <v>115</v>
      </c>
      <c r="H9" s="73" t="s">
        <v>116</v>
      </c>
      <c r="I9" s="74"/>
    </row>
    <row r="10">
      <c r="A10" s="75">
        <f>MIN(E4,A7)*D7</f>
        <v>18822.348</v>
      </c>
      <c r="B10" s="76">
        <f>MIN(E4,A7)*E7</f>
        <v>152249.808</v>
      </c>
      <c r="C10" s="76">
        <f>MIN(MAX(E4-A7,0),B7-A7)*F7</f>
        <v>2321.469631</v>
      </c>
      <c r="D10" s="76">
        <f>MIN(MAX(E4-A7,0),B7-A7)*G7</f>
        <v>6606.374369</v>
      </c>
      <c r="E10" s="76">
        <f>MAX(E4-B7,0)*H7</f>
        <v>0</v>
      </c>
      <c r="F10" s="77">
        <f>MAX(E4-B7,0)*I7</f>
        <v>0</v>
      </c>
      <c r="G10" s="78">
        <f t="shared" ref="G10:H10" si="1">A10+C10+E10</f>
        <v>21143.81763</v>
      </c>
      <c r="H10" s="79">
        <f t="shared" si="1"/>
        <v>158856.1824</v>
      </c>
      <c r="I10" s="80"/>
    </row>
    <row r="12">
      <c r="A12" s="49" t="s">
        <v>117</v>
      </c>
      <c r="B12" s="50"/>
    </row>
    <row r="13">
      <c r="A13" s="51" t="s">
        <v>91</v>
      </c>
      <c r="B13" s="52">
        <v>20000.0</v>
      </c>
    </row>
    <row r="14">
      <c r="A14" s="53" t="s">
        <v>92</v>
      </c>
      <c r="B14" s="54" t="s">
        <v>93</v>
      </c>
      <c r="C14" s="54" t="s">
        <v>94</v>
      </c>
      <c r="D14" s="54" t="s">
        <v>95</v>
      </c>
      <c r="E14" s="54" t="s">
        <v>96</v>
      </c>
      <c r="F14" s="54" t="s">
        <v>97</v>
      </c>
      <c r="G14" s="54" t="s">
        <v>98</v>
      </c>
      <c r="H14" s="54" t="s">
        <v>99</v>
      </c>
      <c r="I14" s="55"/>
    </row>
    <row r="15">
      <c r="A15" s="56">
        <f t="shared" ref="A15:C15" si="2">A4</f>
        <v>-1140481.04</v>
      </c>
      <c r="B15" s="57">
        <f t="shared" si="2"/>
        <v>125482.32</v>
      </c>
      <c r="C15" s="57">
        <f t="shared" si="2"/>
        <v>1014998.72</v>
      </c>
      <c r="D15" s="58">
        <f>B15+C15</f>
        <v>1140481.04</v>
      </c>
      <c r="E15" s="57">
        <f>B13*12</f>
        <v>240000</v>
      </c>
      <c r="F15" s="59">
        <v>0.15</v>
      </c>
      <c r="G15" s="60">
        <v>0.225</v>
      </c>
      <c r="H15" s="81">
        <f>G15+0.075</f>
        <v>0.3</v>
      </c>
      <c r="I15" s="61"/>
    </row>
    <row r="16">
      <c r="A16" s="62"/>
      <c r="B16" s="63"/>
      <c r="C16" s="63"/>
      <c r="D16" s="63"/>
      <c r="E16" s="63"/>
      <c r="F16" s="63"/>
      <c r="G16" s="63"/>
      <c r="H16" s="63"/>
      <c r="I16" s="61"/>
    </row>
    <row r="17">
      <c r="A17" s="64" t="s">
        <v>100</v>
      </c>
      <c r="B17" s="65" t="s">
        <v>101</v>
      </c>
      <c r="C17" s="65" t="s">
        <v>102</v>
      </c>
      <c r="D17" s="65" t="s">
        <v>103</v>
      </c>
      <c r="E17" s="65" t="s">
        <v>104</v>
      </c>
      <c r="F17" s="65" t="s">
        <v>105</v>
      </c>
      <c r="G17" s="65" t="s">
        <v>106</v>
      </c>
      <c r="H17" s="65" t="s">
        <v>107</v>
      </c>
      <c r="I17" s="66" t="s">
        <v>108</v>
      </c>
    </row>
    <row r="18">
      <c r="A18" s="67">
        <f>D15*F15</f>
        <v>171072.156</v>
      </c>
      <c r="B18" s="58">
        <f>D15*G15</f>
        <v>256608.234</v>
      </c>
      <c r="C18" s="58">
        <f>D15*H15</f>
        <v>342144.312</v>
      </c>
      <c r="D18" s="68">
        <f>B15/D15</f>
        <v>0.1100257835</v>
      </c>
      <c r="E18" s="68">
        <f>C15/D15</f>
        <v>0.8899742165</v>
      </c>
      <c r="F18" s="68">
        <f>D18+0.15</f>
        <v>0.2600257835</v>
      </c>
      <c r="G18" s="68">
        <f>1-F18</f>
        <v>0.7399742165</v>
      </c>
      <c r="H18" s="68">
        <f>F18+0.15</f>
        <v>0.4100257835</v>
      </c>
      <c r="I18" s="69">
        <f>1-H18</f>
        <v>0.5899742165</v>
      </c>
    </row>
    <row r="19">
      <c r="A19" s="62"/>
      <c r="B19" s="63"/>
      <c r="C19" s="63"/>
      <c r="D19" s="63"/>
      <c r="E19" s="63"/>
      <c r="F19" s="63"/>
      <c r="G19" s="70"/>
      <c r="H19" s="70"/>
      <c r="I19" s="61"/>
    </row>
    <row r="20">
      <c r="A20" s="64" t="s">
        <v>109</v>
      </c>
      <c r="B20" s="65" t="s">
        <v>110</v>
      </c>
      <c r="C20" s="65" t="s">
        <v>111</v>
      </c>
      <c r="D20" s="65" t="s">
        <v>112</v>
      </c>
      <c r="E20" s="65" t="s">
        <v>113</v>
      </c>
      <c r="F20" s="71" t="s">
        <v>114</v>
      </c>
      <c r="G20" s="72" t="s">
        <v>115</v>
      </c>
      <c r="H20" s="73" t="s">
        <v>116</v>
      </c>
      <c r="I20" s="74"/>
    </row>
    <row r="21">
      <c r="A21" s="75">
        <f>MIN(E15,A18)*D18</f>
        <v>18822.348</v>
      </c>
      <c r="B21" s="76">
        <f>MIN(E15,A18)*E18</f>
        <v>152249.808</v>
      </c>
      <c r="C21" s="76">
        <f>MIN(MAX(E15-A18,0),B18-A18)*F18</f>
        <v>17923.01664</v>
      </c>
      <c r="D21" s="76">
        <f>MIN(MAX(E15-A18,0),B18-A18)*G18</f>
        <v>51004.82736</v>
      </c>
      <c r="E21" s="76">
        <f>MAX(E15-B18,0)*H18</f>
        <v>0</v>
      </c>
      <c r="F21" s="77">
        <f>MAX(E15-B18,0)*I18</f>
        <v>0</v>
      </c>
      <c r="G21" s="78">
        <f t="shared" ref="G21:H21" si="3">A21+C21+E21</f>
        <v>36745.36464</v>
      </c>
      <c r="H21" s="79">
        <f t="shared" si="3"/>
        <v>203254.6354</v>
      </c>
      <c r="I21" s="80"/>
    </row>
  </sheetData>
  <drawing r:id="rId1"/>
</worksheet>
</file>