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8870" windowHeight="79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33" i="1" l="1"/>
  <c r="P33" i="1"/>
  <c r="Y22" i="1"/>
  <c r="X22" i="1"/>
  <c r="W22" i="1"/>
  <c r="V22" i="1"/>
  <c r="G30" i="1"/>
  <c r="F30" i="1"/>
  <c r="M30" i="1"/>
  <c r="K30" i="1"/>
  <c r="L30" i="1"/>
  <c r="J30" i="1"/>
  <c r="Q30" i="1"/>
  <c r="P30" i="1"/>
  <c r="Q26" i="1"/>
  <c r="P26" i="1"/>
  <c r="T17" i="1"/>
  <c r="T16" i="1"/>
  <c r="T14" i="1"/>
  <c r="T13" i="1"/>
  <c r="T11" i="1"/>
  <c r="T10" i="1"/>
  <c r="P22" i="1"/>
  <c r="Q22" i="1" s="1"/>
  <c r="E18" i="1" l="1"/>
  <c r="D18" i="1"/>
  <c r="C18" i="1"/>
  <c r="P17" i="1"/>
  <c r="Q17" i="1" s="1"/>
  <c r="M17" i="1"/>
  <c r="L17" i="1"/>
  <c r="K17" i="1"/>
  <c r="J17" i="1"/>
  <c r="P16" i="1"/>
  <c r="M16" i="1"/>
  <c r="M24" i="1" s="1"/>
  <c r="L16" i="1"/>
  <c r="L24" i="1" s="1"/>
  <c r="K16" i="1"/>
  <c r="K24" i="1" s="1"/>
  <c r="J16" i="1"/>
  <c r="J24" i="1" s="1"/>
  <c r="P15" i="1"/>
  <c r="M15" i="1"/>
  <c r="L15" i="1"/>
  <c r="K15" i="1"/>
  <c r="J15" i="1"/>
  <c r="P14" i="1"/>
  <c r="Q14" i="1" s="1"/>
  <c r="M14" i="1"/>
  <c r="L14" i="1"/>
  <c r="K14" i="1"/>
  <c r="J14" i="1"/>
  <c r="Q13" i="1"/>
  <c r="P13" i="1"/>
  <c r="M13" i="1"/>
  <c r="L13" i="1"/>
  <c r="K13" i="1"/>
  <c r="J13" i="1"/>
  <c r="P12" i="1"/>
  <c r="M12" i="1"/>
  <c r="L12" i="1"/>
  <c r="K12" i="1"/>
  <c r="J12" i="1"/>
  <c r="AC11" i="1"/>
  <c r="AB11" i="1"/>
  <c r="P11" i="1"/>
  <c r="Q11" i="1" s="1"/>
  <c r="M11" i="1"/>
  <c r="M22" i="1" s="1"/>
  <c r="L11" i="1"/>
  <c r="L22" i="1" s="1"/>
  <c r="K11" i="1"/>
  <c r="K22" i="1" s="1"/>
  <c r="J11" i="1"/>
  <c r="J22" i="1" s="1"/>
  <c r="AC10" i="1"/>
  <c r="AB10" i="1"/>
  <c r="P10" i="1"/>
  <c r="M10" i="1"/>
  <c r="L10" i="1"/>
  <c r="K10" i="1"/>
  <c r="J10" i="1"/>
  <c r="E4" i="1"/>
  <c r="D4" i="1"/>
  <c r="C4" i="1"/>
  <c r="O3" i="1"/>
  <c r="N3" i="1"/>
  <c r="M3" i="1"/>
  <c r="K3" i="1"/>
  <c r="J3" i="1"/>
  <c r="J4" i="1" s="1"/>
  <c r="N2" i="1"/>
  <c r="M2" i="1"/>
  <c r="O2" i="1" s="1"/>
  <c r="P2" i="1" s="1"/>
  <c r="K2" i="1"/>
  <c r="K4" i="1" s="1"/>
  <c r="J2" i="1"/>
  <c r="F24" i="1" l="1"/>
  <c r="P24" i="1" s="1"/>
  <c r="Q16" i="1"/>
  <c r="Q28" i="1" s="1"/>
  <c r="P28" i="1"/>
  <c r="P19" i="1"/>
  <c r="L18" i="1"/>
  <c r="J18" i="1"/>
  <c r="M18" i="1"/>
  <c r="F22" i="1"/>
  <c r="G22" i="1"/>
  <c r="K18" i="1"/>
  <c r="P18" i="1"/>
  <c r="Q10" i="1"/>
  <c r="Q18" i="1" s="1"/>
  <c r="F18" i="1" l="1"/>
  <c r="G18" i="1" s="1"/>
  <c r="G24" i="1"/>
  <c r="Q24" i="1" s="1"/>
</calcChain>
</file>

<file path=xl/sharedStrings.xml><?xml version="1.0" encoding="utf-8"?>
<sst xmlns="http://schemas.openxmlformats.org/spreadsheetml/2006/main" count="54" uniqueCount="44">
  <si>
    <t>Track</t>
  </si>
  <si>
    <t>Identity</t>
  </si>
  <si>
    <t>Q</t>
  </si>
  <si>
    <t>B</t>
  </si>
  <si>
    <t>S</t>
  </si>
  <si>
    <t>p [Mev/c]</t>
  </si>
  <si>
    <t>p_err</t>
  </si>
  <si>
    <t>m[MeV]</t>
  </si>
  <si>
    <t>m_err</t>
  </si>
  <si>
    <t>E</t>
  </si>
  <si>
    <t>E_err</t>
  </si>
  <si>
    <t>p_si</t>
  </si>
  <si>
    <t>m_si</t>
  </si>
  <si>
    <t>v_si</t>
  </si>
  <si>
    <t>inc pi+</t>
  </si>
  <si>
    <t>proton</t>
  </si>
  <si>
    <t>total</t>
  </si>
  <si>
    <t>p [MeV/c]</t>
  </si>
  <si>
    <t>angle</t>
  </si>
  <si>
    <t>ang_err</t>
  </si>
  <si>
    <t>p_x</t>
  </si>
  <si>
    <t>p_x_err</t>
  </si>
  <si>
    <t>p_y</t>
  </si>
  <si>
    <t>p_y_err</t>
  </si>
  <si>
    <t>ang_1</t>
  </si>
  <si>
    <t>ang_2</t>
  </si>
  <si>
    <t>ang_3</t>
  </si>
  <si>
    <t>ang_4</t>
  </si>
  <si>
    <t>NU</t>
  </si>
  <si>
    <t>NL</t>
  </si>
  <si>
    <t>Track Identifier</t>
  </si>
  <si>
    <t>n/a</t>
  </si>
  <si>
    <t>rel_ion</t>
  </si>
  <si>
    <t>ion_den</t>
  </si>
  <si>
    <t>Outgoing Tracks</t>
  </si>
  <si>
    <t>2 and 3</t>
  </si>
  <si>
    <t>Lambda_0</t>
  </si>
  <si>
    <t>K_0</t>
  </si>
  <si>
    <t>6 and 7</t>
  </si>
  <si>
    <t>neutrals and 4 and 5</t>
  </si>
  <si>
    <t>m_si [kg]</t>
  </si>
  <si>
    <t>m[MeV /c^2]</t>
  </si>
  <si>
    <t>p_si [kg m /s]</t>
  </si>
  <si>
    <t>d_si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</si>
</sst>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E26" sqref="E26"/>
    </sheetView>
  </sheetViews>
  <sheetFormatPr defaultColWidth="9" defaultRowHeight="15"/>
  <cols>
    <col min="6" max="7" width="12.85546875"/>
    <col min="11" max="11" width="12.85546875"/>
    <col min="13" max="14" width="12.85546875"/>
    <col min="15" max="15" width="9.5703125"/>
    <col min="16" max="17" width="12.85546875"/>
    <col min="22" max="24" width="12" bestFit="1" customWidth="1"/>
    <col min="25" max="25" width="12.85546875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R1" t="s">
        <v>33</v>
      </c>
    </row>
    <row r="2" spans="1:29">
      <c r="A2">
        <v>1</v>
      </c>
      <c r="B2" t="s">
        <v>14</v>
      </c>
      <c r="C2">
        <v>1</v>
      </c>
      <c r="D2">
        <v>1</v>
      </c>
      <c r="E2">
        <v>0</v>
      </c>
      <c r="F2">
        <v>10400</v>
      </c>
      <c r="G2">
        <v>800</v>
      </c>
      <c r="H2">
        <v>139.57</v>
      </c>
      <c r="I2">
        <v>5.0000000000000001E-3</v>
      </c>
      <c r="J2">
        <f>SUMSQ(F2,H2)^0.5</f>
        <v>10400.936485956445</v>
      </c>
      <c r="K2">
        <f>G2*F2/J2</f>
        <v>799.9279691048813</v>
      </c>
      <c r="M2">
        <f>H2*(10^6)*1.602*(10^-19)</f>
        <v>2.2359114E-11</v>
      </c>
      <c r="N2">
        <f>H2*(10^6)*1.602*(10^-19)/(3*10^8)^2</f>
        <v>2.484346E-28</v>
      </c>
      <c r="O2">
        <f>9*(10^16)*M2^2/((9*10^16)*N2^2+M2^2)</f>
        <v>9E+16</v>
      </c>
      <c r="P2">
        <f>SQRT(O2)</f>
        <v>300000000</v>
      </c>
      <c r="R2">
        <v>132</v>
      </c>
    </row>
    <row r="3" spans="1:29">
      <c r="A3" t="s">
        <v>31</v>
      </c>
      <c r="B3" t="s">
        <v>15</v>
      </c>
      <c r="C3">
        <v>1</v>
      </c>
      <c r="D3">
        <v>0</v>
      </c>
      <c r="E3">
        <v>0</v>
      </c>
      <c r="F3">
        <v>0</v>
      </c>
      <c r="G3">
        <v>1E-3</v>
      </c>
      <c r="H3">
        <v>938.28</v>
      </c>
      <c r="I3">
        <v>5.0000000000000001E-3</v>
      </c>
      <c r="J3">
        <f>SUMSQ(F3,H3)^0.5</f>
        <v>938.28</v>
      </c>
      <c r="K3">
        <f>(SUMSQ(G3,I3))^0.5</f>
        <v>5.0990195135927853E-3</v>
      </c>
      <c r="M3">
        <f>F3*(10^6)*1.602*(10^-19)/(3*10^8)^2</f>
        <v>0</v>
      </c>
      <c r="N3">
        <f>H3*(10^6)*1.602*(10^-19)/(3*10^8)^2</f>
        <v>1.6701383999999999E-27</v>
      </c>
      <c r="O3">
        <f>9*(10^16)*M3^2/((9*10^16)*N3^2+M3^2)</f>
        <v>0</v>
      </c>
    </row>
    <row r="4" spans="1:29">
      <c r="A4" t="s">
        <v>16</v>
      </c>
      <c r="C4">
        <f>C2+C3</f>
        <v>2</v>
      </c>
      <c r="D4">
        <f>D2+D3</f>
        <v>1</v>
      </c>
      <c r="E4">
        <f>E2+E3</f>
        <v>0</v>
      </c>
      <c r="J4">
        <f>J2+J3</f>
        <v>11339.216485956445</v>
      </c>
      <c r="K4">
        <f>SUMSQ(K2,K3)^0.5</f>
        <v>799.92796912113272</v>
      </c>
    </row>
    <row r="8" spans="1:29">
      <c r="A8" s="3" t="s">
        <v>34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9">
      <c r="A9" t="s">
        <v>30</v>
      </c>
      <c r="C9" t="s">
        <v>2</v>
      </c>
      <c r="D9" t="s">
        <v>3</v>
      </c>
      <c r="E9" t="s">
        <v>4</v>
      </c>
      <c r="F9" t="s">
        <v>17</v>
      </c>
      <c r="G9" t="s">
        <v>6</v>
      </c>
      <c r="H9" t="s">
        <v>18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41</v>
      </c>
      <c r="O9" t="s">
        <v>8</v>
      </c>
      <c r="P9" t="s">
        <v>9</v>
      </c>
      <c r="Q9" t="s">
        <v>10</v>
      </c>
      <c r="R9" t="s">
        <v>33</v>
      </c>
      <c r="T9" t="s">
        <v>32</v>
      </c>
      <c r="W9" t="s">
        <v>24</v>
      </c>
      <c r="X9" t="s">
        <v>25</v>
      </c>
      <c r="Y9" t="s">
        <v>26</v>
      </c>
      <c r="Z9" t="s">
        <v>27</v>
      </c>
    </row>
    <row r="10" spans="1:29">
      <c r="A10">
        <v>2</v>
      </c>
      <c r="C10">
        <v>1</v>
      </c>
      <c r="D10">
        <v>1</v>
      </c>
      <c r="E10">
        <v>0</v>
      </c>
      <c r="F10">
        <v>432</v>
      </c>
      <c r="G10">
        <v>40</v>
      </c>
      <c r="H10">
        <v>23</v>
      </c>
      <c r="I10">
        <v>0.2</v>
      </c>
      <c r="J10">
        <f>F10*COS(H10*PI()/180)</f>
        <v>397.65809669145426</v>
      </c>
      <c r="K10">
        <f>SQRT(G10^2*(COS(H10*PI()/180))^2+(I10*PI()/180)^2*(F10*SIN(H10*PI()/180))^2)</f>
        <v>36.824908190148321</v>
      </c>
      <c r="L10">
        <f>F10*SIN(H10*PI()/180)</f>
        <v>168.79584750736623</v>
      </c>
      <c r="M10">
        <f>SQRT(G10^2*(SIN(H10*PI()/180))^2+(I10*PI()/180)^2*(F10*COS(H10*PI()/180))^2)</f>
        <v>15.69076459708571</v>
      </c>
      <c r="N10">
        <v>938.28</v>
      </c>
      <c r="O10" s="1">
        <v>5.0000000000000001E-3</v>
      </c>
      <c r="P10">
        <f>SQRT(F10^2+N10^2)</f>
        <v>1032.9537058358424</v>
      </c>
      <c r="Q10">
        <f>G10*F10/P10</f>
        <v>16.728726468934465</v>
      </c>
      <c r="R10">
        <v>942</v>
      </c>
      <c r="T10">
        <f>R10/R2</f>
        <v>7.1363636363636367</v>
      </c>
      <c r="W10">
        <v>23</v>
      </c>
      <c r="X10">
        <v>23</v>
      </c>
      <c r="Y10">
        <v>23</v>
      </c>
      <c r="AB10">
        <f>AVERAGE(W10:AA10)</f>
        <v>23</v>
      </c>
      <c r="AC10">
        <f>STDEV(W10:AA10)</f>
        <v>0</v>
      </c>
    </row>
    <row r="11" spans="1:29">
      <c r="A11">
        <v>3</v>
      </c>
      <c r="C11">
        <v>-1</v>
      </c>
      <c r="D11">
        <v>0</v>
      </c>
      <c r="E11">
        <v>0</v>
      </c>
      <c r="F11">
        <v>184</v>
      </c>
      <c r="G11">
        <v>15</v>
      </c>
      <c r="H11">
        <v>-7</v>
      </c>
      <c r="I11">
        <v>0.21</v>
      </c>
      <c r="J11">
        <f t="shared" ref="J11:J17" si="0">F11*COS(H11*PI()/180)</f>
        <v>182.62849190200325</v>
      </c>
      <c r="K11">
        <f t="shared" ref="K11:K17" si="1">SQRT(G11^2*(COS(H11*PI()/180))^2+(I11*PI()/180)^2*(F11*SIN(H11*PI()/180))^2)</f>
        <v>14.888419126634213</v>
      </c>
      <c r="L11">
        <f t="shared" ref="L11:L17" si="2">F11*SIN(H11*PI()/180)</f>
        <v>-22.423959186547137</v>
      </c>
      <c r="M11">
        <f t="shared" ref="M11:M17" si="3">SQRT(G11^2*(SIN(H11*PI()/180))^2+(I11*PI()/180)^2*(F11*COS(H11*PI()/180))^2)</f>
        <v>1.9467369689914742</v>
      </c>
      <c r="N11">
        <v>139.57</v>
      </c>
      <c r="O11" s="1">
        <v>5.0000000000000001E-3</v>
      </c>
      <c r="P11">
        <f>SQRT(F11^2+N11^2)</f>
        <v>230.94541541238701</v>
      </c>
      <c r="Q11">
        <f t="shared" ref="Q11:Q17" si="4">G11*F11/P11</f>
        <v>11.950875903172246</v>
      </c>
      <c r="R11">
        <v>600</v>
      </c>
      <c r="T11">
        <f>R11/R2</f>
        <v>4.5454545454545459</v>
      </c>
      <c r="W11">
        <v>6.65</v>
      </c>
      <c r="X11">
        <v>7.1</v>
      </c>
      <c r="Y11">
        <v>7</v>
      </c>
      <c r="Z11">
        <v>7.2</v>
      </c>
      <c r="AA11">
        <v>6.9</v>
      </c>
      <c r="AB11">
        <f>AVERAGE(W11:AA11)</f>
        <v>6.9700000000000006</v>
      </c>
      <c r="AC11">
        <f>STDEV(W11:AA11)</f>
        <v>0.21095023109728969</v>
      </c>
    </row>
    <row r="12" spans="1:29"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O12" s="1">
        <v>5.0000000000000001E-3</v>
      </c>
      <c r="P12">
        <f t="shared" ref="P12:P17" si="5">SQRT(F12^2+N12^2)</f>
        <v>0</v>
      </c>
    </row>
    <row r="13" spans="1:29">
      <c r="A13">
        <v>4</v>
      </c>
      <c r="C13">
        <v>1</v>
      </c>
      <c r="D13">
        <v>0</v>
      </c>
      <c r="E13">
        <v>0</v>
      </c>
      <c r="F13">
        <v>8254</v>
      </c>
      <c r="G13">
        <v>700</v>
      </c>
      <c r="H13">
        <v>0.4</v>
      </c>
      <c r="I13">
        <v>0.2</v>
      </c>
      <c r="J13">
        <f t="shared" si="0"/>
        <v>8253.7988558423276</v>
      </c>
      <c r="K13">
        <f t="shared" si="1"/>
        <v>699.9829703935111</v>
      </c>
      <c r="L13">
        <f t="shared" si="2"/>
        <v>57.623322499374652</v>
      </c>
      <c r="M13">
        <f t="shared" si="3"/>
        <v>29.222704689841006</v>
      </c>
      <c r="N13">
        <v>139.57</v>
      </c>
      <c r="O13" s="1">
        <v>5.0000000000000001E-3</v>
      </c>
      <c r="P13">
        <f t="shared" si="5"/>
        <v>8255.1799365549869</v>
      </c>
      <c r="Q13">
        <f t="shared" si="4"/>
        <v>699.89994699148428</v>
      </c>
      <c r="R13">
        <v>280</v>
      </c>
      <c r="T13">
        <f>R13/R2</f>
        <v>2.1212121212121211</v>
      </c>
      <c r="W13">
        <v>0.4</v>
      </c>
      <c r="X13">
        <v>0.3</v>
      </c>
      <c r="Y13">
        <v>0.5</v>
      </c>
    </row>
    <row r="14" spans="1:29">
      <c r="A14">
        <v>5</v>
      </c>
      <c r="C14">
        <v>1</v>
      </c>
      <c r="D14">
        <v>0</v>
      </c>
      <c r="E14">
        <v>0</v>
      </c>
      <c r="F14">
        <v>1090</v>
      </c>
      <c r="G14">
        <v>90</v>
      </c>
      <c r="H14">
        <v>-7.06</v>
      </c>
      <c r="I14">
        <v>0.21</v>
      </c>
      <c r="J14">
        <f t="shared" si="0"/>
        <v>1081.7356049170066</v>
      </c>
      <c r="K14">
        <f t="shared" si="1"/>
        <v>89.318968466070032</v>
      </c>
      <c r="L14">
        <f t="shared" si="2"/>
        <v>-133.9704484385928</v>
      </c>
      <c r="M14">
        <f t="shared" si="3"/>
        <v>11.750845324340217</v>
      </c>
      <c r="N14">
        <v>139.57</v>
      </c>
      <c r="O14" s="1">
        <v>5.0000000000000001E-3</v>
      </c>
      <c r="P14">
        <f t="shared" si="5"/>
        <v>1098.8993515786603</v>
      </c>
      <c r="Q14">
        <f t="shared" si="4"/>
        <v>89.271141946777192</v>
      </c>
      <c r="R14">
        <v>200</v>
      </c>
      <c r="T14">
        <f>R14/R2</f>
        <v>1.5151515151515151</v>
      </c>
      <c r="W14">
        <v>7.06</v>
      </c>
    </row>
    <row r="15" spans="1:29"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O15" s="1">
        <v>5.0000000000000001E-3</v>
      </c>
      <c r="P15">
        <f t="shared" si="5"/>
        <v>0</v>
      </c>
    </row>
    <row r="16" spans="1:29">
      <c r="A16">
        <v>6</v>
      </c>
      <c r="C16">
        <v>1</v>
      </c>
      <c r="D16">
        <v>0</v>
      </c>
      <c r="E16">
        <v>0</v>
      </c>
      <c r="F16">
        <v>275</v>
      </c>
      <c r="G16">
        <v>25</v>
      </c>
      <c r="H16">
        <v>-2</v>
      </c>
      <c r="I16">
        <v>0.2</v>
      </c>
      <c r="J16">
        <f t="shared" si="0"/>
        <v>274.83247743025134</v>
      </c>
      <c r="K16">
        <f t="shared" si="1"/>
        <v>24.984793135639347</v>
      </c>
      <c r="L16">
        <f t="shared" si="2"/>
        <v>-9.5973615931877667</v>
      </c>
      <c r="M16">
        <f t="shared" si="3"/>
        <v>1.2967573651858644</v>
      </c>
      <c r="N16">
        <v>139.57</v>
      </c>
      <c r="O16" s="1">
        <v>5.0000000000000001E-3</v>
      </c>
      <c r="P16">
        <f t="shared" si="5"/>
        <v>308.39063685527157</v>
      </c>
      <c r="Q16">
        <f t="shared" si="4"/>
        <v>22.293154131091384</v>
      </c>
      <c r="R16">
        <v>110</v>
      </c>
      <c r="T16">
        <f>R16/R2</f>
        <v>0.83333333333333337</v>
      </c>
    </row>
    <row r="17" spans="1:25">
      <c r="A17">
        <v>7</v>
      </c>
      <c r="C17">
        <v>-1</v>
      </c>
      <c r="D17">
        <v>0</v>
      </c>
      <c r="E17">
        <v>0</v>
      </c>
      <c r="F17">
        <v>460</v>
      </c>
      <c r="G17">
        <v>50</v>
      </c>
      <c r="H17">
        <v>-23</v>
      </c>
      <c r="I17">
        <v>0.2</v>
      </c>
      <c r="J17">
        <f t="shared" si="0"/>
        <v>423.43223258812259</v>
      </c>
      <c r="K17">
        <f t="shared" si="1"/>
        <v>46.029518696844221</v>
      </c>
      <c r="L17">
        <f t="shared" si="2"/>
        <v>-179.73631910506592</v>
      </c>
      <c r="M17">
        <f t="shared" si="3"/>
        <v>19.592388582762009</v>
      </c>
      <c r="N17">
        <v>139.57</v>
      </c>
      <c r="O17" s="1">
        <v>5.0000000000000001E-3</v>
      </c>
      <c r="P17">
        <f t="shared" si="5"/>
        <v>480.70758772875638</v>
      </c>
      <c r="Q17">
        <f t="shared" si="4"/>
        <v>47.846134712934798</v>
      </c>
      <c r="R17">
        <v>60</v>
      </c>
      <c r="T17">
        <f>R17/R2</f>
        <v>0.45454545454545453</v>
      </c>
    </row>
    <row r="18" spans="1:25">
      <c r="A18" t="s">
        <v>16</v>
      </c>
      <c r="C18">
        <f>SUM(C10:C17)</f>
        <v>2</v>
      </c>
      <c r="D18">
        <f>SUM(D10:D17)</f>
        <v>1</v>
      </c>
      <c r="E18">
        <f>SUM(E10:E17)</f>
        <v>0</v>
      </c>
      <c r="F18">
        <f>SQRT(J18^2+L18^2)</f>
        <v>10614.756291374551</v>
      </c>
      <c r="G18">
        <f>SQRT(K18^2*(J18/F18)^2+M18^2*(L18/F18)^2)</f>
        <v>708.668810358786</v>
      </c>
      <c r="J18">
        <f>SUM(J10:J17)</f>
        <v>10614.085759371164</v>
      </c>
      <c r="K18">
        <f>SQRT(SUMSQ(K10:K17))</f>
        <v>708.71343456686554</v>
      </c>
      <c r="L18">
        <f>SUM(L10:L17)</f>
        <v>-119.30891831665275</v>
      </c>
      <c r="M18">
        <f>SQRT(SUMSQ(M10:M17))</f>
        <v>40.343301596868933</v>
      </c>
      <c r="P18">
        <f>SUM(P10:P17)</f>
        <v>11407.076633965904</v>
      </c>
      <c r="Q18">
        <f>SQRT(SUMSQ(Q10:Q17))</f>
        <v>707.8405072015662</v>
      </c>
    </row>
    <row r="19" spans="1:25">
      <c r="P19" s="2">
        <f>SUM(P10:P17)</f>
        <v>11407.076633965904</v>
      </c>
    </row>
    <row r="21" spans="1:25">
      <c r="V21" t="s">
        <v>42</v>
      </c>
      <c r="W21" t="s">
        <v>40</v>
      </c>
      <c r="X21" t="s">
        <v>13</v>
      </c>
      <c r="Y21" t="s">
        <v>43</v>
      </c>
    </row>
    <row r="22" spans="1:25">
      <c r="A22" t="s">
        <v>28</v>
      </c>
      <c r="B22" t="s">
        <v>36</v>
      </c>
      <c r="D22">
        <v>1</v>
      </c>
      <c r="E22">
        <v>-1</v>
      </c>
      <c r="F22">
        <f>SQRT(J22^2 +L22^2)</f>
        <v>598.46240867078268</v>
      </c>
      <c r="G22">
        <f>SQRT( (K22^2)*(J22/F22)^2 + (M22^2)*(L22/F22)^2)</f>
        <v>38.708058866701499</v>
      </c>
      <c r="J22">
        <f>J10+J11</f>
        <v>580.28658859345751</v>
      </c>
      <c r="K22">
        <f>SQRT(K10^2 +K11^2)</f>
        <v>39.720761413940451</v>
      </c>
      <c r="L22">
        <f>L10+L11</f>
        <v>146.3718883208191</v>
      </c>
      <c r="M22">
        <f>SQRT(M10^2 +M11^2)</f>
        <v>15.811068226644156</v>
      </c>
      <c r="N22">
        <v>1115.5999999999999</v>
      </c>
      <c r="O22">
        <v>0.1</v>
      </c>
      <c r="P22">
        <f>SQRT(F22^2 +N22^2)</f>
        <v>1265.9860246432561</v>
      </c>
      <c r="Q22">
        <f>G22*F22/P22</f>
        <v>18.298241602520385</v>
      </c>
      <c r="V22">
        <f>F22*10^6 * 1.602*10^(-19)/(3*10^8)</f>
        <v>3.19578926230198E-19</v>
      </c>
      <c r="W22">
        <f>N22 * 10^6 * 1.602 *10^(-19)/(9*10^16)</f>
        <v>1.9857679999999997E-27</v>
      </c>
      <c r="X22">
        <f>V22/SQRT(W22^2+V22^2/(9*10^16))</f>
        <v>141817302.17110991</v>
      </c>
      <c r="Y22">
        <f>X22*10^(-10)</f>
        <v>1.4181730217110992E-2</v>
      </c>
    </row>
    <row r="24" spans="1:25">
      <c r="A24" t="s">
        <v>29</v>
      </c>
      <c r="B24" t="s">
        <v>37</v>
      </c>
      <c r="D24">
        <v>0</v>
      </c>
      <c r="E24">
        <v>1</v>
      </c>
      <c r="F24">
        <f>SQRT(J24^2 + L24^2)</f>
        <v>723.47829815675334</v>
      </c>
      <c r="G24">
        <f>SQRT( (K24^2)*(J24/F24)^2 + (M24^2)*(L24/F24)^2)</f>
        <v>50.808518837282151</v>
      </c>
      <c r="J24">
        <f>J16+J17</f>
        <v>698.26471001837399</v>
      </c>
      <c r="K24">
        <f>SQRT(K16^2 + K17^2)</f>
        <v>52.373242018170146</v>
      </c>
      <c r="L24">
        <f xml:space="preserve"> L16+L17</f>
        <v>-189.33368069825369</v>
      </c>
      <c r="M24">
        <f>SQRT(M16^2 + M17^2)</f>
        <v>19.635255792632471</v>
      </c>
      <c r="N24">
        <v>497.7</v>
      </c>
      <c r="O24">
        <v>0.1</v>
      </c>
      <c r="P24">
        <f>SQRT(F24^2 + N24^2)</f>
        <v>878.13788091836238</v>
      </c>
      <c r="Q24">
        <f t="shared" ref="Q23:Q24" si="6">G24*F24/P24</f>
        <v>41.860010300227088</v>
      </c>
    </row>
    <row r="25" spans="1:25">
      <c r="D25">
        <v>1</v>
      </c>
      <c r="E25">
        <v>0</v>
      </c>
    </row>
    <row r="26" spans="1:25">
      <c r="A26" t="s">
        <v>35</v>
      </c>
      <c r="P26">
        <f>SUM(P10:P11)</f>
        <v>1263.8991212482294</v>
      </c>
      <c r="Q26">
        <f>SQRT(Q10^2 + Q11^2)</f>
        <v>20.559030233098341</v>
      </c>
    </row>
    <row r="28" spans="1:25">
      <c r="A28" t="s">
        <v>38</v>
      </c>
      <c r="P28">
        <f>P16+P17</f>
        <v>789.098224584028</v>
      </c>
      <c r="Q28">
        <f>SQRT(Q16^2 + Q17^2)</f>
        <v>52.784821000747002</v>
      </c>
    </row>
    <row r="30" spans="1:25">
      <c r="A30" t="s">
        <v>39</v>
      </c>
      <c r="F30">
        <f>SQRT(J30^2 + L30^2)</f>
        <v>10614.756291374553</v>
      </c>
      <c r="G30">
        <f>SQRT(K30^2 * (J30/F30)^2 + M30^2 * (L30/F30)^2)</f>
        <v>708.668810358786</v>
      </c>
      <c r="J30">
        <f>J22+ J24 + J13 + J14</f>
        <v>10614.085759371166</v>
      </c>
      <c r="K30">
        <f>SQRT(K22^2 + K24^2 + K13^2 + K14^2)</f>
        <v>708.71343456686554</v>
      </c>
      <c r="L30">
        <f>L22+L24+L13+L14</f>
        <v>-119.30891831665274</v>
      </c>
      <c r="M30">
        <f>SQRT(M22^2 + M24^2 + M13^2 + M14^2)</f>
        <v>40.343301596868933</v>
      </c>
      <c r="P30">
        <f>P22+P24+P13+P14</f>
        <v>11498.203193695266</v>
      </c>
      <c r="Q30">
        <f>SQRT(Q22^2 + Q24^2 + Q13^2 + Q14^2)</f>
        <v>707.04763537631857</v>
      </c>
    </row>
    <row r="33" spans="1:17">
      <c r="A33">
        <v>8</v>
      </c>
      <c r="F33">
        <v>122</v>
      </c>
      <c r="G33">
        <v>10</v>
      </c>
      <c r="N33">
        <v>105.65900000000001</v>
      </c>
      <c r="O33">
        <v>0.01</v>
      </c>
      <c r="P33">
        <f>SQRT(F33^2 + N33^2)</f>
        <v>161.39338363452202</v>
      </c>
      <c r="Q33">
        <f>G33*F33/P33</f>
        <v>7.5591698527289699</v>
      </c>
    </row>
  </sheetData>
  <mergeCells count="1">
    <mergeCell ref="A8:Y8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2016-03-24T18:06:00Z</dcterms:created>
  <dcterms:modified xsi:type="dcterms:W3CDTF">2016-03-29T16:41:26Z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1033-10.1.0.5452</vt:lpwstr>
  </property>
</Properties>
</file>