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e" sheetId="1" r:id="rId4"/>
    <sheet state="visible" name="Booking Data" sheetId="2" r:id="rId5"/>
    <sheet state="visible" name="Descriptive Analysis" sheetId="3" r:id="rId6"/>
    <sheet state="visible" name="Booking Frequency" sheetId="4" r:id="rId7"/>
    <sheet state="visible" name="Frequent Guest Overview Dashboa" sheetId="5" r:id="rId8"/>
    <sheet state="visible" name="Spending Power" sheetId="6" r:id="rId9"/>
    <sheet state="visible" name="Spending Overview Dashboard" sheetId="7" r:id="rId10"/>
    <sheet state="visible" name="Recency Analysis" sheetId="8" r:id="rId11"/>
    <sheet state="visible" name="Recency Dashboard" sheetId="9" r:id="rId12"/>
    <sheet state="visible" name="Overall Analysis" sheetId="10" r:id="rId13"/>
    <sheet state="visible" name="VIP Guest Overview" sheetId="11" r:id="rId14"/>
    <sheet state="visible" name="Insights_workings" sheetId="12" r:id="rId15"/>
    <sheet state="visible" name="Insights" sheetId="13" r:id="rId16"/>
  </sheets>
  <definedNames/>
  <calcPr/>
</workbook>
</file>

<file path=xl/sharedStrings.xml><?xml version="1.0" encoding="utf-8"?>
<sst xmlns="http://schemas.openxmlformats.org/spreadsheetml/2006/main" count="790" uniqueCount="222">
  <si>
    <t>Get Started</t>
  </si>
  <si>
    <t>Ibiz, a business hotel, seeks a detailed analysis of booking data as of July 2024, focusing on the past three months (April, May, and June), to identify frequent, recent, and high-value guests. The analysis aims to uncover key booking patterns and trends to optimize services and enhance the guest experience.</t>
  </si>
  <si>
    <t>Objective</t>
  </si>
  <si>
    <r>
      <rPr>
        <rFont val="Noto Serif Georgian"/>
        <b/>
        <color theme="1"/>
        <sz val="11.0"/>
      </rPr>
      <t xml:space="preserve">Frequent Guest Overview Dashboard: </t>
    </r>
    <r>
      <rPr>
        <rFont val="Noto Serif Georgian"/>
        <color theme="1"/>
        <sz val="11.0"/>
      </rPr>
      <t>Analyze the distribution of guests into "Frequent" (6 or more bookings) and "Occasional" (fewer than 6 bookings) categories. Assess each group's percentage share of the total booking amount and their average booking amount to gain insights into spending patterns and enhance service offerings.</t>
    </r>
  </si>
  <si>
    <r>
      <rPr>
        <rFont val="Noto Serif Georgian"/>
        <b/>
        <color theme="1"/>
        <sz val="11.0"/>
      </rPr>
      <t xml:space="preserve">Spending Overview Dashboard: </t>
    </r>
    <r>
      <rPr>
        <rFont val="Noto Serif Georgian"/>
        <color theme="1"/>
        <sz val="11.0"/>
      </rPr>
      <t xml:space="preserve"> Review the distribution of guests into "Budget Guests" (those who spend less than ₹50,000) and "Top Payers" (those who spend ₹50,000 or more). Assess the percentage share of the total booking amount and the average booking amount paid by each group to identify spending trends and optimize pricing strategies.</t>
    </r>
  </si>
  <si>
    <r>
      <rPr>
        <rFont val="Noto Serif Georgian"/>
        <b/>
        <color rgb="FF000000"/>
        <sz val="11.0"/>
      </rPr>
      <t xml:space="preserve">Recency Dashboard: </t>
    </r>
    <r>
      <rPr>
        <rFont val="Noto Serif Georgian"/>
        <b val="0"/>
        <color rgb="FF000000"/>
        <sz val="11.0"/>
      </rPr>
      <t>Analyze the distribution of guests into "Active Guests" (those who made a booking within the last 15 days) and "Inactive Guests" (those who booked more than 15 days ago). Evaluate each group's percentage share of the total booking amount and their average booking amount to understand spending behavior and refine targeting strategies.</t>
    </r>
  </si>
  <si>
    <r>
      <rPr>
        <rFont val="Noto Serif Georgian"/>
        <b/>
        <color theme="1"/>
        <sz val="11.0"/>
      </rPr>
      <t xml:space="preserve">VIP Guest Overview: </t>
    </r>
    <r>
      <rPr>
        <rFont val="Noto Serif Georgian"/>
        <color theme="1"/>
        <sz val="11.0"/>
      </rPr>
      <t xml:space="preserve">Categorize guests into "VIP Guests" (Top 5 based on frequency, spending, and recency) and "Others." Evaluate each category percentage share of the total booking amount, average booking amount, and average number of bookings to refine service strategies and target high-value customers more effectively.
</t>
    </r>
  </si>
  <si>
    <t>Data</t>
  </si>
  <si>
    <r>
      <rPr>
        <rFont val="Noto Serif Georgian"/>
        <b/>
        <color theme="1"/>
        <sz val="11.0"/>
      </rPr>
      <t xml:space="preserve">Booking Data: </t>
    </r>
    <r>
      <rPr>
        <rFont val="Noto Serif Georgian"/>
        <color theme="1"/>
        <sz val="11.0"/>
      </rPr>
      <t>The dataset shows guest bookings in 2024, detailing each booking's ID, room type, number of days, booking dates, and amount paid.</t>
    </r>
  </si>
  <si>
    <t>Guest ID</t>
  </si>
  <si>
    <t>Booking ID</t>
  </si>
  <si>
    <t>Rooms Type</t>
  </si>
  <si>
    <t>Days Booked</t>
  </si>
  <si>
    <t>Booking Date</t>
  </si>
  <si>
    <t>Amount Paid</t>
  </si>
  <si>
    <t>HTA-THL-0020</t>
  </si>
  <si>
    <t>HTA-THL-BK063</t>
  </si>
  <si>
    <t>Suit</t>
  </si>
  <si>
    <t>HTA-THL-0015</t>
  </si>
  <si>
    <t>HTA-THL-BK035</t>
  </si>
  <si>
    <t>HTA-THL-BK061</t>
  </si>
  <si>
    <t>HTA-THL-005</t>
  </si>
  <si>
    <t>HTA-THL-BK046</t>
  </si>
  <si>
    <t>HTA-THL-0027</t>
  </si>
  <si>
    <t>HTA-THL-BK096</t>
  </si>
  <si>
    <t>HTA-THL-0016</t>
  </si>
  <si>
    <t>HTA-THL-BK036</t>
  </si>
  <si>
    <t>Executive</t>
  </si>
  <si>
    <t>HTA-THL-0021</t>
  </si>
  <si>
    <t>HTA-THL-BK062</t>
  </si>
  <si>
    <t>Standard</t>
  </si>
  <si>
    <t>HTA-THL-0023</t>
  </si>
  <si>
    <t>HTA-THL-BK007</t>
  </si>
  <si>
    <t>HTA-THL-0013</t>
  </si>
  <si>
    <t>HTA-THL-BK025</t>
  </si>
  <si>
    <t>HTA-THL-0022</t>
  </si>
  <si>
    <t>HTA-THL-BK068</t>
  </si>
  <si>
    <t>HTA-THL-0025</t>
  </si>
  <si>
    <t>HTA-THL-BK084</t>
  </si>
  <si>
    <t>HTA-THL-006</t>
  </si>
  <si>
    <t>HTA-THL-BK064</t>
  </si>
  <si>
    <t>HTA-THL-BK052</t>
  </si>
  <si>
    <t>HTA-THL-004</t>
  </si>
  <si>
    <t>HTA-THL-BK053</t>
  </si>
  <si>
    <t>HTA-THL-BK044</t>
  </si>
  <si>
    <t>HTA-THL-002</t>
  </si>
  <si>
    <t>HTA-THL-BK095</t>
  </si>
  <si>
    <t>HTA-THL-007</t>
  </si>
  <si>
    <t>HTA-THL-BK099</t>
  </si>
  <si>
    <t>HTA-THL-BK008</t>
  </si>
  <si>
    <t>HTA-THL-BK004</t>
  </si>
  <si>
    <t>HTA-THL-001</t>
  </si>
  <si>
    <t>HTA-THL-BK094</t>
  </si>
  <si>
    <t>HTA-THL-0034</t>
  </si>
  <si>
    <t>HTA-THL-BK106</t>
  </si>
  <si>
    <t>HTA-THL-BK070</t>
  </si>
  <si>
    <t>HTA-THL-0030</t>
  </si>
  <si>
    <t>HTA-THL-BK071</t>
  </si>
  <si>
    <t>HTA-THL-BK077</t>
  </si>
  <si>
    <t>HTA-THL-BK072</t>
  </si>
  <si>
    <t>HTA-THL-BK030</t>
  </si>
  <si>
    <t>HTA-THL-BK086</t>
  </si>
  <si>
    <t>HTA-THL-0012</t>
  </si>
  <si>
    <t>HTA-THL-BK033</t>
  </si>
  <si>
    <t>HTA-THL-BK060</t>
  </si>
  <si>
    <t>HTA-THL-0031</t>
  </si>
  <si>
    <t>HTA-THL-BK073</t>
  </si>
  <si>
    <t>HTA-THL-0040</t>
  </si>
  <si>
    <t>HTA-THL-BK074</t>
  </si>
  <si>
    <t>HTA-THL-0010</t>
  </si>
  <si>
    <t>HTA-THL-BK016</t>
  </si>
  <si>
    <t>HTA-THL-0032</t>
  </si>
  <si>
    <t>HTA-THL-BK076</t>
  </si>
  <si>
    <t>HTA-THL-0018</t>
  </si>
  <si>
    <t>HTA-THL-BK050</t>
  </si>
  <si>
    <t>HTA-THL-BK037</t>
  </si>
  <si>
    <t>HTA-THL-BK029</t>
  </si>
  <si>
    <t>HTA-THL-BK157</t>
  </si>
  <si>
    <t>HTA-THL-BK043</t>
  </si>
  <si>
    <t>HTA-THL-0037</t>
  </si>
  <si>
    <t>HTA-THL-BK115</t>
  </si>
  <si>
    <t>HTA-THL-BK165</t>
  </si>
  <si>
    <t>HTA-THL-0045</t>
  </si>
  <si>
    <t>HTA-THL-BK167</t>
  </si>
  <si>
    <t>HTA-THL-0060</t>
  </si>
  <si>
    <t>HTA-THL-BK097</t>
  </si>
  <si>
    <t>HTA-THL-0061</t>
  </si>
  <si>
    <t>HTA-THL-BK197</t>
  </si>
  <si>
    <t>HTA-THL-0062</t>
  </si>
  <si>
    <t>HTA-THL-BK200</t>
  </si>
  <si>
    <t>HTA-THL-0026</t>
  </si>
  <si>
    <t>HTA-THL-BK082</t>
  </si>
  <si>
    <t>HTA-THL-BK087</t>
  </si>
  <si>
    <t>HTA-THL-BK003</t>
  </si>
  <si>
    <t>HTA-THL-BK028</t>
  </si>
  <si>
    <t>HTA-THL-BK100</t>
  </si>
  <si>
    <t>HTA-THL-BK010</t>
  </si>
  <si>
    <t>HTA-THL-BK023</t>
  </si>
  <si>
    <t>HTA-THL-BK091</t>
  </si>
  <si>
    <t>HTA-THL-BK090</t>
  </si>
  <si>
    <t>HTA-THL-BK085</t>
  </si>
  <si>
    <t>HTA-THL-003</t>
  </si>
  <si>
    <t>HTA-THL-BK114</t>
  </si>
  <si>
    <t>HTA-THL-BK079</t>
  </si>
  <si>
    <t>HTA-THL-BK066</t>
  </si>
  <si>
    <t>HTA-THL-BK088</t>
  </si>
  <si>
    <t>HTA-THL-BK032</t>
  </si>
  <si>
    <t>HTA-THL-0014</t>
  </si>
  <si>
    <t>HTA-THL-BK048</t>
  </si>
  <si>
    <t>HTA-THL-008</t>
  </si>
  <si>
    <t>HTA-THL-BK107</t>
  </si>
  <si>
    <t>HTA-THL-BK047</t>
  </si>
  <si>
    <t>HTA-THL-0033</t>
  </si>
  <si>
    <t>HTA-THL-BK101</t>
  </si>
  <si>
    <t>HTA-THL-BK055</t>
  </si>
  <si>
    <t>HTA-THL-BK042</t>
  </si>
  <si>
    <t>HTA-THL-BK103</t>
  </si>
  <si>
    <t>HTA-THL-BK009</t>
  </si>
  <si>
    <t>HTA-THL-0024</t>
  </si>
  <si>
    <t>HTA-THL-BK081</t>
  </si>
  <si>
    <t>HTA-THL-BK039</t>
  </si>
  <si>
    <t>HTA-THL-BK092</t>
  </si>
  <si>
    <t>HTA-THL-0011</t>
  </si>
  <si>
    <t>HTA-THL-BK034</t>
  </si>
  <si>
    <t>HTA-THL-BK056</t>
  </si>
  <si>
    <t>HTA-THL-BK040</t>
  </si>
  <si>
    <t>HTA-THL-009</t>
  </si>
  <si>
    <t>HTA-THL-BK104</t>
  </si>
  <si>
    <t>HTA-THL-BK102</t>
  </si>
  <si>
    <t>HTA-THL-BK041</t>
  </si>
  <si>
    <t>HTA-THL-BK078</t>
  </si>
  <si>
    <t>HTA-THL-BK054</t>
  </si>
  <si>
    <t>HTA-THL-BK002</t>
  </si>
  <si>
    <t>HTA-THL-BK065</t>
  </si>
  <si>
    <t>HTA-THL-BK027</t>
  </si>
  <si>
    <t>HTA-THL-0017</t>
  </si>
  <si>
    <t>HTA-THL-BK049</t>
  </si>
  <si>
    <t>HTA-THL-0028</t>
  </si>
  <si>
    <t>HTA-THL-BK093</t>
  </si>
  <si>
    <t>HTA-THL-BK017</t>
  </si>
  <si>
    <t>HTA-THL-BK011</t>
  </si>
  <si>
    <t>HTA-THL-0029</t>
  </si>
  <si>
    <t>HTA-THL-BK098</t>
  </si>
  <si>
    <t>HTA-THL-BK021</t>
  </si>
  <si>
    <t>HTA-THL-BK031</t>
  </si>
  <si>
    <t>HTA-THL-BK038</t>
  </si>
  <si>
    <t>HTA-THL-BK026</t>
  </si>
  <si>
    <t>HTA-THL-BK014</t>
  </si>
  <si>
    <t>HTA-THL-BK018</t>
  </si>
  <si>
    <t>HTA-THL-BK045</t>
  </si>
  <si>
    <t>HTA-THL-0019</t>
  </si>
  <si>
    <t>HTA-THL-BK059</t>
  </si>
  <si>
    <t>HTA-THL-BK058</t>
  </si>
  <si>
    <t>HTA-THL-BK024</t>
  </si>
  <si>
    <t>HTA-THL-00227</t>
  </si>
  <si>
    <t>HTA-THL-BK089</t>
  </si>
  <si>
    <t>HTA-THL-BK005</t>
  </si>
  <si>
    <t>HTA-THL-BK006</t>
  </si>
  <si>
    <t>HTA-THL-BK019</t>
  </si>
  <si>
    <t>HTA-THL-BK022</t>
  </si>
  <si>
    <t>HTA-THL-BK012</t>
  </si>
  <si>
    <t>HTA-THL-BK013</t>
  </si>
  <si>
    <t>HTA-THL-BK015</t>
  </si>
  <si>
    <t>HTA-THL-BK075</t>
  </si>
  <si>
    <t>HTA-THL-BK051</t>
  </si>
  <si>
    <t>HTA-THL-BK020</t>
  </si>
  <si>
    <t>HTA-THL-BK083</t>
  </si>
  <si>
    <t>HTA-THL-BK069</t>
  </si>
  <si>
    <t>HTA-THL-BK057</t>
  </si>
  <si>
    <t>HTA-THL-BK001</t>
  </si>
  <si>
    <t>HTA-THL-BK105</t>
  </si>
  <si>
    <t>HTA-THL-BK067</t>
  </si>
  <si>
    <t>HTA-THL-BK080</t>
  </si>
  <si>
    <t>HTA-THL-BK120</t>
  </si>
  <si>
    <t>Descriptive Analysis</t>
  </si>
  <si>
    <t>Total Booking Amount Received</t>
  </si>
  <si>
    <t>Total Number of Bookings</t>
  </si>
  <si>
    <t>Average Booking Amount per Transaction (in Rs.)</t>
  </si>
  <si>
    <t>Number of Unique Guests</t>
  </si>
  <si>
    <t>Average Booking Amount per Guest (in Rs.)</t>
  </si>
  <si>
    <t>Date Start Date</t>
  </si>
  <si>
    <t>Date End Date</t>
  </si>
  <si>
    <t>Frequency Analysis</t>
  </si>
  <si>
    <t>Booking Frequency</t>
  </si>
  <si>
    <t>Guest Type</t>
  </si>
  <si>
    <t>Rank</t>
  </si>
  <si>
    <t>Frequent Guest Overview Dashboard</t>
  </si>
  <si>
    <t>Number of Guests</t>
  </si>
  <si>
    <t>Total Booking Amount (in Rs.)</t>
  </si>
  <si>
    <t>Average Booking Amount per Guest Type (in Rs.)</t>
  </si>
  <si>
    <t>Spending Analysis</t>
  </si>
  <si>
    <t>Booking Amount Overview</t>
  </si>
  <si>
    <t>Average Booking Amount per Guest Type (in Rs)</t>
  </si>
  <si>
    <t>Recency Analysis</t>
  </si>
  <si>
    <t>Recent Booking Date</t>
  </si>
  <si>
    <t>Rank_Recency</t>
  </si>
  <si>
    <t>Date Since Last Booking</t>
  </si>
  <si>
    <t>Recent Booking Overview</t>
  </si>
  <si>
    <t>Active Guest</t>
  </si>
  <si>
    <t>Inactive Guest</t>
  </si>
  <si>
    <t>Overall Analysis</t>
  </si>
  <si>
    <t>Rank_Frequency</t>
  </si>
  <si>
    <t>Rank_Spending</t>
  </si>
  <si>
    <t>Average Rank</t>
  </si>
  <si>
    <t>Guest Tiers</t>
  </si>
  <si>
    <t>Average Number of Bookings</t>
  </si>
  <si>
    <t xml:space="preserve"> </t>
  </si>
  <si>
    <t>Guest Tier</t>
  </si>
  <si>
    <t>Total Booking Amount</t>
  </si>
  <si>
    <t>Average Booking Amount per Guest Type</t>
  </si>
  <si>
    <t>VIP Guest</t>
  </si>
  <si>
    <t>Others</t>
  </si>
  <si>
    <t>Days Since Last Booking</t>
  </si>
  <si>
    <t>Insights from Analysis</t>
  </si>
  <si>
    <t>Recent Order Analysis as per Guest Tier( Based on Last 15 days)</t>
  </si>
  <si>
    <t>Number of Bookings</t>
  </si>
  <si>
    <t>Total Booking Amount(in Rs.)</t>
  </si>
  <si>
    <t>Booking Amount per Guest (in Rs.)</t>
  </si>
  <si>
    <t>Booking per Guest</t>
  </si>
  <si>
    <t>Report for Management</t>
  </si>
  <si>
    <t xml:space="preserve">                                       1.  The VIP Guests average 2 bookings per customer in the last 15 days, which is nearly four times higher than the 0.43 bookings per guest by Others.</t>
  </si>
  <si>
    <t xml:space="preserve">                                      2. The average booking amount per VIP Guest is {22916.67, which is significantly higher than the ‹6785.71 average booking amount per guest for Others in the last 15 days.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</si>
</sst>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0.0"/>
  </numFmts>
  <fonts count="14">
    <font>
      <sz val="10.0"/>
      <color rgb="FF000000"/>
      <name val="Arial"/>
      <scheme val="minor"/>
    </font>
    <font>
      <b/>
      <sz val="11.0"/>
      <color theme="1"/>
      <name val="Noto Serif Georgian"/>
    </font>
    <font>
      <color theme="1"/>
      <name val="Arial"/>
    </font>
    <font>
      <sz val="11.0"/>
      <color theme="1"/>
      <name val="Noto Serif Georgian"/>
    </font>
    <font>
      <b/>
      <sz val="11.0"/>
      <color rgb="FF000000"/>
      <name val="Noto Serif Georgian"/>
    </font>
    <font>
      <b/>
      <sz val="10.0"/>
      <color theme="1"/>
      <name val="Noto Serif Georgian"/>
    </font>
    <font>
      <sz val="10.0"/>
      <color theme="1"/>
      <name val="Noto Serif Georgian"/>
    </font>
    <font>
      <b/>
      <sz val="16.0"/>
      <color theme="1"/>
      <name val="Noto Serif Georgian"/>
    </font>
    <font/>
    <font>
      <color theme="1"/>
      <name val="Noto Serif Georgian"/>
    </font>
    <font>
      <sz val="16.0"/>
      <color theme="1"/>
      <name val="Noto Serif Georgian"/>
    </font>
    <font>
      <b/>
      <color theme="1"/>
      <name val="Noto Serif Georgian"/>
    </font>
    <font>
      <b/>
      <color theme="1"/>
      <name val="Arial"/>
      <scheme val="minor"/>
    </font>
    <font>
      <color theme="1"/>
      <name val="Arial"/>
      <scheme val="minor"/>
    </font>
  </fonts>
  <fills count="4">
    <fill>
      <patternFill patternType="none"/>
    </fill>
    <fill>
      <patternFill patternType="lightGray"/>
    </fill>
    <fill>
      <patternFill patternType="solid">
        <fgColor rgb="FFC9DAF8"/>
        <bgColor rgb="FFC9DAF8"/>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vertical="bottom"/>
    </xf>
    <xf borderId="0" fillId="3" fontId="2" numFmtId="0" xfId="0" applyAlignment="1" applyFill="1" applyFont="1">
      <alignment vertical="bottom"/>
    </xf>
    <xf borderId="0" fillId="0" fontId="3" numFmtId="0" xfId="0" applyAlignment="1" applyFont="1">
      <alignment readingOrder="0" shrinkToFit="0" vertical="bottom" wrapText="1"/>
    </xf>
    <xf borderId="0" fillId="0" fontId="2" numFmtId="0" xfId="0" applyAlignment="1" applyFont="1">
      <alignment readingOrder="0" vertical="bottom"/>
    </xf>
    <xf borderId="0" fillId="3" fontId="2" numFmtId="0" xfId="0" applyAlignment="1" applyFont="1">
      <alignment vertical="top"/>
    </xf>
    <xf borderId="0" fillId="3" fontId="2" numFmtId="0" xfId="0" applyAlignment="1" applyFont="1">
      <alignment readingOrder="0" vertical="bottom"/>
    </xf>
    <xf borderId="0" fillId="3" fontId="4" numFmtId="0" xfId="0" applyAlignment="1" applyFont="1">
      <alignment horizontal="left" readingOrder="0" shrinkToFit="0" wrapText="1"/>
    </xf>
    <xf borderId="1" fillId="2" fontId="5" numFmtId="0" xfId="0" applyAlignment="1" applyBorder="1" applyFont="1">
      <alignment horizontal="left" readingOrder="0"/>
    </xf>
    <xf borderId="0" fillId="0" fontId="6" numFmtId="0" xfId="0" applyFont="1"/>
    <xf borderId="1" fillId="0" fontId="6" numFmtId="0" xfId="0" applyBorder="1" applyFont="1"/>
    <xf borderId="1" fillId="0" fontId="6" numFmtId="0" xfId="0" applyAlignment="1" applyBorder="1" applyFont="1">
      <alignment readingOrder="0"/>
    </xf>
    <xf borderId="1" fillId="0" fontId="6" numFmtId="0" xfId="0" applyAlignment="1" applyBorder="1" applyFont="1">
      <alignment horizontal="left"/>
    </xf>
    <xf borderId="1" fillId="0" fontId="6" numFmtId="14" xfId="0" applyBorder="1" applyFont="1" applyNumberFormat="1"/>
    <xf borderId="0" fillId="0" fontId="6" numFmtId="0" xfId="0" applyAlignment="1" applyFont="1">
      <alignment readingOrder="0"/>
    </xf>
    <xf borderId="0" fillId="0" fontId="6" numFmtId="14" xfId="0" applyAlignment="1" applyFont="1" applyNumberFormat="1">
      <alignment readingOrder="0"/>
    </xf>
    <xf borderId="1" fillId="0" fontId="6" numFmtId="0" xfId="0" applyAlignment="1" applyBorder="1" applyFont="1">
      <alignment horizontal="left" vertical="bottom"/>
    </xf>
    <xf borderId="1" fillId="0" fontId="6" numFmtId="0" xfId="0" applyAlignment="1" applyBorder="1" applyFont="1">
      <alignment horizontal="right" vertical="bottom"/>
    </xf>
    <xf borderId="1" fillId="0" fontId="6" numFmtId="0" xfId="0" applyAlignment="1" applyBorder="1" applyFont="1">
      <alignment horizontal="right" readingOrder="0" vertical="bottom"/>
    </xf>
    <xf borderId="1" fillId="0" fontId="6" numFmtId="0" xfId="0" applyAlignment="1" applyBorder="1" applyFont="1">
      <alignment shrinkToFit="0" vertical="bottom" wrapText="0"/>
    </xf>
    <xf borderId="1" fillId="0" fontId="6" numFmtId="14" xfId="0" applyAlignment="1" applyBorder="1" applyFont="1" applyNumberFormat="1">
      <alignment readingOrder="0"/>
    </xf>
    <xf borderId="0" fillId="0" fontId="6" numFmtId="0" xfId="0" applyAlignment="1" applyFont="1">
      <alignment horizontal="left"/>
    </xf>
    <xf borderId="2" fillId="2" fontId="7" numFmtId="0" xfId="0" applyAlignment="1" applyBorder="1" applyFont="1">
      <alignment horizontal="center" readingOrder="0"/>
    </xf>
    <xf borderId="3" fillId="0" fontId="8" numFmtId="0" xfId="0" applyBorder="1" applyFont="1"/>
    <xf borderId="1" fillId="0" fontId="9" numFmtId="0" xfId="0" applyAlignment="1" applyBorder="1" applyFont="1">
      <alignment readingOrder="0"/>
    </xf>
    <xf borderId="1" fillId="0" fontId="9" numFmtId="0" xfId="0" applyBorder="1" applyFont="1"/>
    <xf borderId="1" fillId="0" fontId="9" numFmtId="2" xfId="0" applyBorder="1" applyFont="1" applyNumberFormat="1"/>
    <xf borderId="1" fillId="0" fontId="9" numFmtId="14" xfId="0" applyBorder="1" applyFont="1" applyNumberFormat="1"/>
    <xf borderId="2" fillId="2" fontId="10" numFmtId="0" xfId="0" applyAlignment="1" applyBorder="1" applyFont="1">
      <alignment horizontal="center" readingOrder="0"/>
    </xf>
    <xf borderId="4" fillId="0" fontId="8" numFmtId="0" xfId="0" applyBorder="1" applyFont="1"/>
    <xf borderId="1" fillId="2" fontId="11" numFmtId="0" xfId="0" applyAlignment="1" applyBorder="1" applyFont="1">
      <alignment readingOrder="0" vertical="bottom"/>
    </xf>
    <xf borderId="0" fillId="2" fontId="7" numFmtId="0" xfId="0" applyAlignment="1" applyFont="1">
      <alignment horizontal="center" readingOrder="0"/>
    </xf>
    <xf borderId="1" fillId="0" fontId="9" numFmtId="0" xfId="0" applyAlignment="1" applyBorder="1" applyFont="1">
      <alignment vertical="bottom"/>
    </xf>
    <xf borderId="1" fillId="0" fontId="9" numFmtId="0" xfId="0" applyAlignment="1" applyBorder="1" applyFont="1">
      <alignment horizontal="right" vertical="bottom"/>
    </xf>
    <xf borderId="1" fillId="0" fontId="9" numFmtId="2" xfId="0" applyAlignment="1" applyBorder="1" applyFont="1" applyNumberFormat="1">
      <alignment horizontal="right" vertical="bottom"/>
    </xf>
    <xf borderId="1" fillId="2" fontId="12" numFmtId="0" xfId="0" applyAlignment="1" applyBorder="1" applyFont="1">
      <alignment readingOrder="0"/>
    </xf>
    <xf borderId="1" fillId="0" fontId="13" numFmtId="0" xfId="0" applyBorder="1" applyFont="1"/>
    <xf borderId="1" fillId="0" fontId="9" numFmtId="164" xfId="0" applyBorder="1" applyFont="1" applyNumberFormat="1"/>
    <xf borderId="1" fillId="0" fontId="9" numFmtId="0" xfId="0" applyAlignment="1" applyBorder="1" applyFont="1">
      <alignment readingOrder="0" vertical="bottom"/>
    </xf>
    <xf borderId="1" fillId="0" fontId="9" numFmtId="0" xfId="0" applyAlignment="1" applyBorder="1" applyFont="1">
      <alignment horizontal="right" readingOrder="0" vertical="bottom"/>
    </xf>
    <xf borderId="2" fillId="2" fontId="7" numFmtId="0" xfId="0" applyAlignment="1" applyBorder="1" applyFont="1">
      <alignment horizontal="center" vertical="bottom"/>
    </xf>
    <xf borderId="1" fillId="2" fontId="11" numFmtId="0" xfId="0" applyAlignment="1" applyBorder="1" applyFont="1">
      <alignment vertical="bottom"/>
    </xf>
    <xf borderId="1" fillId="0" fontId="9" numFmtId="165" xfId="0" applyBorder="1" applyFont="1" applyNumberFormat="1"/>
    <xf borderId="0" fillId="0" fontId="13" numFmtId="0" xfId="0" applyAlignment="1" applyFont="1">
      <alignment readingOrder="0"/>
    </xf>
    <xf borderId="0" fillId="3" fontId="11" numFmtId="0" xfId="0" applyAlignment="1" applyFont="1">
      <alignment readingOrder="0" vertical="bottom"/>
    </xf>
    <xf borderId="1" fillId="0" fontId="9" numFmtId="1" xfId="0" applyAlignment="1" applyBorder="1" applyFont="1" applyNumberFormat="1">
      <alignment horizontal="right" vertical="bottom"/>
    </xf>
    <xf borderId="0" fillId="0" fontId="9" numFmtId="0" xfId="0" applyAlignment="1" applyFont="1">
      <alignment horizontal="right" vertical="bottom"/>
    </xf>
    <xf borderId="1" fillId="2" fontId="5" numFmtId="0" xfId="0" applyAlignment="1" applyBorder="1" applyFont="1">
      <alignment readingOrder="0"/>
    </xf>
    <xf borderId="0" fillId="2" fontId="11" numFmtId="0" xfId="0" applyAlignment="1" applyFont="1">
      <alignment horizontal="center" readingOrder="0" vertical="bottom"/>
    </xf>
    <xf borderId="1" fillId="2" fontId="11" numFmtId="0" xfId="0" applyAlignment="1" applyBorder="1" applyFont="1">
      <alignment horizontal="center" readingOrder="0" vertical="bottom"/>
    </xf>
    <xf borderId="1" fillId="0" fontId="9" numFmtId="3" xfId="0" applyAlignment="1" applyBorder="1" applyFont="1" applyNumberFormat="1">
      <alignment horizontal="right" vertical="bottom"/>
    </xf>
    <xf borderId="0" fillId="0" fontId="9" numFmtId="1"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 Share of Total Booking Amount</a:t>
            </a:r>
          </a:p>
        </c:rich>
      </c:tx>
      <c:overlay val="0"/>
    </c:title>
    <c:plotArea>
      <c:layout/>
      <c:doughnutChart>
        <c:varyColors val="1"/>
        <c:ser>
          <c:idx val="0"/>
          <c:order val="0"/>
          <c:tx>
            <c:strRef>
              <c:f>'Frequent Guest Overview Dashboa'!$C$17</c:f>
            </c:strRef>
          </c:tx>
          <c:dPt>
            <c:idx val="0"/>
            <c:spPr>
              <a:solidFill>
                <a:srgbClr val="4285F4"/>
              </a:solidFill>
            </c:spPr>
          </c:dPt>
          <c:dPt>
            <c:idx val="1"/>
            <c:spPr>
              <a:solidFill>
                <a:srgbClr val="EA4335"/>
              </a:solidFill>
            </c:spPr>
          </c:dPt>
          <c:dLbls>
            <c:showLegendKey val="0"/>
            <c:showVal val="0"/>
            <c:showCatName val="0"/>
            <c:showSerName val="0"/>
            <c:showPercent val="1"/>
            <c:showBubbleSize val="0"/>
            <c:showLeaderLines val="1"/>
          </c:dLbls>
          <c:cat>
            <c:strRef>
              <c:f>'Frequent Guest Overview Dashboa'!$A$18:$A$19</c:f>
            </c:strRef>
          </c:cat>
          <c:val>
            <c:numRef>
              <c:f>'Frequent Guest Overview Dashboa'!$C$18:$C$19</c:f>
              <c:numCache/>
            </c:numRef>
          </c:val>
        </c:ser>
        <c:dLbls>
          <c:showLegendKey val="0"/>
          <c:showVal val="0"/>
          <c:showCatName val="0"/>
          <c:showSerName val="0"/>
          <c:showPercent val="0"/>
          <c:showBubbleSize val="0"/>
        </c:dLbls>
        <c:holeSize val="50"/>
      </c:doughnut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Average Booking Amount</a:t>
            </a:r>
          </a:p>
        </c:rich>
      </c:tx>
      <c:overlay val="0"/>
    </c:title>
    <c:plotArea>
      <c:layout/>
      <c:barChart>
        <c:barDir val="col"/>
        <c:ser>
          <c:idx val="0"/>
          <c:order val="0"/>
          <c:tx>
            <c:strRef>
              <c:f>'Frequent Guest Overview Dashboa'!$D$17</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'Frequent Guest Overview Dashboa'!$A$18:$A$19</c:f>
            </c:strRef>
          </c:cat>
          <c:val>
            <c:numRef>
              <c:f>'Frequent Guest Overview Dashboa'!$D$18:$D$19</c:f>
              <c:numCache/>
            </c:numRef>
          </c:val>
        </c:ser>
        <c:axId val="444312270"/>
        <c:axId val="1308140182"/>
      </c:barChart>
      <c:catAx>
        <c:axId val="4443122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Guest Type</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1308140182"/>
      </c:catAx>
      <c:valAx>
        <c:axId val="13081401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Amount (in Rs.)</a:t>
                </a:r>
              </a:p>
            </c:rich>
          </c:tx>
          <c:overlay val="0"/>
        </c:title>
        <c:numFmt formatCode="General" sourceLinked="1"/>
        <c:majorTickMark val="none"/>
        <c:minorTickMark val="none"/>
        <c:tickLblPos val="nextTo"/>
        <c:spPr>
          <a:ln/>
        </c:spPr>
        <c:txPr>
          <a:bodyPr/>
          <a:lstStyle/>
          <a:p>
            <a:pPr lvl="0">
              <a:defRPr b="0" sz="1000">
                <a:solidFill>
                  <a:srgbClr val="000000"/>
                </a:solidFill>
                <a:latin typeface="+mn-lt"/>
              </a:defRPr>
            </a:pPr>
          </a:p>
        </c:txPr>
        <c:crossAx val="444312270"/>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 Share of Total Booking Amount</a:t>
            </a:r>
          </a:p>
        </c:rich>
      </c:tx>
      <c:overlay val="0"/>
    </c:title>
    <c:plotArea>
      <c:layout/>
      <c:doughnutChart>
        <c:varyColors val="1"/>
        <c:ser>
          <c:idx val="0"/>
          <c:order val="0"/>
          <c:tx>
            <c:strRef>
              <c:f>'Spending Overview Dashboard'!$C$16</c:f>
            </c:strRef>
          </c:tx>
          <c:dPt>
            <c:idx val="0"/>
            <c:spPr>
              <a:solidFill>
                <a:srgbClr val="4285F4"/>
              </a:solidFill>
            </c:spPr>
          </c:dPt>
          <c:dPt>
            <c:idx val="1"/>
            <c:spPr>
              <a:solidFill>
                <a:srgbClr val="EA4335"/>
              </a:solidFill>
            </c:spPr>
          </c:dPt>
          <c:dLbls>
            <c:showLegendKey val="0"/>
            <c:showVal val="0"/>
            <c:showCatName val="0"/>
            <c:showSerName val="0"/>
            <c:showPercent val="1"/>
            <c:showBubbleSize val="0"/>
            <c:showLeaderLines val="1"/>
          </c:dLbls>
          <c:cat>
            <c:strRef>
              <c:f>'Spending Overview Dashboard'!$A$17:$A$18</c:f>
            </c:strRef>
          </c:cat>
          <c:val>
            <c:numRef>
              <c:f>'Spending Overview Dashboard'!$C$17:$C$18</c:f>
              <c:numCache/>
            </c:numRef>
          </c:val>
        </c:ser>
        <c:dLbls>
          <c:showLegendKey val="0"/>
          <c:showVal val="0"/>
          <c:showCatName val="0"/>
          <c:showSerName val="0"/>
          <c:showPercent val="0"/>
          <c:showBubbleSize val="0"/>
        </c:dLbls>
        <c:holeSize val="50"/>
      </c:doughnut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Average Booking Amount</a:t>
            </a:r>
          </a:p>
        </c:rich>
      </c:tx>
      <c:overlay val="0"/>
    </c:title>
    <c:plotArea>
      <c:layout/>
      <c:barChart>
        <c:barDir val="col"/>
        <c:ser>
          <c:idx val="0"/>
          <c:order val="0"/>
          <c:tx>
            <c:strRef>
              <c:f>'Spending Overview Dashboard'!$D$16</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'Spending Overview Dashboard'!$A$17:$A$18</c:f>
            </c:strRef>
          </c:cat>
          <c:val>
            <c:numRef>
              <c:f>'Spending Overview Dashboard'!$D$17:$D$18</c:f>
              <c:numCache/>
            </c:numRef>
          </c:val>
        </c:ser>
        <c:axId val="864673330"/>
        <c:axId val="416653502"/>
      </c:barChart>
      <c:catAx>
        <c:axId val="8646733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416653502"/>
      </c:catAx>
      <c:valAx>
        <c:axId val="4166535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Amount (in Rs.)</a:t>
                </a:r>
              </a:p>
            </c:rich>
          </c:tx>
          <c:overlay val="0"/>
        </c:title>
        <c:numFmt formatCode="General" sourceLinked="1"/>
        <c:majorTickMark val="none"/>
        <c:minorTickMark val="none"/>
        <c:tickLblPos val="nextTo"/>
        <c:spPr>
          <a:ln/>
        </c:spPr>
        <c:txPr>
          <a:bodyPr/>
          <a:lstStyle/>
          <a:p>
            <a:pPr lvl="0">
              <a:defRPr b="0" sz="1000">
                <a:solidFill>
                  <a:srgbClr val="000000"/>
                </a:solidFill>
                <a:latin typeface="+mn-lt"/>
              </a:defRPr>
            </a:pPr>
          </a:p>
        </c:txPr>
        <c:crossAx val="864673330"/>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 Share of Total Booking Amount</a:t>
            </a:r>
          </a:p>
        </c:rich>
      </c:tx>
      <c:overlay val="0"/>
    </c:title>
    <c:plotArea>
      <c:layout/>
      <c:doughnutChart>
        <c:varyColors val="1"/>
        <c:ser>
          <c:idx val="0"/>
          <c:order val="0"/>
          <c:tx>
            <c:strRef>
              <c:f>'Recency Dashboard'!$C$17</c:f>
            </c:strRef>
          </c:tx>
          <c:dPt>
            <c:idx val="0"/>
            <c:spPr>
              <a:solidFill>
                <a:srgbClr val="4285F4"/>
              </a:solidFill>
            </c:spPr>
          </c:dPt>
          <c:dPt>
            <c:idx val="1"/>
            <c:spPr>
              <a:solidFill>
                <a:srgbClr val="EA4335"/>
              </a:solidFill>
            </c:spPr>
          </c:dPt>
          <c:dLbls>
            <c:showLegendKey val="0"/>
            <c:showVal val="0"/>
            <c:showCatName val="0"/>
            <c:showSerName val="0"/>
            <c:showPercent val="1"/>
            <c:showBubbleSize val="0"/>
            <c:showLeaderLines val="1"/>
          </c:dLbls>
          <c:cat>
            <c:strRef>
              <c:f>'Recency Dashboard'!$A$18:$A$19</c:f>
            </c:strRef>
          </c:cat>
          <c:val>
            <c:numRef>
              <c:f>'Recency Dashboard'!$C$18:$C$19</c:f>
              <c:numCache/>
            </c:numRef>
          </c:val>
        </c:ser>
        <c:dLbls>
          <c:showLegendKey val="0"/>
          <c:showVal val="0"/>
          <c:showCatName val="0"/>
          <c:showSerName val="0"/>
          <c:showPercent val="0"/>
          <c:showBubbleSize val="0"/>
        </c:dLbls>
        <c:holeSize val="50"/>
      </c:doughnut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Average Booking Amount per Guest Type</a:t>
            </a:r>
          </a:p>
        </c:rich>
      </c:tx>
      <c:overlay val="0"/>
    </c:title>
    <c:plotArea>
      <c:layout/>
      <c:barChart>
        <c:barDir val="col"/>
        <c:ser>
          <c:idx val="0"/>
          <c:order val="0"/>
          <c:tx>
            <c:strRef>
              <c:f>'Recency Dashboard'!$D$17</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'Recency Dashboard'!$A$18:$A$19</c:f>
            </c:strRef>
          </c:cat>
          <c:val>
            <c:numRef>
              <c:f>'Recency Dashboard'!$D$18:$D$19</c:f>
              <c:numCache/>
            </c:numRef>
          </c:val>
        </c:ser>
        <c:axId val="958036485"/>
        <c:axId val="938788636"/>
      </c:barChart>
      <c:catAx>
        <c:axId val="9580364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938788636"/>
      </c:catAx>
      <c:valAx>
        <c:axId val="9387886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sz="1000">
                <a:solidFill>
                  <a:srgbClr val="000000"/>
                </a:solidFill>
                <a:latin typeface="+mn-lt"/>
              </a:defRPr>
            </a:pPr>
          </a:p>
        </c:txPr>
        <c:crossAx val="958036485"/>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 Share of Total Booking Amount</a:t>
            </a:r>
          </a:p>
        </c:rich>
      </c:tx>
      <c:overlay val="0"/>
    </c:title>
    <c:plotArea>
      <c:layout/>
      <c:doughnutChart>
        <c:varyColors val="1"/>
        <c:ser>
          <c:idx val="0"/>
          <c:order val="0"/>
          <c:tx>
            <c:strRef>
              <c:f>'VIP Guest Overview'!$D$19</c:f>
            </c:strRef>
          </c:tx>
          <c:dPt>
            <c:idx val="0"/>
            <c:spPr>
              <a:solidFill>
                <a:srgbClr val="4285F4"/>
              </a:solidFill>
            </c:spPr>
          </c:dPt>
          <c:dPt>
            <c:idx val="1"/>
            <c:spPr>
              <a:solidFill>
                <a:srgbClr val="EA4335"/>
              </a:solidFill>
            </c:spPr>
          </c:dPt>
          <c:dLbls>
            <c:showLegendKey val="0"/>
            <c:showVal val="0"/>
            <c:showCatName val="0"/>
            <c:showSerName val="0"/>
            <c:showPercent val="1"/>
            <c:showBubbleSize val="0"/>
            <c:showLeaderLines val="1"/>
          </c:dLbls>
          <c:cat>
            <c:strRef>
              <c:f>'VIP Guest Overview'!$A$20:$A$21</c:f>
            </c:strRef>
          </c:cat>
          <c:val>
            <c:numRef>
              <c:f>'VIP Guest Overview'!$D$20:$D$21</c:f>
              <c:numCache/>
            </c:numRef>
          </c:val>
        </c:ser>
        <c:dLbls>
          <c:showLegendKey val="0"/>
          <c:showVal val="0"/>
          <c:showCatName val="0"/>
          <c:showSerName val="0"/>
          <c:showPercent val="0"/>
          <c:showBubbleSize val="0"/>
        </c:dLbls>
        <c:holeSize val="50"/>
      </c:doughnutChart>
    </c:plotArea>
    <c:legend>
      <c:legendPos val="t"/>
      <c:overlay val="0"/>
      <c:txPr>
        <a:bodyPr/>
        <a:lstStyle/>
        <a:p>
          <a:pPr lvl="0">
            <a:defRPr b="0">
              <a:solidFill>
                <a:srgbClr val="1A1A1A"/>
              </a:solidFill>
              <a:latin typeface="+mn-lt"/>
            </a:defRPr>
          </a:pPr>
        </a:p>
      </c:txPr>
    </c:legend>
    <c:plotVisOnly val="1"/>
  </c:chart>
  <c:spPr>
    <a:solidFill>
      <a:srgbClr val="EFEFEF"/>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Average Booking Amount</a:t>
            </a:r>
          </a:p>
        </c:rich>
      </c:tx>
      <c:overlay val="0"/>
    </c:title>
    <c:plotArea>
      <c:layout/>
      <c:barChart>
        <c:barDir val="col"/>
        <c:ser>
          <c:idx val="0"/>
          <c:order val="0"/>
          <c:tx>
            <c:strRef>
              <c:f>'VIP Guest Overview'!$E$19</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'VIP Guest Overview'!$A$20:$A$21</c:f>
            </c:strRef>
          </c:cat>
          <c:val>
            <c:numRef>
              <c:f>'VIP Guest Overview'!$E$20:$E$21</c:f>
              <c:numCache/>
            </c:numRef>
          </c:val>
        </c:ser>
        <c:axId val="1300097529"/>
        <c:axId val="1726921545"/>
      </c:barChart>
      <c:catAx>
        <c:axId val="13000975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1726921545"/>
      </c:catAx>
      <c:valAx>
        <c:axId val="17269215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000">
                    <a:solidFill>
                      <a:srgbClr val="000000"/>
                    </a:solidFill>
                    <a:latin typeface="+mn-lt"/>
                  </a:defRPr>
                </a:pPr>
                <a:r>
                  <a:rPr b="0" sz="1000">
                    <a:solidFill>
                      <a:srgbClr val="000000"/>
                    </a:solidFill>
                    <a:latin typeface="+mn-lt"/>
                  </a:rPr>
                  <a:t>Amount (in Rs.)</a:t>
                </a:r>
              </a:p>
            </c:rich>
          </c:tx>
          <c:overlay val="0"/>
        </c:title>
        <c:numFmt formatCode="General" sourceLinked="1"/>
        <c:majorTickMark val="none"/>
        <c:minorTickMark val="none"/>
        <c:tickLblPos val="nextTo"/>
        <c:spPr>
          <a:ln/>
        </c:spPr>
        <c:txPr>
          <a:bodyPr/>
          <a:lstStyle/>
          <a:p>
            <a:pPr lvl="0">
              <a:defRPr b="0" sz="1000">
                <a:solidFill>
                  <a:srgbClr val="000000"/>
                </a:solidFill>
                <a:latin typeface="+mn-lt"/>
              </a:defRPr>
            </a:pPr>
          </a:p>
        </c:txPr>
        <c:crossAx val="1300097529"/>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Average Number of Bookings</a:t>
            </a:r>
          </a:p>
        </c:rich>
      </c:tx>
      <c:overlay val="0"/>
    </c:title>
    <c:plotArea>
      <c:layout/>
      <c:barChart>
        <c:barDir val="bar"/>
        <c:ser>
          <c:idx val="0"/>
          <c:order val="0"/>
          <c:tx>
            <c:strRef>
              <c:f>'VIP Guest Overview'!$F$19</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'VIP Guest Overview'!$A$20:$A$21</c:f>
            </c:strRef>
          </c:cat>
          <c:val>
            <c:numRef>
              <c:f>'VIP Guest Overview'!$F$20:$F$21</c:f>
              <c:numCache/>
            </c:numRef>
          </c:val>
        </c:ser>
        <c:axId val="1105777016"/>
        <c:axId val="1122561536"/>
      </c:barChart>
      <c:catAx>
        <c:axId val="110577701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000">
                <a:solidFill>
                  <a:srgbClr val="000000"/>
                </a:solidFill>
                <a:latin typeface="+mn-lt"/>
              </a:defRPr>
            </a:pPr>
          </a:p>
        </c:txPr>
        <c:crossAx val="1122561536"/>
      </c:catAx>
      <c:valAx>
        <c:axId val="112256153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sz="1000">
                <a:solidFill>
                  <a:srgbClr val="000000"/>
                </a:solidFill>
                <a:latin typeface="+mn-lt"/>
              </a:defRPr>
            </a:pPr>
          </a:p>
        </c:txPr>
        <c:crossAx val="1105777016"/>
        <c:crosses val="max"/>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3790950" cy="282892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1885950</xdr:colOff>
      <xdr:row>2</xdr:row>
      <xdr:rowOff>0</xdr:rowOff>
    </xdr:from>
    <xdr:ext cx="3790950" cy="2828925"/>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1866900</xdr:colOff>
      <xdr:row>2</xdr:row>
      <xdr:rowOff>0</xdr:rowOff>
    </xdr:from>
    <xdr:ext cx="4695825" cy="2828925"/>
    <xdr:graphicFrame>
      <xdr:nvGraphicFramePr>
        <xdr:cNvPr id="9" name="Chart 9"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3219450" cy="27622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0</xdr:colOff>
      <xdr:row>0</xdr:row>
      <xdr:rowOff>238125</xdr:rowOff>
    </xdr:from>
    <xdr:ext cx="5257800" cy="28194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285750</xdr:rowOff>
    </xdr:from>
    <xdr:ext cx="4238625" cy="257175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2105025</xdr:colOff>
      <xdr:row>0</xdr:row>
      <xdr:rowOff>285750</xdr:rowOff>
    </xdr:from>
    <xdr:ext cx="5410200" cy="2571750"/>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xdr:row>
      <xdr:rowOff>0</xdr:rowOff>
    </xdr:from>
    <xdr:ext cx="4648200" cy="2362200"/>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0</xdr:colOff>
      <xdr:row>2</xdr:row>
      <xdr:rowOff>0</xdr:rowOff>
    </xdr:from>
    <xdr:ext cx="5600700" cy="2409825"/>
    <xdr:graphicFrame>
      <xdr:nvGraphicFramePr>
        <xdr:cNvPr id="6" name="Chart 6"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t="s">
        <v>0</v>
      </c>
      <c r="H1" s="2"/>
      <c r="I1" s="2"/>
      <c r="J1" s="2"/>
      <c r="K1" s="2"/>
      <c r="L1" s="2"/>
      <c r="M1" s="3"/>
      <c r="N1" s="3"/>
      <c r="O1" s="3"/>
      <c r="P1" s="3"/>
      <c r="Q1" s="3"/>
      <c r="R1" s="3"/>
      <c r="S1" s="3"/>
      <c r="T1" s="3"/>
      <c r="U1" s="3"/>
      <c r="V1" s="3"/>
      <c r="W1" s="3"/>
      <c r="X1" s="3"/>
      <c r="Y1" s="3"/>
      <c r="Z1" s="3"/>
    </row>
    <row r="2">
      <c r="A2" s="4" t="s">
        <v>1</v>
      </c>
      <c r="H2" s="2"/>
      <c r="I2" s="2"/>
      <c r="J2" s="2"/>
      <c r="K2" s="2"/>
      <c r="R2" s="2"/>
      <c r="S2" s="2"/>
      <c r="T2" s="2"/>
      <c r="U2" s="2"/>
      <c r="V2" s="2"/>
      <c r="W2" s="2"/>
      <c r="X2" s="2"/>
      <c r="Y2" s="2"/>
      <c r="Z2" s="2"/>
    </row>
    <row r="3">
      <c r="A3" s="2"/>
      <c r="B3" s="2"/>
      <c r="C3" s="2"/>
      <c r="D3" s="2"/>
      <c r="E3" s="2"/>
      <c r="F3" s="2"/>
      <c r="G3" s="2"/>
      <c r="H3" s="2"/>
      <c r="I3" s="2"/>
      <c r="J3" s="5"/>
      <c r="K3" s="2"/>
      <c r="L3" s="2"/>
      <c r="M3" s="2"/>
      <c r="N3" s="2"/>
      <c r="O3" s="2"/>
      <c r="P3" s="2"/>
      <c r="Q3" s="2"/>
      <c r="R3" s="2"/>
      <c r="S3" s="2"/>
      <c r="T3" s="2"/>
      <c r="U3" s="2"/>
      <c r="V3" s="2"/>
      <c r="W3" s="2"/>
      <c r="X3" s="2"/>
      <c r="Y3" s="2"/>
      <c r="Z3" s="2"/>
    </row>
    <row r="4">
      <c r="A4" s="1" t="s">
        <v>2</v>
      </c>
      <c r="H4" s="3"/>
      <c r="I4" s="6"/>
      <c r="J4" s="7"/>
      <c r="K4" s="3"/>
      <c r="L4" s="3"/>
      <c r="M4" s="3"/>
      <c r="N4" s="3"/>
      <c r="O4" s="3"/>
      <c r="P4" s="3"/>
      <c r="Q4" s="3"/>
      <c r="R4" s="3"/>
      <c r="S4" s="3"/>
      <c r="T4" s="3"/>
      <c r="U4" s="3"/>
      <c r="V4" s="3"/>
      <c r="W4" s="3"/>
      <c r="X4" s="3"/>
      <c r="Y4" s="3"/>
      <c r="Z4" s="3"/>
    </row>
    <row r="5">
      <c r="A5" s="4" t="s">
        <v>3</v>
      </c>
      <c r="H5" s="2"/>
      <c r="I5" s="2"/>
      <c r="J5" s="5"/>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4" t="s">
        <v>4</v>
      </c>
      <c r="H7" s="2"/>
      <c r="I7" s="2"/>
      <c r="J7" s="2"/>
      <c r="K7" s="2"/>
      <c r="L7" s="2"/>
      <c r="M7" s="2"/>
      <c r="N7" s="2"/>
      <c r="O7" s="2"/>
      <c r="P7" s="2"/>
      <c r="Q7" s="2"/>
      <c r="R7" s="2"/>
      <c r="S7" s="2"/>
      <c r="T7" s="2"/>
      <c r="U7" s="2"/>
      <c r="V7" s="2"/>
      <c r="W7" s="2"/>
      <c r="X7" s="2"/>
      <c r="Y7" s="2"/>
      <c r="Z7" s="2"/>
    </row>
    <row r="8" ht="16.5" customHeight="1">
      <c r="A8" s="2"/>
      <c r="B8" s="2"/>
      <c r="C8" s="2"/>
      <c r="D8" s="2"/>
      <c r="E8" s="2"/>
      <c r="F8" s="2"/>
      <c r="G8" s="2"/>
      <c r="H8" s="2"/>
      <c r="I8" s="2"/>
      <c r="J8" s="2"/>
      <c r="K8" s="2"/>
      <c r="L8" s="2"/>
      <c r="M8" s="2"/>
      <c r="N8" s="2"/>
      <c r="O8" s="2"/>
      <c r="P8" s="2"/>
      <c r="Q8" s="2"/>
      <c r="R8" s="2"/>
      <c r="S8" s="2"/>
      <c r="T8" s="2"/>
      <c r="U8" s="2"/>
      <c r="V8" s="2"/>
      <c r="W8" s="2"/>
      <c r="X8" s="2"/>
      <c r="Y8" s="2"/>
      <c r="Z8" s="2"/>
    </row>
    <row r="9" ht="59.25" customHeight="1">
      <c r="A9" s="8" t="s">
        <v>5</v>
      </c>
      <c r="H9" s="2"/>
      <c r="I9" s="2"/>
      <c r="J9" s="2"/>
      <c r="K9" s="2"/>
      <c r="L9" s="2"/>
      <c r="M9" s="2"/>
      <c r="N9" s="2"/>
      <c r="O9" s="2"/>
      <c r="P9" s="2"/>
      <c r="Q9" s="2"/>
      <c r="R9" s="2"/>
      <c r="S9" s="2"/>
      <c r="T9" s="2"/>
      <c r="U9" s="2"/>
      <c r="V9" s="2"/>
      <c r="W9" s="2"/>
      <c r="X9" s="2"/>
      <c r="Y9" s="2"/>
      <c r="Z9" s="2"/>
    </row>
    <row r="10" ht="16.5" customHeight="1">
      <c r="A10" s="4"/>
      <c r="B10" s="4"/>
      <c r="C10" s="4"/>
      <c r="D10" s="4"/>
      <c r="E10" s="4"/>
      <c r="F10" s="4"/>
      <c r="G10" s="4"/>
      <c r="H10" s="2"/>
      <c r="I10" s="2"/>
      <c r="J10" s="2"/>
      <c r="K10" s="2"/>
      <c r="L10" s="2"/>
      <c r="M10" s="2"/>
      <c r="N10" s="2"/>
      <c r="O10" s="2"/>
      <c r="P10" s="2"/>
      <c r="Q10" s="2"/>
      <c r="R10" s="2"/>
      <c r="S10" s="2"/>
      <c r="T10" s="2"/>
      <c r="U10" s="2"/>
      <c r="V10" s="2"/>
      <c r="W10" s="2"/>
      <c r="X10" s="2"/>
      <c r="Y10" s="2"/>
      <c r="Z10" s="2"/>
    </row>
    <row r="11" ht="57.75" customHeight="1">
      <c r="A11" s="4" t="s">
        <v>6</v>
      </c>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1" t="s">
        <v>7</v>
      </c>
      <c r="H13" s="2"/>
      <c r="I13" s="2"/>
      <c r="J13" s="2"/>
      <c r="K13" s="2"/>
      <c r="L13" s="2"/>
      <c r="M13" s="2"/>
      <c r="N13" s="2"/>
      <c r="O13" s="2"/>
      <c r="P13" s="2"/>
      <c r="Q13" s="2"/>
      <c r="R13" s="2"/>
      <c r="S13" s="2"/>
      <c r="T13" s="2"/>
      <c r="U13" s="2"/>
      <c r="V13" s="2"/>
      <c r="W13" s="2"/>
      <c r="X13" s="2"/>
      <c r="Y13" s="2"/>
      <c r="Z13" s="2"/>
    </row>
    <row r="14">
      <c r="A14" s="4" t="s">
        <v>8</v>
      </c>
      <c r="H14" s="2"/>
      <c r="I14" s="2"/>
      <c r="J14" s="2"/>
      <c r="K14" s="2"/>
      <c r="L14" s="2"/>
      <c r="M14" s="2"/>
      <c r="N14" s="2"/>
      <c r="O14" s="2"/>
      <c r="P14" s="2"/>
      <c r="Q14" s="2"/>
      <c r="R14" s="2"/>
      <c r="S14" s="2"/>
      <c r="T14" s="2"/>
      <c r="U14" s="2"/>
      <c r="V14" s="2"/>
      <c r="W14" s="2"/>
      <c r="X14" s="2"/>
      <c r="Y14" s="2"/>
      <c r="Z14" s="2"/>
    </row>
    <row r="15">
      <c r="A15" s="2"/>
      <c r="H15" s="2"/>
      <c r="I15" s="2"/>
      <c r="J15" s="2"/>
      <c r="K15" s="2"/>
      <c r="L15" s="2"/>
      <c r="M15" s="2"/>
      <c r="N15" s="2"/>
      <c r="O15" s="2"/>
      <c r="P15" s="2"/>
      <c r="Q15" s="2"/>
      <c r="R15" s="2"/>
      <c r="S15" s="2"/>
      <c r="T15" s="2"/>
      <c r="U15" s="2"/>
      <c r="V15" s="2"/>
      <c r="W15" s="2"/>
      <c r="X15" s="2"/>
      <c r="Y15" s="2"/>
      <c r="Z15" s="2"/>
    </row>
    <row r="16">
      <c r="A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sheetData>
  <mergeCells count="12">
    <mergeCell ref="A11:G11"/>
    <mergeCell ref="A13:G13"/>
    <mergeCell ref="A14:G14"/>
    <mergeCell ref="A15:G15"/>
    <mergeCell ref="A16:G16"/>
    <mergeCell ref="A1:G1"/>
    <mergeCell ref="A2:G2"/>
    <mergeCell ref="K2:Q2"/>
    <mergeCell ref="A4:G4"/>
    <mergeCell ref="A5:G5"/>
    <mergeCell ref="A7:G7"/>
    <mergeCell ref="A9:G9"/>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9" width="17.75"/>
  </cols>
  <sheetData>
    <row r="1">
      <c r="A1" s="41" t="s">
        <v>200</v>
      </c>
      <c r="B1" s="30"/>
      <c r="C1" s="30"/>
      <c r="D1" s="30"/>
      <c r="E1" s="30"/>
      <c r="F1" s="30"/>
      <c r="G1" s="30"/>
      <c r="H1" s="30"/>
      <c r="I1" s="24"/>
    </row>
    <row r="2">
      <c r="A2" s="31" t="s">
        <v>9</v>
      </c>
      <c r="B2" s="31" t="s">
        <v>183</v>
      </c>
      <c r="C2" s="31" t="s">
        <v>14</v>
      </c>
      <c r="D2" s="42" t="s">
        <v>195</v>
      </c>
      <c r="E2" s="42" t="s">
        <v>201</v>
      </c>
      <c r="F2" s="31" t="s">
        <v>202</v>
      </c>
      <c r="G2" s="31" t="s">
        <v>203</v>
      </c>
      <c r="H2" s="31" t="s">
        <v>185</v>
      </c>
      <c r="I2" s="31" t="s">
        <v>204</v>
      </c>
    </row>
    <row r="3">
      <c r="A3" s="26" t="str">
        <f>IFERROR(__xludf.DUMMYFUNCTION("UNIQUE('Booking Data'!A2:A116)"),"HTA-THL-0020")</f>
        <v>HTA-THL-0020</v>
      </c>
      <c r="B3" s="26">
        <f>VLOOKUP(A3,'Booking Frequency'!A2:E43,3,FALSE)</f>
        <v>4</v>
      </c>
      <c r="C3" s="26">
        <f>VLOOKUP(A3,'Booking Frequency'!A2:E43,2,FALSE)</f>
        <v>55000</v>
      </c>
      <c r="D3" s="26">
        <f>VLOOKUP(A3,'Recency Analysis'!A2:G43,5,FALSE)</f>
        <v>37</v>
      </c>
      <c r="E3" s="26">
        <f>VLOOKUP(A3,'Booking Frequency'!A2:E43,5,FALSE)</f>
        <v>7</v>
      </c>
      <c r="F3" s="26">
        <f>VLOOKUP(A3,'Spending Power'!A2:D43,4,FALSE)</f>
        <v>10</v>
      </c>
      <c r="G3" s="43">
        <f t="shared" ref="G3:G43" si="1">AVERAGE(D3:F3)</f>
        <v>18</v>
      </c>
      <c r="H3" s="26">
        <f t="shared" ref="H3:H43" si="2">RANK(G3,$G$3:$G$43,TRUE)</f>
        <v>19</v>
      </c>
      <c r="I3" s="26" t="str">
        <f t="shared" ref="I3:I43" si="3">IF(H3&lt;=5,"VIP Guest","Others")</f>
        <v>Others</v>
      </c>
    </row>
    <row r="4">
      <c r="A4" s="26" t="str">
        <f>IFERROR(__xludf.DUMMYFUNCTION("""COMPUTED_VALUE"""),"HTA-THL-0015")</f>
        <v>HTA-THL-0015</v>
      </c>
      <c r="B4" s="26">
        <f>VLOOKUP(A4,'Booking Frequency'!A3:E44,3,FALSE)</f>
        <v>2</v>
      </c>
      <c r="C4" s="26">
        <f>VLOOKUP(A4,'Booking Frequency'!A3:E44,2,FALSE)</f>
        <v>35000</v>
      </c>
      <c r="D4" s="26">
        <f>VLOOKUP(A4,'Recency Analysis'!A3:G44,5,FALSE)</f>
        <v>15</v>
      </c>
      <c r="E4" s="26">
        <f>VLOOKUP(A4,'Booking Frequency'!A3:E44,5,FALSE)</f>
        <v>20</v>
      </c>
      <c r="F4" s="26">
        <f>VLOOKUP(A4,'Spending Power'!A3:D44,4,FALSE)</f>
        <v>20</v>
      </c>
      <c r="G4" s="43">
        <f t="shared" si="1"/>
        <v>18.33333333</v>
      </c>
      <c r="H4" s="26">
        <f t="shared" si="2"/>
        <v>21</v>
      </c>
      <c r="I4" s="26" t="str">
        <f t="shared" si="3"/>
        <v>Others</v>
      </c>
    </row>
    <row r="5">
      <c r="A5" s="26" t="str">
        <f>IFERROR(__xludf.DUMMYFUNCTION("""COMPUTED_VALUE"""),"HTA-THL-005")</f>
        <v>HTA-THL-005</v>
      </c>
      <c r="B5" s="26">
        <f>VLOOKUP(A5,'Booking Frequency'!A4:E45,3,FALSE)</f>
        <v>7</v>
      </c>
      <c r="C5" s="26">
        <f>VLOOKUP(A5,'Booking Frequency'!A4:E45,2,FALSE)</f>
        <v>95000</v>
      </c>
      <c r="D5" s="26">
        <f>VLOOKUP(A5,'Recency Analysis'!A4:G45,5,FALSE)</f>
        <v>16</v>
      </c>
      <c r="E5" s="26">
        <f>VLOOKUP(A5,'Booking Frequency'!A4:E45,5,FALSE)</f>
        <v>2</v>
      </c>
      <c r="F5" s="26">
        <f>VLOOKUP(A5,'Spending Power'!A4:D45,4,FALSE)</f>
        <v>3</v>
      </c>
      <c r="G5" s="43">
        <f t="shared" si="1"/>
        <v>7</v>
      </c>
      <c r="H5" s="26">
        <f t="shared" si="2"/>
        <v>4</v>
      </c>
      <c r="I5" s="26" t="str">
        <f t="shared" si="3"/>
        <v>VIP Guest</v>
      </c>
    </row>
    <row r="6">
      <c r="A6" s="26" t="str">
        <f>IFERROR(__xludf.DUMMYFUNCTION("""COMPUTED_VALUE"""),"HTA-THL-0027")</f>
        <v>HTA-THL-0027</v>
      </c>
      <c r="B6" s="26">
        <f>VLOOKUP(A6,'Booking Frequency'!A5:E46,3,FALSE)</f>
        <v>3</v>
      </c>
      <c r="C6" s="26">
        <f>VLOOKUP(A6,'Booking Frequency'!A5:E46,2,FALSE)</f>
        <v>40000</v>
      </c>
      <c r="D6" s="26">
        <f>VLOOKUP(A6,'Recency Analysis'!A5:G46,5,FALSE)</f>
        <v>27</v>
      </c>
      <c r="E6" s="26">
        <f>VLOOKUP(A6,'Booking Frequency'!A5:E46,5,FALSE)</f>
        <v>12</v>
      </c>
      <c r="F6" s="26">
        <f>VLOOKUP(A6,'Spending Power'!A5:D46,4,FALSE)</f>
        <v>18</v>
      </c>
      <c r="G6" s="43">
        <f t="shared" si="1"/>
        <v>19</v>
      </c>
      <c r="H6" s="26">
        <f t="shared" si="2"/>
        <v>22</v>
      </c>
      <c r="I6" s="26" t="str">
        <f t="shared" si="3"/>
        <v>Others</v>
      </c>
    </row>
    <row r="7">
      <c r="A7" s="26" t="str">
        <f>IFERROR(__xludf.DUMMYFUNCTION("""COMPUTED_VALUE"""),"HTA-THL-0016")</f>
        <v>HTA-THL-0016</v>
      </c>
      <c r="B7" s="26">
        <f>VLOOKUP(A7,'Booking Frequency'!A6:E47,3,FALSE)</f>
        <v>2</v>
      </c>
      <c r="C7" s="26">
        <f>VLOOKUP(A7,'Booking Frequency'!A6:E47,2,FALSE)</f>
        <v>35000</v>
      </c>
      <c r="D7" s="26">
        <f>VLOOKUP(A7,'Recency Analysis'!A6:G47,5,FALSE)</f>
        <v>40</v>
      </c>
      <c r="E7" s="26">
        <f>VLOOKUP(A7,'Booking Frequency'!A6:E47,5,FALSE)</f>
        <v>20</v>
      </c>
      <c r="F7" s="26">
        <f>VLOOKUP(A7,'Spending Power'!A6:D47,4,FALSE)</f>
        <v>20</v>
      </c>
      <c r="G7" s="43">
        <f t="shared" si="1"/>
        <v>26.66666667</v>
      </c>
      <c r="H7" s="26">
        <f t="shared" si="2"/>
        <v>30</v>
      </c>
      <c r="I7" s="26" t="str">
        <f t="shared" si="3"/>
        <v>Others</v>
      </c>
    </row>
    <row r="8">
      <c r="A8" s="26" t="str">
        <f>IFERROR(__xludf.DUMMYFUNCTION("""COMPUTED_VALUE"""),"HTA-THL-0021")</f>
        <v>HTA-THL-0021</v>
      </c>
      <c r="B8" s="26">
        <f>VLOOKUP(A8,'Booking Frequency'!A7:E48,3,FALSE)</f>
        <v>3</v>
      </c>
      <c r="C8" s="26">
        <f>VLOOKUP(A8,'Booking Frequency'!A7:E48,2,FALSE)</f>
        <v>45000</v>
      </c>
      <c r="D8" s="26">
        <f>VLOOKUP(A8,'Recency Analysis'!A7:G48,5,FALSE)</f>
        <v>22</v>
      </c>
      <c r="E8" s="26">
        <f>VLOOKUP(A8,'Booking Frequency'!A7:E48,5,FALSE)</f>
        <v>12</v>
      </c>
      <c r="F8" s="26">
        <f>VLOOKUP(A8,'Spending Power'!A7:D48,4,FALSE)</f>
        <v>15</v>
      </c>
      <c r="G8" s="43">
        <f t="shared" si="1"/>
        <v>16.33333333</v>
      </c>
      <c r="H8" s="26">
        <f t="shared" si="2"/>
        <v>17</v>
      </c>
      <c r="I8" s="26" t="str">
        <f t="shared" si="3"/>
        <v>Others</v>
      </c>
    </row>
    <row r="9">
      <c r="A9" s="26" t="str">
        <f>IFERROR(__xludf.DUMMYFUNCTION("""COMPUTED_VALUE"""),"HTA-THL-0023")</f>
        <v>HTA-THL-0023</v>
      </c>
      <c r="B9" s="26">
        <f>VLOOKUP(A9,'Booking Frequency'!A8:E49,3,FALSE)</f>
        <v>4</v>
      </c>
      <c r="C9" s="26">
        <f>VLOOKUP(A9,'Booking Frequency'!A8:E49,2,FALSE)</f>
        <v>57500</v>
      </c>
      <c r="D9" s="26">
        <f>VLOOKUP(A9,'Recency Analysis'!A8:G49,5,FALSE)</f>
        <v>5</v>
      </c>
      <c r="E9" s="26">
        <f>VLOOKUP(A9,'Booking Frequency'!A8:E49,5,FALSE)</f>
        <v>7</v>
      </c>
      <c r="F9" s="26">
        <f>VLOOKUP(A9,'Spending Power'!A8:D49,4,FALSE)</f>
        <v>9</v>
      </c>
      <c r="G9" s="43">
        <f t="shared" si="1"/>
        <v>7</v>
      </c>
      <c r="H9" s="26">
        <f t="shared" si="2"/>
        <v>4</v>
      </c>
      <c r="I9" s="26" t="str">
        <f t="shared" si="3"/>
        <v>VIP Guest</v>
      </c>
    </row>
    <row r="10">
      <c r="A10" s="26" t="str">
        <f>IFERROR(__xludf.DUMMYFUNCTION("""COMPUTED_VALUE"""),"HTA-THL-0013")</f>
        <v>HTA-THL-0013</v>
      </c>
      <c r="B10" s="26">
        <f>VLOOKUP(A10,'Booking Frequency'!A9:E50,3,FALSE)</f>
        <v>3</v>
      </c>
      <c r="C10" s="26">
        <f>VLOOKUP(A10,'Booking Frequency'!A9:E50,2,FALSE)</f>
        <v>47500</v>
      </c>
      <c r="D10" s="26">
        <f>VLOOKUP(A10,'Recency Analysis'!A9:G50,5,FALSE)</f>
        <v>14</v>
      </c>
      <c r="E10" s="26">
        <f>VLOOKUP(A10,'Booking Frequency'!A9:E50,5,FALSE)</f>
        <v>12</v>
      </c>
      <c r="F10" s="26">
        <f>VLOOKUP(A10,'Spending Power'!A9:D50,4,FALSE)</f>
        <v>13</v>
      </c>
      <c r="G10" s="43">
        <f t="shared" si="1"/>
        <v>13</v>
      </c>
      <c r="H10" s="26">
        <f t="shared" si="2"/>
        <v>13</v>
      </c>
      <c r="I10" s="26" t="str">
        <f t="shared" si="3"/>
        <v>Others</v>
      </c>
    </row>
    <row r="11">
      <c r="A11" s="26" t="str">
        <f>IFERROR(__xludf.DUMMYFUNCTION("""COMPUTED_VALUE"""),"HTA-THL-0022")</f>
        <v>HTA-THL-0022</v>
      </c>
      <c r="B11" s="26">
        <f>VLOOKUP(A11,'Booking Frequency'!A10:E51,3,FALSE)</f>
        <v>6</v>
      </c>
      <c r="C11" s="26">
        <f>VLOOKUP(A11,'Booking Frequency'!A10:E51,2,FALSE)</f>
        <v>92500</v>
      </c>
      <c r="D11" s="26">
        <f>VLOOKUP(A11,'Recency Analysis'!A10:G51,5,FALSE)</f>
        <v>7</v>
      </c>
      <c r="E11" s="26">
        <f>VLOOKUP(A11,'Booking Frequency'!A10:E51,5,FALSE)</f>
        <v>3</v>
      </c>
      <c r="F11" s="26">
        <f>VLOOKUP(A11,'Spending Power'!A10:D51,4,FALSE)</f>
        <v>4</v>
      </c>
      <c r="G11" s="43">
        <f t="shared" si="1"/>
        <v>4.666666667</v>
      </c>
      <c r="H11" s="26">
        <f t="shared" si="2"/>
        <v>3</v>
      </c>
      <c r="I11" s="26" t="str">
        <f t="shared" si="3"/>
        <v>VIP Guest</v>
      </c>
    </row>
    <row r="12">
      <c r="A12" s="26" t="str">
        <f>IFERROR(__xludf.DUMMYFUNCTION("""COMPUTED_VALUE"""),"HTA-THL-0025")</f>
        <v>HTA-THL-0025</v>
      </c>
      <c r="B12" s="26">
        <f>VLOOKUP(A12,'Booking Frequency'!A11:E52,3,FALSE)</f>
        <v>4</v>
      </c>
      <c r="C12" s="26">
        <f>VLOOKUP(A12,'Booking Frequency'!A11:E52,2,FALSE)</f>
        <v>70000</v>
      </c>
      <c r="D12" s="26">
        <f>VLOOKUP(A12,'Recency Analysis'!A11:G52,5,FALSE)</f>
        <v>29</v>
      </c>
      <c r="E12" s="26">
        <f>VLOOKUP(A12,'Booking Frequency'!A11:E52,5,FALSE)</f>
        <v>7</v>
      </c>
      <c r="F12" s="26">
        <f>VLOOKUP(A12,'Spending Power'!A11:D52,4,FALSE)</f>
        <v>7</v>
      </c>
      <c r="G12" s="43">
        <f t="shared" si="1"/>
        <v>14.33333333</v>
      </c>
      <c r="H12" s="26">
        <f t="shared" si="2"/>
        <v>14</v>
      </c>
      <c r="I12" s="26" t="str">
        <f t="shared" si="3"/>
        <v>Others</v>
      </c>
    </row>
    <row r="13">
      <c r="A13" s="26" t="str">
        <f>IFERROR(__xludf.DUMMYFUNCTION("""COMPUTED_VALUE"""),"HTA-THL-006")</f>
        <v>HTA-THL-006</v>
      </c>
      <c r="B13" s="26">
        <f>VLOOKUP(A13,'Booking Frequency'!A12:E53,3,FALSE)</f>
        <v>6</v>
      </c>
      <c r="C13" s="26">
        <f>VLOOKUP(A13,'Booking Frequency'!A12:E53,2,FALSE)</f>
        <v>90000</v>
      </c>
      <c r="D13" s="26">
        <f>VLOOKUP(A13,'Recency Analysis'!A12:G53,5,FALSE)</f>
        <v>12</v>
      </c>
      <c r="E13" s="26">
        <f>VLOOKUP(A13,'Booking Frequency'!A12:E53,5,FALSE)</f>
        <v>3</v>
      </c>
      <c r="F13" s="26">
        <f>VLOOKUP(A13,'Spending Power'!A12:D53,4,FALSE)</f>
        <v>6</v>
      </c>
      <c r="G13" s="43">
        <f t="shared" si="1"/>
        <v>7</v>
      </c>
      <c r="H13" s="26">
        <f t="shared" si="2"/>
        <v>4</v>
      </c>
      <c r="I13" s="26" t="str">
        <f t="shared" si="3"/>
        <v>VIP Guest</v>
      </c>
    </row>
    <row r="14">
      <c r="A14" s="26" t="str">
        <f>IFERROR(__xludf.DUMMYFUNCTION("""COMPUTED_VALUE"""),"HTA-THL-004")</f>
        <v>HTA-THL-004</v>
      </c>
      <c r="B14" s="26">
        <f>VLOOKUP(A14,'Booking Frequency'!A13:E54,3,FALSE)</f>
        <v>6</v>
      </c>
      <c r="C14" s="26">
        <f>VLOOKUP(A14,'Booking Frequency'!A13:E54,2,FALSE)</f>
        <v>92500</v>
      </c>
      <c r="D14" s="26">
        <f>VLOOKUP(A14,'Recency Analysis'!A13:G54,5,FALSE)</f>
        <v>21</v>
      </c>
      <c r="E14" s="26">
        <f>VLOOKUP(A14,'Booking Frequency'!A13:E54,5,FALSE)</f>
        <v>3</v>
      </c>
      <c r="F14" s="26">
        <f>VLOOKUP(A14,'Spending Power'!A13:D54,4,FALSE)</f>
        <v>4</v>
      </c>
      <c r="G14" s="43">
        <f t="shared" si="1"/>
        <v>9.333333333</v>
      </c>
      <c r="H14" s="26">
        <f t="shared" si="2"/>
        <v>9</v>
      </c>
      <c r="I14" s="26" t="str">
        <f t="shared" si="3"/>
        <v>Others</v>
      </c>
    </row>
    <row r="15">
      <c r="A15" s="26" t="str">
        <f>IFERROR(__xludf.DUMMYFUNCTION("""COMPUTED_VALUE"""),"HTA-THL-002")</f>
        <v>HTA-THL-002</v>
      </c>
      <c r="B15" s="26">
        <f>VLOOKUP(A15,'Booking Frequency'!A14:E55,3,FALSE)</f>
        <v>8</v>
      </c>
      <c r="C15" s="26">
        <f>VLOOKUP(A15,'Booking Frequency'!A14:E55,2,FALSE)</f>
        <v>127500</v>
      </c>
      <c r="D15" s="26">
        <f>VLOOKUP(A15,'Recency Analysis'!A14:G55,5,FALSE)</f>
        <v>10</v>
      </c>
      <c r="E15" s="26">
        <f>VLOOKUP(A15,'Booking Frequency'!A14:E55,5,FALSE)</f>
        <v>1</v>
      </c>
      <c r="F15" s="26">
        <f>VLOOKUP(A15,'Spending Power'!A14:D55,4,FALSE)</f>
        <v>1</v>
      </c>
      <c r="G15" s="43">
        <f t="shared" si="1"/>
        <v>4</v>
      </c>
      <c r="H15" s="26">
        <f t="shared" si="2"/>
        <v>2</v>
      </c>
      <c r="I15" s="26" t="str">
        <f t="shared" si="3"/>
        <v>VIP Guest</v>
      </c>
    </row>
    <row r="16">
      <c r="A16" s="26" t="str">
        <f>IFERROR(__xludf.DUMMYFUNCTION("""COMPUTED_VALUE"""),"HTA-THL-007")</f>
        <v>HTA-THL-007</v>
      </c>
      <c r="B16" s="26">
        <f>VLOOKUP(A16,'Booking Frequency'!A15:E56,3,FALSE)</f>
        <v>2</v>
      </c>
      <c r="C16" s="26">
        <f>VLOOKUP(A16,'Booking Frequency'!A15:E56,2,FALSE)</f>
        <v>22500</v>
      </c>
      <c r="D16" s="26">
        <f>VLOOKUP(A16,'Recency Analysis'!A15:G56,5,FALSE)</f>
        <v>23</v>
      </c>
      <c r="E16" s="26">
        <f>VLOOKUP(A16,'Booking Frequency'!A15:E56,5,FALSE)</f>
        <v>20</v>
      </c>
      <c r="F16" s="26">
        <f>VLOOKUP(A16,'Spending Power'!A15:D56,4,FALSE)</f>
        <v>25</v>
      </c>
      <c r="G16" s="43">
        <f t="shared" si="1"/>
        <v>22.66666667</v>
      </c>
      <c r="H16" s="26">
        <f t="shared" si="2"/>
        <v>24</v>
      </c>
      <c r="I16" s="26" t="str">
        <f t="shared" si="3"/>
        <v>Others</v>
      </c>
    </row>
    <row r="17">
      <c r="A17" s="26" t="str">
        <f>IFERROR(__xludf.DUMMYFUNCTION("""COMPUTED_VALUE"""),"HTA-THL-001")</f>
        <v>HTA-THL-001</v>
      </c>
      <c r="B17" s="26">
        <f>VLOOKUP(A17,'Booking Frequency'!A16:E57,3,FALSE)</f>
        <v>6</v>
      </c>
      <c r="C17" s="26">
        <f>VLOOKUP(A17,'Booking Frequency'!A16:E57,2,FALSE)</f>
        <v>100000</v>
      </c>
      <c r="D17" s="26">
        <f>VLOOKUP(A17,'Recency Analysis'!A16:G57,5,FALSE)</f>
        <v>5</v>
      </c>
      <c r="E17" s="26">
        <f>VLOOKUP(A17,'Booking Frequency'!A16:E57,5,FALSE)</f>
        <v>3</v>
      </c>
      <c r="F17" s="26">
        <f>VLOOKUP(A17,'Spending Power'!A16:D57,4,FALSE)</f>
        <v>2</v>
      </c>
      <c r="G17" s="43">
        <f t="shared" si="1"/>
        <v>3.333333333</v>
      </c>
      <c r="H17" s="26">
        <f t="shared" si="2"/>
        <v>1</v>
      </c>
      <c r="I17" s="26" t="str">
        <f t="shared" si="3"/>
        <v>VIP Guest</v>
      </c>
    </row>
    <row r="18">
      <c r="A18" s="26" t="str">
        <f>IFERROR(__xludf.DUMMYFUNCTION("""COMPUTED_VALUE"""),"HTA-THL-0034")</f>
        <v>HTA-THL-0034</v>
      </c>
      <c r="B18" s="26">
        <f>VLOOKUP(A18,'Booking Frequency'!A17:E58,3,FALSE)</f>
        <v>1</v>
      </c>
      <c r="C18" s="26">
        <f>VLOOKUP(A18,'Booking Frequency'!A17:E58,2,FALSE)</f>
        <v>7500</v>
      </c>
      <c r="D18" s="26">
        <f>VLOOKUP(A18,'Recency Analysis'!A17:G58,5,FALSE)</f>
        <v>41</v>
      </c>
      <c r="E18" s="26">
        <f>VLOOKUP(A18,'Booking Frequency'!A17:E58,5,FALSE)</f>
        <v>30</v>
      </c>
      <c r="F18" s="26">
        <f>VLOOKUP(A18,'Spending Power'!A17:D58,4,FALSE)</f>
        <v>36</v>
      </c>
      <c r="G18" s="43">
        <f t="shared" si="1"/>
        <v>35.66666667</v>
      </c>
      <c r="H18" s="26">
        <f t="shared" si="2"/>
        <v>41</v>
      </c>
      <c r="I18" s="26" t="str">
        <f t="shared" si="3"/>
        <v>Others</v>
      </c>
    </row>
    <row r="19">
      <c r="A19" s="26" t="str">
        <f>IFERROR(__xludf.DUMMYFUNCTION("""COMPUTED_VALUE"""),"HTA-THL-0030")</f>
        <v>HTA-THL-0030</v>
      </c>
      <c r="B19" s="26">
        <f>VLOOKUP(A19,'Booking Frequency'!A18:E59,3,FALSE)</f>
        <v>2</v>
      </c>
      <c r="C19" s="26">
        <f>VLOOKUP(A19,'Booking Frequency'!A18:E59,2,FALSE)</f>
        <v>22500</v>
      </c>
      <c r="D19" s="26">
        <f>VLOOKUP(A19,'Recency Analysis'!A18:G59,5,FALSE)</f>
        <v>28</v>
      </c>
      <c r="E19" s="26">
        <f>VLOOKUP(A19,'Booking Frequency'!A18:E59,5,FALSE)</f>
        <v>20</v>
      </c>
      <c r="F19" s="26">
        <f>VLOOKUP(A19,'Spending Power'!A18:D59,4,FALSE)</f>
        <v>25</v>
      </c>
      <c r="G19" s="43">
        <f t="shared" si="1"/>
        <v>24.33333333</v>
      </c>
      <c r="H19" s="26">
        <f t="shared" si="2"/>
        <v>27</v>
      </c>
      <c r="I19" s="26" t="str">
        <f t="shared" si="3"/>
        <v>Others</v>
      </c>
    </row>
    <row r="20">
      <c r="A20" s="26" t="str">
        <f>IFERROR(__xludf.DUMMYFUNCTION("""COMPUTED_VALUE"""),"HTA-THL-0012")</f>
        <v>HTA-THL-0012</v>
      </c>
      <c r="B20" s="26">
        <f>VLOOKUP(A20,'Booking Frequency'!A19:E60,3,FALSE)</f>
        <v>2</v>
      </c>
      <c r="C20" s="26">
        <f>VLOOKUP(A20,'Booking Frequency'!A19:E60,2,FALSE)</f>
        <v>35000</v>
      </c>
      <c r="D20" s="26">
        <f>VLOOKUP(A20,'Recency Analysis'!A19:G60,5,FALSE)</f>
        <v>30</v>
      </c>
      <c r="E20" s="26">
        <f>VLOOKUP(A20,'Booking Frequency'!A19:E60,5,FALSE)</f>
        <v>20</v>
      </c>
      <c r="F20" s="26">
        <f>VLOOKUP(A20,'Spending Power'!A19:D60,4,FALSE)</f>
        <v>20</v>
      </c>
      <c r="G20" s="43">
        <f t="shared" si="1"/>
        <v>23.33333333</v>
      </c>
      <c r="H20" s="26">
        <f t="shared" si="2"/>
        <v>25</v>
      </c>
      <c r="I20" s="26" t="str">
        <f t="shared" si="3"/>
        <v>Others</v>
      </c>
    </row>
    <row r="21">
      <c r="A21" s="26" t="str">
        <f>IFERROR(__xludf.DUMMYFUNCTION("""COMPUTED_VALUE"""),"HTA-THL-0031")</f>
        <v>HTA-THL-0031</v>
      </c>
      <c r="B21" s="26">
        <f>VLOOKUP(A21,'Booking Frequency'!A20:E61,3,FALSE)</f>
        <v>1</v>
      </c>
      <c r="C21" s="26">
        <f>VLOOKUP(A21,'Booking Frequency'!A20:E61,2,FALSE)</f>
        <v>17500</v>
      </c>
      <c r="D21" s="26">
        <f>VLOOKUP(A21,'Recency Analysis'!A20:G61,5,FALSE)</f>
        <v>39</v>
      </c>
      <c r="E21" s="26">
        <f>VLOOKUP(A21,'Booking Frequency'!A20:E61,5,FALSE)</f>
        <v>30</v>
      </c>
      <c r="F21" s="26">
        <f>VLOOKUP(A21,'Spending Power'!A20:D61,4,FALSE)</f>
        <v>27</v>
      </c>
      <c r="G21" s="43">
        <f t="shared" si="1"/>
        <v>32</v>
      </c>
      <c r="H21" s="26">
        <f t="shared" si="2"/>
        <v>34</v>
      </c>
      <c r="I21" s="26" t="str">
        <f t="shared" si="3"/>
        <v>Others</v>
      </c>
    </row>
    <row r="22">
      <c r="A22" s="26" t="str">
        <f>IFERROR(__xludf.DUMMYFUNCTION("""COMPUTED_VALUE"""),"HTA-THL-0040")</f>
        <v>HTA-THL-0040</v>
      </c>
      <c r="B22" s="26">
        <f>VLOOKUP(A22,'Booking Frequency'!A21:E62,3,FALSE)</f>
        <v>2</v>
      </c>
      <c r="C22" s="26">
        <f>VLOOKUP(A22,'Booking Frequency'!A21:E62,2,FALSE)</f>
        <v>15000</v>
      </c>
      <c r="D22" s="26">
        <f>VLOOKUP(A22,'Recency Analysis'!A21:G62,5,FALSE)</f>
        <v>34</v>
      </c>
      <c r="E22" s="26">
        <f>VLOOKUP(A22,'Booking Frequency'!A21:E62,5,FALSE)</f>
        <v>20</v>
      </c>
      <c r="F22" s="26">
        <f>VLOOKUP(A22,'Spending Power'!A21:D62,4,FALSE)</f>
        <v>28</v>
      </c>
      <c r="G22" s="43">
        <f t="shared" si="1"/>
        <v>27.33333333</v>
      </c>
      <c r="H22" s="26">
        <f t="shared" si="2"/>
        <v>31</v>
      </c>
      <c r="I22" s="26" t="str">
        <f t="shared" si="3"/>
        <v>Others</v>
      </c>
    </row>
    <row r="23">
      <c r="A23" s="26" t="str">
        <f>IFERROR(__xludf.DUMMYFUNCTION("""COMPUTED_VALUE"""),"HTA-THL-0010")</f>
        <v>HTA-THL-0010</v>
      </c>
      <c r="B23" s="26">
        <f>VLOOKUP(A23,'Booking Frequency'!A22:E63,3,FALSE)</f>
        <v>2</v>
      </c>
      <c r="C23" s="26">
        <f>VLOOKUP(A23,'Booking Frequency'!A22:E63,2,FALSE)</f>
        <v>32500</v>
      </c>
      <c r="D23" s="26">
        <f>VLOOKUP(A23,'Recency Analysis'!A22:G63,5,FALSE)</f>
        <v>17</v>
      </c>
      <c r="E23" s="26">
        <f>VLOOKUP(A23,'Booking Frequency'!A22:E63,5,FALSE)</f>
        <v>20</v>
      </c>
      <c r="F23" s="26">
        <f>VLOOKUP(A23,'Spending Power'!A22:D63,4,FALSE)</f>
        <v>23</v>
      </c>
      <c r="G23" s="43">
        <f t="shared" si="1"/>
        <v>20</v>
      </c>
      <c r="H23" s="26">
        <f t="shared" si="2"/>
        <v>23</v>
      </c>
      <c r="I23" s="26" t="str">
        <f t="shared" si="3"/>
        <v>Others</v>
      </c>
    </row>
    <row r="24">
      <c r="A24" s="26" t="str">
        <f>IFERROR(__xludf.DUMMYFUNCTION("""COMPUTED_VALUE"""),"HTA-THL-0032")</f>
        <v>HTA-THL-0032</v>
      </c>
      <c r="B24" s="26">
        <f>VLOOKUP(A24,'Booking Frequency'!A23:E64,3,FALSE)</f>
        <v>1</v>
      </c>
      <c r="C24" s="26">
        <f>VLOOKUP(A24,'Booking Frequency'!A23:E64,2,FALSE)</f>
        <v>15000</v>
      </c>
      <c r="D24" s="26">
        <f>VLOOKUP(A24,'Recency Analysis'!A23:G64,5,FALSE)</f>
        <v>38</v>
      </c>
      <c r="E24" s="26">
        <f>VLOOKUP(A24,'Booking Frequency'!A23:E64,5,FALSE)</f>
        <v>30</v>
      </c>
      <c r="F24" s="26">
        <f>VLOOKUP(A24,'Spending Power'!A23:D64,4,FALSE)</f>
        <v>28</v>
      </c>
      <c r="G24" s="43">
        <f t="shared" si="1"/>
        <v>32</v>
      </c>
      <c r="H24" s="26">
        <f t="shared" si="2"/>
        <v>34</v>
      </c>
      <c r="I24" s="26" t="str">
        <f t="shared" si="3"/>
        <v>Others</v>
      </c>
    </row>
    <row r="25">
      <c r="A25" s="26" t="str">
        <f>IFERROR(__xludf.DUMMYFUNCTION("""COMPUTED_VALUE"""),"HTA-THL-0018")</f>
        <v>HTA-THL-0018</v>
      </c>
      <c r="B25" s="26">
        <f>VLOOKUP(A25,'Booking Frequency'!A24:E65,3,FALSE)</f>
        <v>3</v>
      </c>
      <c r="C25" s="26">
        <f>VLOOKUP(A25,'Booking Frequency'!A24:E65,2,FALSE)</f>
        <v>55000</v>
      </c>
      <c r="D25" s="26">
        <f>VLOOKUP(A25,'Recency Analysis'!A24:G65,5,FALSE)</f>
        <v>1</v>
      </c>
      <c r="E25" s="26">
        <f>VLOOKUP(A25,'Booking Frequency'!A24:E65,5,FALSE)</f>
        <v>12</v>
      </c>
      <c r="F25" s="26">
        <f>VLOOKUP(A25,'Spending Power'!A24:D65,4,FALSE)</f>
        <v>10</v>
      </c>
      <c r="G25" s="43">
        <f t="shared" si="1"/>
        <v>7.666666667</v>
      </c>
      <c r="H25" s="26">
        <f t="shared" si="2"/>
        <v>7</v>
      </c>
      <c r="I25" s="26" t="str">
        <f t="shared" si="3"/>
        <v>Others</v>
      </c>
    </row>
    <row r="26">
      <c r="A26" s="26" t="str">
        <f>IFERROR(__xludf.DUMMYFUNCTION("""COMPUTED_VALUE"""),"HTA-THL-0037")</f>
        <v>HTA-THL-0037</v>
      </c>
      <c r="B26" s="26">
        <f>VLOOKUP(A26,'Booking Frequency'!A25:E66,3,FALSE)</f>
        <v>1</v>
      </c>
      <c r="C26" s="26">
        <f>VLOOKUP(A26,'Booking Frequency'!A25:E66,2,FALSE)</f>
        <v>7500</v>
      </c>
      <c r="D26" s="26">
        <f>VLOOKUP(A26,'Recency Analysis'!A25:G66,5,FALSE)</f>
        <v>36</v>
      </c>
      <c r="E26" s="26">
        <f>VLOOKUP(A26,'Booking Frequency'!A25:E66,5,FALSE)</f>
        <v>30</v>
      </c>
      <c r="F26" s="26">
        <f>VLOOKUP(A26,'Spending Power'!A25:D66,4,FALSE)</f>
        <v>36</v>
      </c>
      <c r="G26" s="43">
        <f t="shared" si="1"/>
        <v>34</v>
      </c>
      <c r="H26" s="26">
        <f t="shared" si="2"/>
        <v>40</v>
      </c>
      <c r="I26" s="26" t="str">
        <f t="shared" si="3"/>
        <v>Others</v>
      </c>
    </row>
    <row r="27">
      <c r="A27" s="26" t="str">
        <f>IFERROR(__xludf.DUMMYFUNCTION("""COMPUTED_VALUE"""),"HTA-THL-0045")</f>
        <v>HTA-THL-0045</v>
      </c>
      <c r="B27" s="26">
        <f>VLOOKUP(A27,'Booking Frequency'!A26:E67,3,FALSE)</f>
        <v>1</v>
      </c>
      <c r="C27" s="26">
        <f>VLOOKUP(A27,'Booking Frequency'!A26:E67,2,FALSE)</f>
        <v>7500</v>
      </c>
      <c r="D27" s="26">
        <f>VLOOKUP(A27,'Recency Analysis'!A26:G67,5,FALSE)</f>
        <v>34</v>
      </c>
      <c r="E27" s="26">
        <f>VLOOKUP(A27,'Booking Frequency'!A26:E67,5,FALSE)</f>
        <v>30</v>
      </c>
      <c r="F27" s="26">
        <f>VLOOKUP(A27,'Spending Power'!A26:D67,4,FALSE)</f>
        <v>36</v>
      </c>
      <c r="G27" s="43">
        <f t="shared" si="1"/>
        <v>33.33333333</v>
      </c>
      <c r="H27" s="26">
        <f t="shared" si="2"/>
        <v>39</v>
      </c>
      <c r="I27" s="26" t="str">
        <f t="shared" si="3"/>
        <v>Others</v>
      </c>
    </row>
    <row r="28">
      <c r="A28" s="26" t="str">
        <f>IFERROR(__xludf.DUMMYFUNCTION("""COMPUTED_VALUE"""),"HTA-THL-0060")</f>
        <v>HTA-THL-0060</v>
      </c>
      <c r="B28" s="26">
        <f>VLOOKUP(A28,'Booking Frequency'!A27:E68,3,FALSE)</f>
        <v>1</v>
      </c>
      <c r="C28" s="26">
        <f>VLOOKUP(A28,'Booking Frequency'!A27:E68,2,FALSE)</f>
        <v>7500</v>
      </c>
      <c r="D28" s="26">
        <f>VLOOKUP(A28,'Recency Analysis'!A27:G68,5,FALSE)</f>
        <v>31</v>
      </c>
      <c r="E28" s="26">
        <f>VLOOKUP(A28,'Booking Frequency'!A27:E68,5,FALSE)</f>
        <v>30</v>
      </c>
      <c r="F28" s="26">
        <f>VLOOKUP(A28,'Spending Power'!A27:D68,4,FALSE)</f>
        <v>36</v>
      </c>
      <c r="G28" s="43">
        <f t="shared" si="1"/>
        <v>32.33333333</v>
      </c>
      <c r="H28" s="26">
        <f t="shared" si="2"/>
        <v>37</v>
      </c>
      <c r="I28" s="26" t="str">
        <f t="shared" si="3"/>
        <v>Others</v>
      </c>
    </row>
    <row r="29">
      <c r="A29" s="26" t="str">
        <f>IFERROR(__xludf.DUMMYFUNCTION("""COMPUTED_VALUE"""),"HTA-THL-0061")</f>
        <v>HTA-THL-0061</v>
      </c>
      <c r="B29" s="26">
        <f>VLOOKUP(A29,'Booking Frequency'!A28:E69,3,FALSE)</f>
        <v>1</v>
      </c>
      <c r="C29" s="26">
        <f>VLOOKUP(A29,'Booking Frequency'!A28:E69,2,FALSE)</f>
        <v>10000</v>
      </c>
      <c r="D29" s="26">
        <f>VLOOKUP(A29,'Recency Analysis'!A28:G69,5,FALSE)</f>
        <v>31</v>
      </c>
      <c r="E29" s="26">
        <f>VLOOKUP(A29,'Booking Frequency'!A28:E69,5,FALSE)</f>
        <v>30</v>
      </c>
      <c r="F29" s="26">
        <f>VLOOKUP(A29,'Spending Power'!A28:D69,4,FALSE)</f>
        <v>35</v>
      </c>
      <c r="G29" s="43">
        <f t="shared" si="1"/>
        <v>32</v>
      </c>
      <c r="H29" s="26">
        <f t="shared" si="2"/>
        <v>34</v>
      </c>
      <c r="I29" s="26" t="str">
        <f t="shared" si="3"/>
        <v>Others</v>
      </c>
    </row>
    <row r="30">
      <c r="A30" s="26" t="str">
        <f>IFERROR(__xludf.DUMMYFUNCTION("""COMPUTED_VALUE"""),"HTA-THL-0062")</f>
        <v>HTA-THL-0062</v>
      </c>
      <c r="B30" s="26">
        <f>VLOOKUP(A30,'Booking Frequency'!A29:E70,3,FALSE)</f>
        <v>1</v>
      </c>
      <c r="C30" s="26">
        <f>VLOOKUP(A30,'Booking Frequency'!A29:E70,2,FALSE)</f>
        <v>7500</v>
      </c>
      <c r="D30" s="26">
        <f>VLOOKUP(A30,'Recency Analysis'!A29:G70,5,FALSE)</f>
        <v>31</v>
      </c>
      <c r="E30" s="26">
        <f>VLOOKUP(A30,'Booking Frequency'!A29:E70,5,FALSE)</f>
        <v>30</v>
      </c>
      <c r="F30" s="26">
        <f>VLOOKUP(A30,'Spending Power'!A29:D70,4,FALSE)</f>
        <v>36</v>
      </c>
      <c r="G30" s="43">
        <f t="shared" si="1"/>
        <v>32.33333333</v>
      </c>
      <c r="H30" s="26">
        <f t="shared" si="2"/>
        <v>37</v>
      </c>
      <c r="I30" s="26" t="str">
        <f t="shared" si="3"/>
        <v>Others</v>
      </c>
    </row>
    <row r="31">
      <c r="A31" s="26" t="str">
        <f>IFERROR(__xludf.DUMMYFUNCTION("""COMPUTED_VALUE"""),"HTA-THL-0026")</f>
        <v>HTA-THL-0026</v>
      </c>
      <c r="B31" s="26">
        <f>VLOOKUP(A31,'Booking Frequency'!A30:E71,3,FALSE)</f>
        <v>4</v>
      </c>
      <c r="C31" s="26">
        <f>VLOOKUP(A31,'Booking Frequency'!A30:E71,2,FALSE)</f>
        <v>47500</v>
      </c>
      <c r="D31" s="26">
        <f>VLOOKUP(A31,'Recency Analysis'!A30:G71,5,FALSE)</f>
        <v>24</v>
      </c>
      <c r="E31" s="26">
        <f>VLOOKUP(A31,'Booking Frequency'!A30:E71,5,FALSE)</f>
        <v>7</v>
      </c>
      <c r="F31" s="26">
        <f>VLOOKUP(A31,'Spending Power'!A30:D71,4,FALSE)</f>
        <v>13</v>
      </c>
      <c r="G31" s="43">
        <f t="shared" si="1"/>
        <v>14.66666667</v>
      </c>
      <c r="H31" s="26">
        <f t="shared" si="2"/>
        <v>15</v>
      </c>
      <c r="I31" s="26" t="str">
        <f t="shared" si="3"/>
        <v>Others</v>
      </c>
    </row>
    <row r="32">
      <c r="A32" s="26" t="str">
        <f>IFERROR(__xludf.DUMMYFUNCTION("""COMPUTED_VALUE"""),"HTA-THL-003")</f>
        <v>HTA-THL-003</v>
      </c>
      <c r="B32" s="26">
        <f>VLOOKUP(A32,'Booking Frequency'!A31:E72,3,FALSE)</f>
        <v>4</v>
      </c>
      <c r="C32" s="26">
        <f>VLOOKUP(A32,'Booking Frequency'!A31:E72,2,FALSE)</f>
        <v>62500</v>
      </c>
      <c r="D32" s="26">
        <f>VLOOKUP(A32,'Recency Analysis'!A31:G72,5,FALSE)</f>
        <v>8</v>
      </c>
      <c r="E32" s="26">
        <f>VLOOKUP(A32,'Booking Frequency'!A31:E72,5,FALSE)</f>
        <v>7</v>
      </c>
      <c r="F32" s="26">
        <f>VLOOKUP(A32,'Spending Power'!A31:D72,4,FALSE)</f>
        <v>8</v>
      </c>
      <c r="G32" s="43">
        <f t="shared" si="1"/>
        <v>7.666666667</v>
      </c>
      <c r="H32" s="26">
        <f t="shared" si="2"/>
        <v>7</v>
      </c>
      <c r="I32" s="26" t="str">
        <f t="shared" si="3"/>
        <v>Others</v>
      </c>
    </row>
    <row r="33">
      <c r="A33" s="26" t="str">
        <f>IFERROR(__xludf.DUMMYFUNCTION("""COMPUTED_VALUE"""),"HTA-THL-0014")</f>
        <v>HTA-THL-0014</v>
      </c>
      <c r="B33" s="26">
        <f>VLOOKUP(A33,'Booking Frequency'!A32:E73,3,FALSE)</f>
        <v>3</v>
      </c>
      <c r="C33" s="26">
        <f>VLOOKUP(A33,'Booking Frequency'!A32:E73,2,FALSE)</f>
        <v>37500</v>
      </c>
      <c r="D33" s="26">
        <f>VLOOKUP(A33,'Recency Analysis'!A32:G73,5,FALSE)</f>
        <v>17</v>
      </c>
      <c r="E33" s="26">
        <f>VLOOKUP(A33,'Booking Frequency'!A32:E73,5,FALSE)</f>
        <v>12</v>
      </c>
      <c r="F33" s="26">
        <f>VLOOKUP(A33,'Spending Power'!A32:D73,4,FALSE)</f>
        <v>19</v>
      </c>
      <c r="G33" s="43">
        <f t="shared" si="1"/>
        <v>16</v>
      </c>
      <c r="H33" s="26">
        <f t="shared" si="2"/>
        <v>16</v>
      </c>
      <c r="I33" s="26" t="str">
        <f t="shared" si="3"/>
        <v>Others</v>
      </c>
    </row>
    <row r="34">
      <c r="A34" s="26" t="str">
        <f>IFERROR(__xludf.DUMMYFUNCTION("""COMPUTED_VALUE"""),"HTA-THL-008")</f>
        <v>HTA-THL-008</v>
      </c>
      <c r="B34" s="26">
        <f>VLOOKUP(A34,'Booking Frequency'!A33:E74,3,FALSE)</f>
        <v>2</v>
      </c>
      <c r="C34" s="26">
        <f>VLOOKUP(A34,'Booking Frequency'!A33:E74,2,FALSE)</f>
        <v>15000</v>
      </c>
      <c r="D34" s="26">
        <f>VLOOKUP(A34,'Recency Analysis'!A33:G74,5,FALSE)</f>
        <v>25</v>
      </c>
      <c r="E34" s="26">
        <f>VLOOKUP(A34,'Booking Frequency'!A33:E74,5,FALSE)</f>
        <v>20</v>
      </c>
      <c r="F34" s="26">
        <f>VLOOKUP(A34,'Spending Power'!A33:D74,4,FALSE)</f>
        <v>28</v>
      </c>
      <c r="G34" s="43">
        <f t="shared" si="1"/>
        <v>24.33333333</v>
      </c>
      <c r="H34" s="26">
        <f t="shared" si="2"/>
        <v>27</v>
      </c>
      <c r="I34" s="26" t="str">
        <f t="shared" si="3"/>
        <v>Others</v>
      </c>
    </row>
    <row r="35">
      <c r="A35" s="26" t="str">
        <f>IFERROR(__xludf.DUMMYFUNCTION("""COMPUTED_VALUE"""),"HTA-THL-0033")</f>
        <v>HTA-THL-0033</v>
      </c>
      <c r="B35" s="26">
        <f>VLOOKUP(A35,'Booking Frequency'!A34:E75,3,FALSE)</f>
        <v>1</v>
      </c>
      <c r="C35" s="26">
        <f>VLOOKUP(A35,'Booking Frequency'!A34:E75,2,FALSE)</f>
        <v>15000</v>
      </c>
      <c r="D35" s="26">
        <f>VLOOKUP(A35,'Recency Analysis'!A34:G75,5,FALSE)</f>
        <v>26</v>
      </c>
      <c r="E35" s="26">
        <f>VLOOKUP(A35,'Booking Frequency'!A34:E75,5,FALSE)</f>
        <v>30</v>
      </c>
      <c r="F35" s="26">
        <f>VLOOKUP(A35,'Spending Power'!A34:D75,4,FALSE)</f>
        <v>28</v>
      </c>
      <c r="G35" s="43">
        <f t="shared" si="1"/>
        <v>28</v>
      </c>
      <c r="H35" s="26">
        <f t="shared" si="2"/>
        <v>32</v>
      </c>
      <c r="I35" s="26" t="str">
        <f t="shared" si="3"/>
        <v>Others</v>
      </c>
    </row>
    <row r="36">
      <c r="A36" s="26" t="str">
        <f>IFERROR(__xludf.DUMMYFUNCTION("""COMPUTED_VALUE"""),"HTA-THL-0024")</f>
        <v>HTA-THL-0024</v>
      </c>
      <c r="B36" s="26">
        <f>VLOOKUP(A36,'Booking Frequency'!A35:E76,3,FALSE)</f>
        <v>3</v>
      </c>
      <c r="C36" s="26">
        <f>VLOOKUP(A36,'Booking Frequency'!A35:E76,2,FALSE)</f>
        <v>45000</v>
      </c>
      <c r="D36" s="26">
        <f>VLOOKUP(A36,'Recency Analysis'!A35:G76,5,FALSE)</f>
        <v>1</v>
      </c>
      <c r="E36" s="26">
        <f>VLOOKUP(A36,'Booking Frequency'!A35:E76,5,FALSE)</f>
        <v>12</v>
      </c>
      <c r="F36" s="26">
        <f>VLOOKUP(A36,'Spending Power'!A35:D76,4,FALSE)</f>
        <v>15</v>
      </c>
      <c r="G36" s="43">
        <f t="shared" si="1"/>
        <v>9.333333333</v>
      </c>
      <c r="H36" s="26">
        <f t="shared" si="2"/>
        <v>9</v>
      </c>
      <c r="I36" s="26" t="str">
        <f t="shared" si="3"/>
        <v>Others</v>
      </c>
    </row>
    <row r="37">
      <c r="A37" s="26" t="str">
        <f>IFERROR(__xludf.DUMMYFUNCTION("""COMPUTED_VALUE"""),"HTA-THL-0011")</f>
        <v>HTA-THL-0011</v>
      </c>
      <c r="B37" s="26">
        <f>VLOOKUP(A37,'Booking Frequency'!A36:E77,3,FALSE)</f>
        <v>2</v>
      </c>
      <c r="C37" s="26">
        <f>VLOOKUP(A37,'Booking Frequency'!A36:E77,2,FALSE)</f>
        <v>27500</v>
      </c>
      <c r="D37" s="26">
        <f>VLOOKUP(A37,'Recency Analysis'!A36:G77,5,FALSE)</f>
        <v>10</v>
      </c>
      <c r="E37" s="26">
        <f>VLOOKUP(A37,'Booking Frequency'!A36:E77,5,FALSE)</f>
        <v>20</v>
      </c>
      <c r="F37" s="26">
        <f>VLOOKUP(A37,'Spending Power'!A36:D77,4,FALSE)</f>
        <v>24</v>
      </c>
      <c r="G37" s="43">
        <f t="shared" si="1"/>
        <v>18</v>
      </c>
      <c r="H37" s="26">
        <f t="shared" si="2"/>
        <v>19</v>
      </c>
      <c r="I37" s="26" t="str">
        <f t="shared" si="3"/>
        <v>Others</v>
      </c>
    </row>
    <row r="38">
      <c r="A38" s="26" t="str">
        <f>IFERROR(__xludf.DUMMYFUNCTION("""COMPUTED_VALUE"""),"HTA-THL-009")</f>
        <v>HTA-THL-009</v>
      </c>
      <c r="B38" s="26">
        <f>VLOOKUP(A38,'Booking Frequency'!A37:E78,3,FALSE)</f>
        <v>2</v>
      </c>
      <c r="C38" s="26">
        <f>VLOOKUP(A38,'Booking Frequency'!A37:E78,2,FALSE)</f>
        <v>15000</v>
      </c>
      <c r="D38" s="26">
        <f>VLOOKUP(A38,'Recency Analysis'!A37:G78,5,FALSE)</f>
        <v>3</v>
      </c>
      <c r="E38" s="26">
        <f>VLOOKUP(A38,'Booking Frequency'!A37:E78,5,FALSE)</f>
        <v>20</v>
      </c>
      <c r="F38" s="26">
        <f>VLOOKUP(A38,'Spending Power'!A37:D78,4,FALSE)</f>
        <v>28</v>
      </c>
      <c r="G38" s="43">
        <f t="shared" si="1"/>
        <v>17</v>
      </c>
      <c r="H38" s="26">
        <f t="shared" si="2"/>
        <v>18</v>
      </c>
      <c r="I38" s="26" t="str">
        <f t="shared" si="3"/>
        <v>Others</v>
      </c>
    </row>
    <row r="39">
      <c r="A39" s="26" t="str">
        <f>IFERROR(__xludf.DUMMYFUNCTION("""COMPUTED_VALUE"""),"HTA-THL-0017")</f>
        <v>HTA-THL-0017</v>
      </c>
      <c r="B39" s="26">
        <f>VLOOKUP(A39,'Booking Frequency'!A38:E79,3,FALSE)</f>
        <v>3</v>
      </c>
      <c r="C39" s="26">
        <f>VLOOKUP(A39,'Booking Frequency'!A38:E79,2,FALSE)</f>
        <v>42500</v>
      </c>
      <c r="D39" s="26">
        <f>VLOOKUP(A39,'Recency Analysis'!A38:G79,5,FALSE)</f>
        <v>3</v>
      </c>
      <c r="E39" s="26">
        <f>VLOOKUP(A39,'Booking Frequency'!A38:E79,5,FALSE)</f>
        <v>12</v>
      </c>
      <c r="F39" s="26">
        <f>VLOOKUP(A39,'Spending Power'!A38:D79,4,FALSE)</f>
        <v>17</v>
      </c>
      <c r="G39" s="43">
        <f t="shared" si="1"/>
        <v>10.66666667</v>
      </c>
      <c r="H39" s="26">
        <f t="shared" si="2"/>
        <v>11</v>
      </c>
      <c r="I39" s="26" t="str">
        <f t="shared" si="3"/>
        <v>Others</v>
      </c>
    </row>
    <row r="40">
      <c r="A40" s="26" t="str">
        <f>IFERROR(__xludf.DUMMYFUNCTION("""COMPUTED_VALUE"""),"HTA-THL-0028")</f>
        <v>HTA-THL-0028</v>
      </c>
      <c r="B40" s="26">
        <f>VLOOKUP(A40,'Booking Frequency'!A39:E80,3,FALSE)</f>
        <v>1</v>
      </c>
      <c r="C40" s="26">
        <f>VLOOKUP(A40,'Booking Frequency'!A39:E80,2,FALSE)</f>
        <v>15000</v>
      </c>
      <c r="D40" s="26">
        <f>VLOOKUP(A40,'Recency Analysis'!A39:G80,5,FALSE)</f>
        <v>20</v>
      </c>
      <c r="E40" s="26">
        <f>VLOOKUP(A40,'Booking Frequency'!A39:E80,5,FALSE)</f>
        <v>30</v>
      </c>
      <c r="F40" s="26">
        <f>VLOOKUP(A40,'Spending Power'!A39:D80,4,FALSE)</f>
        <v>28</v>
      </c>
      <c r="G40" s="43">
        <f t="shared" si="1"/>
        <v>26</v>
      </c>
      <c r="H40" s="26">
        <f t="shared" si="2"/>
        <v>29</v>
      </c>
      <c r="I40" s="26" t="str">
        <f t="shared" si="3"/>
        <v>Others</v>
      </c>
    </row>
    <row r="41">
      <c r="A41" s="26" t="str">
        <f>IFERROR(__xludf.DUMMYFUNCTION("""COMPUTED_VALUE"""),"HTA-THL-0029")</f>
        <v>HTA-THL-0029</v>
      </c>
      <c r="B41" s="26">
        <f>VLOOKUP(A41,'Booking Frequency'!A40:E81,3,FALSE)</f>
        <v>1</v>
      </c>
      <c r="C41" s="26">
        <f>VLOOKUP(A41,'Booking Frequency'!A40:E81,2,FALSE)</f>
        <v>7500</v>
      </c>
      <c r="D41" s="26">
        <f>VLOOKUP(A41,'Recency Analysis'!A40:G81,5,FALSE)</f>
        <v>19</v>
      </c>
      <c r="E41" s="26">
        <f>VLOOKUP(A41,'Booking Frequency'!A40:E81,5,FALSE)</f>
        <v>30</v>
      </c>
      <c r="F41" s="26">
        <f>VLOOKUP(A41,'Spending Power'!A40:D81,4,FALSE)</f>
        <v>36</v>
      </c>
      <c r="G41" s="43">
        <f t="shared" si="1"/>
        <v>28.33333333</v>
      </c>
      <c r="H41" s="26">
        <f t="shared" si="2"/>
        <v>33</v>
      </c>
      <c r="I41" s="26" t="str">
        <f t="shared" si="3"/>
        <v>Others</v>
      </c>
    </row>
    <row r="42">
      <c r="A42" s="26" t="str">
        <f>IFERROR(__xludf.DUMMYFUNCTION("""COMPUTED_VALUE"""),"HTA-THL-0019")</f>
        <v>HTA-THL-0019</v>
      </c>
      <c r="B42" s="26">
        <f>VLOOKUP(A42,'Booking Frequency'!A41:E82,3,FALSE)</f>
        <v>3</v>
      </c>
      <c r="C42" s="26">
        <f>VLOOKUP(A42,'Booking Frequency'!A41:E82,2,FALSE)</f>
        <v>52500</v>
      </c>
      <c r="D42" s="26">
        <f>VLOOKUP(A42,'Recency Analysis'!A41:G82,5,FALSE)</f>
        <v>8</v>
      </c>
      <c r="E42" s="26">
        <f>VLOOKUP(A42,'Booking Frequency'!A41:E82,5,FALSE)</f>
        <v>12</v>
      </c>
      <c r="F42" s="26">
        <f>VLOOKUP(A42,'Spending Power'!A41:D82,4,FALSE)</f>
        <v>12</v>
      </c>
      <c r="G42" s="43">
        <f t="shared" si="1"/>
        <v>10.66666667</v>
      </c>
      <c r="H42" s="26">
        <f t="shared" si="2"/>
        <v>11</v>
      </c>
      <c r="I42" s="26" t="str">
        <f t="shared" si="3"/>
        <v>Others</v>
      </c>
    </row>
    <row r="43">
      <c r="A43" s="26" t="str">
        <f>IFERROR(__xludf.DUMMYFUNCTION("""COMPUTED_VALUE"""),"HTA-THL-00227")</f>
        <v>HTA-THL-00227</v>
      </c>
      <c r="B43" s="26">
        <f>VLOOKUP(A43,'Booking Frequency'!A42:E83,3,FALSE)</f>
        <v>1</v>
      </c>
      <c r="C43" s="26">
        <f>VLOOKUP(A43,'Booking Frequency'!A42:E83,2,FALSE)</f>
        <v>15000</v>
      </c>
      <c r="D43" s="26">
        <f>VLOOKUP(A43,'Recency Analysis'!A42:G83,5,FALSE)</f>
        <v>12</v>
      </c>
      <c r="E43" s="26">
        <f>VLOOKUP(A43,'Booking Frequency'!A42:E83,5,FALSE)</f>
        <v>30</v>
      </c>
      <c r="F43" s="26">
        <f>VLOOKUP(A43,'Spending Power'!A42:D83,4,FALSE)</f>
        <v>28</v>
      </c>
      <c r="G43" s="43">
        <f t="shared" si="1"/>
        <v>23.33333333</v>
      </c>
      <c r="H43" s="26">
        <f t="shared" si="2"/>
        <v>25</v>
      </c>
      <c r="I43" s="26" t="str">
        <f t="shared" si="3"/>
        <v>Others</v>
      </c>
    </row>
  </sheetData>
  <mergeCells count="1">
    <mergeCell ref="A1:I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25.0"/>
    <col customWidth="1" min="5" max="5" width="36.5"/>
    <col customWidth="1" min="6" max="6" width="25.0"/>
  </cols>
  <sheetData>
    <row r="1">
      <c r="A1" s="32" t="s">
        <v>205</v>
      </c>
    </row>
    <row r="7">
      <c r="E7" s="44" t="s">
        <v>206</v>
      </c>
    </row>
    <row r="18">
      <c r="A18" s="45"/>
      <c r="B18" s="45"/>
      <c r="C18" s="45"/>
      <c r="D18" s="45"/>
      <c r="E18" s="45"/>
      <c r="F18" s="45"/>
    </row>
    <row r="19">
      <c r="A19" s="31" t="s">
        <v>207</v>
      </c>
      <c r="B19" s="31" t="s">
        <v>187</v>
      </c>
      <c r="C19" s="31" t="s">
        <v>176</v>
      </c>
      <c r="D19" s="31" t="s">
        <v>208</v>
      </c>
      <c r="E19" s="31" t="s">
        <v>209</v>
      </c>
      <c r="F19" s="31" t="s">
        <v>205</v>
      </c>
    </row>
    <row r="20">
      <c r="A20" s="33" t="s">
        <v>210</v>
      </c>
      <c r="B20" s="34">
        <f>countifs('Overall Analysis'!$I$3:$I$43,A20)</f>
        <v>6</v>
      </c>
      <c r="C20" s="46">
        <f>SUMIFS('Overall Analysis'!$B$3:$B$43,'Overall Analysis'!$I$3:$I$43,A20)</f>
        <v>37</v>
      </c>
      <c r="D20" s="46">
        <f>SUMIFS('Overall Analysis'!$C$3:$C$43,'Overall Analysis'!$I3:$I$43,A20)</f>
        <v>562500</v>
      </c>
      <c r="E20" s="35">
        <f t="shared" ref="E20:E21" si="1">D20/B20</f>
        <v>93750</v>
      </c>
      <c r="F20" s="35">
        <f t="shared" ref="F20:F21" si="2">C20/B20</f>
        <v>6.166666667</v>
      </c>
    </row>
    <row r="21">
      <c r="A21" s="39" t="s">
        <v>211</v>
      </c>
      <c r="B21" s="34">
        <f>countifs('Overall Analysis'!$I$3:$I$43,A21)</f>
        <v>35</v>
      </c>
      <c r="C21" s="46">
        <f>SUMIFS('Overall Analysis'!$B$3:$B$43,'Overall Analysis'!$I$3:$I$43,A21)</f>
        <v>78</v>
      </c>
      <c r="D21" s="46">
        <f>SUMIFS('Overall Analysis'!$C$3:$C$43,'Overall Analysis'!$I3:$I$43,A21)</f>
        <v>1080000</v>
      </c>
      <c r="E21" s="35">
        <f t="shared" si="1"/>
        <v>30857.14286</v>
      </c>
      <c r="F21" s="35">
        <f t="shared" si="2"/>
        <v>2.228571429</v>
      </c>
    </row>
    <row r="22">
      <c r="B22" s="47"/>
    </row>
  </sheetData>
  <mergeCells count="1">
    <mergeCell ref="A1:F2"/>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20.63"/>
    <col customWidth="1" min="3" max="4" width="14.13"/>
    <col customWidth="1" min="5" max="5" width="20.5"/>
    <col customWidth="1" min="7" max="7" width="21.5"/>
  </cols>
  <sheetData>
    <row r="1">
      <c r="A1" s="9" t="s">
        <v>9</v>
      </c>
      <c r="B1" s="9" t="s">
        <v>10</v>
      </c>
      <c r="C1" s="9" t="s">
        <v>11</v>
      </c>
      <c r="D1" s="9" t="s">
        <v>12</v>
      </c>
      <c r="E1" s="9" t="s">
        <v>13</v>
      </c>
      <c r="F1" s="9" t="s">
        <v>14</v>
      </c>
      <c r="G1" s="48" t="s">
        <v>212</v>
      </c>
      <c r="H1" s="48" t="s">
        <v>204</v>
      </c>
      <c r="I1" s="10"/>
      <c r="J1" s="10"/>
      <c r="K1" s="10"/>
      <c r="L1" s="10"/>
      <c r="M1" s="10"/>
      <c r="N1" s="10"/>
      <c r="O1" s="10"/>
      <c r="P1" s="10"/>
      <c r="Q1" s="10"/>
      <c r="R1" s="10"/>
      <c r="S1" s="10"/>
      <c r="T1" s="10"/>
      <c r="U1" s="10"/>
      <c r="V1" s="10"/>
      <c r="W1" s="10"/>
      <c r="X1" s="10"/>
      <c r="Y1" s="10"/>
      <c r="Z1" s="10"/>
      <c r="AA1" s="10"/>
    </row>
    <row r="2">
      <c r="A2" s="11" t="s">
        <v>15</v>
      </c>
      <c r="B2" s="12" t="s">
        <v>16</v>
      </c>
      <c r="C2" s="13" t="s">
        <v>17</v>
      </c>
      <c r="D2" s="11">
        <v>2.0</v>
      </c>
      <c r="E2" s="14">
        <v>45383.0</v>
      </c>
      <c r="F2" s="11">
        <v>15000.0</v>
      </c>
      <c r="G2" s="11">
        <f t="shared" ref="G2:G116" si="1">DATE(2024,7,1)-E2</f>
        <v>91</v>
      </c>
      <c r="H2" s="11" t="str">
        <f>VLOOKUP(A2,'Overall Analysis'!$A$2:$I$43,9,FALSE)</f>
        <v>Others</v>
      </c>
      <c r="I2" s="10"/>
      <c r="J2" s="15"/>
      <c r="K2" s="15"/>
      <c r="L2" s="10"/>
      <c r="M2" s="10"/>
      <c r="N2" s="10"/>
      <c r="O2" s="10"/>
      <c r="P2" s="10"/>
      <c r="Q2" s="10"/>
      <c r="R2" s="10"/>
      <c r="S2" s="10"/>
      <c r="T2" s="10"/>
      <c r="U2" s="10"/>
      <c r="V2" s="10"/>
      <c r="W2" s="10"/>
      <c r="X2" s="10"/>
      <c r="Y2" s="10"/>
      <c r="Z2" s="10"/>
      <c r="AA2" s="10"/>
    </row>
    <row r="3">
      <c r="A3" s="11" t="s">
        <v>18</v>
      </c>
      <c r="B3" s="12" t="s">
        <v>19</v>
      </c>
      <c r="C3" s="13" t="s">
        <v>17</v>
      </c>
      <c r="D3" s="11">
        <v>2.0</v>
      </c>
      <c r="E3" s="14">
        <v>45383.0</v>
      </c>
      <c r="F3" s="11">
        <v>15000.0</v>
      </c>
      <c r="G3" s="11">
        <f t="shared" si="1"/>
        <v>91</v>
      </c>
      <c r="H3" s="11" t="str">
        <f>VLOOKUP(A3,'Overall Analysis'!$A$2:$I$43,9,FALSE)</f>
        <v>Others</v>
      </c>
      <c r="I3" s="10"/>
      <c r="J3" s="15"/>
      <c r="K3" s="15"/>
      <c r="L3" s="10"/>
      <c r="M3" s="10"/>
      <c r="N3" s="10"/>
      <c r="O3" s="10"/>
      <c r="P3" s="10"/>
      <c r="Q3" s="10"/>
      <c r="R3" s="10"/>
      <c r="S3" s="10"/>
      <c r="T3" s="10"/>
      <c r="U3" s="10"/>
      <c r="V3" s="10"/>
      <c r="W3" s="10"/>
      <c r="X3" s="10"/>
      <c r="Y3" s="10"/>
      <c r="Z3" s="10"/>
      <c r="AA3" s="10"/>
    </row>
    <row r="4">
      <c r="A4" s="11" t="s">
        <v>15</v>
      </c>
      <c r="B4" s="12" t="s">
        <v>20</v>
      </c>
      <c r="C4" s="13" t="s">
        <v>17</v>
      </c>
      <c r="D4" s="11">
        <v>1.0</v>
      </c>
      <c r="E4" s="14">
        <v>45384.0</v>
      </c>
      <c r="F4" s="11">
        <v>7500.0</v>
      </c>
      <c r="G4" s="11">
        <f t="shared" si="1"/>
        <v>90</v>
      </c>
      <c r="H4" s="11" t="str">
        <f>VLOOKUP(A4,'Overall Analysis'!$A$2:$I$43,9,FALSE)</f>
        <v>Others</v>
      </c>
      <c r="I4" s="10"/>
      <c r="J4" s="15"/>
      <c r="K4" s="15"/>
      <c r="L4" s="10"/>
      <c r="M4" s="10"/>
      <c r="N4" s="10"/>
      <c r="O4" s="10"/>
      <c r="P4" s="10"/>
      <c r="Q4" s="10"/>
      <c r="R4" s="10"/>
      <c r="S4" s="10"/>
      <c r="T4" s="10"/>
      <c r="U4" s="10"/>
      <c r="V4" s="10"/>
      <c r="W4" s="10"/>
      <c r="X4" s="10"/>
      <c r="Y4" s="10"/>
      <c r="Z4" s="10"/>
      <c r="AA4" s="10"/>
    </row>
    <row r="5">
      <c r="A5" s="11" t="s">
        <v>21</v>
      </c>
      <c r="B5" s="12" t="s">
        <v>22</v>
      </c>
      <c r="C5" s="13" t="s">
        <v>17</v>
      </c>
      <c r="D5" s="11">
        <v>1.0</v>
      </c>
      <c r="E5" s="14">
        <v>45385.0</v>
      </c>
      <c r="F5" s="11">
        <v>7500.0</v>
      </c>
      <c r="G5" s="11">
        <f t="shared" si="1"/>
        <v>89</v>
      </c>
      <c r="H5" s="11" t="str">
        <f>VLOOKUP(A5,'Overall Analysis'!$A$2:$I$43,9,FALSE)</f>
        <v>VIP Guest</v>
      </c>
      <c r="I5" s="10"/>
      <c r="J5" s="15"/>
      <c r="K5" s="15"/>
      <c r="L5" s="10"/>
      <c r="M5" s="10"/>
      <c r="N5" s="10"/>
      <c r="O5" s="10"/>
      <c r="P5" s="10"/>
      <c r="Q5" s="10"/>
      <c r="R5" s="10"/>
      <c r="S5" s="10"/>
      <c r="T5" s="10"/>
      <c r="U5" s="10"/>
      <c r="V5" s="10"/>
      <c r="W5" s="10"/>
      <c r="X5" s="10"/>
      <c r="Y5" s="10"/>
      <c r="Z5" s="10"/>
      <c r="AA5" s="10"/>
    </row>
    <row r="6">
      <c r="A6" s="11" t="s">
        <v>23</v>
      </c>
      <c r="B6" s="12" t="s">
        <v>24</v>
      </c>
      <c r="C6" s="13" t="s">
        <v>17</v>
      </c>
      <c r="D6" s="11">
        <v>2.0</v>
      </c>
      <c r="E6" s="14">
        <v>45387.0</v>
      </c>
      <c r="F6" s="11">
        <v>15000.0</v>
      </c>
      <c r="G6" s="11">
        <f t="shared" si="1"/>
        <v>87</v>
      </c>
      <c r="H6" s="11" t="str">
        <f>VLOOKUP(A6,'Overall Analysis'!$A$2:$I$43,9,FALSE)</f>
        <v>Others</v>
      </c>
      <c r="I6" s="10"/>
      <c r="J6" s="15"/>
      <c r="K6" s="15"/>
      <c r="L6" s="10"/>
      <c r="M6" s="10"/>
      <c r="N6" s="10"/>
      <c r="O6" s="10"/>
      <c r="P6" s="10"/>
      <c r="Q6" s="10"/>
      <c r="R6" s="10"/>
      <c r="S6" s="10"/>
      <c r="T6" s="10"/>
      <c r="U6" s="10"/>
      <c r="V6" s="10"/>
      <c r="W6" s="10"/>
      <c r="X6" s="10"/>
      <c r="Y6" s="10"/>
      <c r="Z6" s="10"/>
      <c r="AA6" s="10"/>
    </row>
    <row r="7">
      <c r="A7" s="11" t="s">
        <v>25</v>
      </c>
      <c r="B7" s="12" t="s">
        <v>26</v>
      </c>
      <c r="C7" s="13" t="s">
        <v>27</v>
      </c>
      <c r="D7" s="11">
        <v>4.0</v>
      </c>
      <c r="E7" s="14">
        <v>45387.0</v>
      </c>
      <c r="F7" s="11">
        <v>20000.0</v>
      </c>
      <c r="G7" s="11">
        <f t="shared" si="1"/>
        <v>87</v>
      </c>
      <c r="H7" s="11" t="str">
        <f>VLOOKUP(A7,'Overall Analysis'!$A$2:$I$43,9,FALSE)</f>
        <v>Others</v>
      </c>
      <c r="I7" s="10"/>
      <c r="J7" s="15"/>
      <c r="K7" s="15"/>
      <c r="L7" s="10"/>
      <c r="M7" s="10"/>
      <c r="N7" s="10"/>
      <c r="O7" s="10"/>
      <c r="P7" s="10"/>
      <c r="Q7" s="10"/>
      <c r="R7" s="10"/>
      <c r="S7" s="10"/>
      <c r="T7" s="10"/>
      <c r="U7" s="10"/>
      <c r="V7" s="10"/>
      <c r="W7" s="10"/>
      <c r="X7" s="10"/>
      <c r="Y7" s="10"/>
      <c r="Z7" s="10"/>
      <c r="AA7" s="10"/>
    </row>
    <row r="8">
      <c r="A8" s="11" t="s">
        <v>28</v>
      </c>
      <c r="B8" s="12" t="s">
        <v>29</v>
      </c>
      <c r="C8" s="13" t="s">
        <v>30</v>
      </c>
      <c r="D8" s="11">
        <v>5.0</v>
      </c>
      <c r="E8" s="14">
        <v>45388.0</v>
      </c>
      <c r="F8" s="11">
        <v>12500.0</v>
      </c>
      <c r="G8" s="11">
        <f t="shared" si="1"/>
        <v>86</v>
      </c>
      <c r="H8" s="11" t="str">
        <f>VLOOKUP(A8,'Overall Analysis'!$A$2:$I$43,9,FALSE)</f>
        <v>Others</v>
      </c>
      <c r="I8" s="10"/>
      <c r="J8" s="10"/>
      <c r="K8" s="10"/>
      <c r="L8" s="10"/>
      <c r="M8" s="10"/>
      <c r="N8" s="10"/>
      <c r="O8" s="10"/>
      <c r="P8" s="10"/>
      <c r="Q8" s="10"/>
      <c r="R8" s="10"/>
      <c r="S8" s="10"/>
      <c r="T8" s="10"/>
      <c r="U8" s="10"/>
      <c r="V8" s="10"/>
      <c r="W8" s="10"/>
      <c r="X8" s="10"/>
      <c r="Y8" s="10"/>
      <c r="Z8" s="10"/>
      <c r="AA8" s="10"/>
    </row>
    <row r="9">
      <c r="A9" s="11" t="s">
        <v>31</v>
      </c>
      <c r="B9" s="12" t="s">
        <v>32</v>
      </c>
      <c r="C9" s="13" t="s">
        <v>17</v>
      </c>
      <c r="D9" s="11">
        <v>2.0</v>
      </c>
      <c r="E9" s="14">
        <v>45389.0</v>
      </c>
      <c r="F9" s="11">
        <v>15000.0</v>
      </c>
      <c r="G9" s="11">
        <f t="shared" si="1"/>
        <v>85</v>
      </c>
      <c r="H9" s="11" t="str">
        <f>VLOOKUP(A9,'Overall Analysis'!$A$2:$I$43,9,FALSE)</f>
        <v>VIP Guest</v>
      </c>
      <c r="I9" s="10"/>
      <c r="J9" s="10"/>
      <c r="K9" s="10"/>
      <c r="L9" s="10"/>
      <c r="M9" s="10"/>
      <c r="N9" s="10"/>
      <c r="O9" s="10"/>
      <c r="P9" s="10"/>
      <c r="Q9" s="10"/>
      <c r="R9" s="10"/>
      <c r="S9" s="10"/>
      <c r="T9" s="10"/>
      <c r="U9" s="10"/>
      <c r="V9" s="10"/>
      <c r="W9" s="10"/>
      <c r="X9" s="10"/>
      <c r="Y9" s="10"/>
      <c r="Z9" s="10"/>
      <c r="AA9" s="10"/>
    </row>
    <row r="10">
      <c r="A10" s="11" t="s">
        <v>33</v>
      </c>
      <c r="B10" s="12" t="s">
        <v>34</v>
      </c>
      <c r="C10" s="13" t="s">
        <v>17</v>
      </c>
      <c r="D10" s="11">
        <v>2.0</v>
      </c>
      <c r="E10" s="14">
        <v>45390.0</v>
      </c>
      <c r="F10" s="11">
        <v>15000.0</v>
      </c>
      <c r="G10" s="11">
        <f t="shared" si="1"/>
        <v>84</v>
      </c>
      <c r="H10" s="11" t="str">
        <f>VLOOKUP(A10,'Overall Analysis'!$A$2:$I$43,9,FALSE)</f>
        <v>Others</v>
      </c>
      <c r="I10" s="10"/>
      <c r="J10" s="10"/>
      <c r="K10" s="10"/>
      <c r="L10" s="10"/>
      <c r="M10" s="10"/>
      <c r="N10" s="10"/>
      <c r="O10" s="10"/>
      <c r="P10" s="10"/>
      <c r="Q10" s="10"/>
      <c r="R10" s="10"/>
      <c r="S10" s="10"/>
      <c r="T10" s="10"/>
      <c r="U10" s="10"/>
      <c r="V10" s="10"/>
      <c r="W10" s="10"/>
      <c r="X10" s="10"/>
      <c r="Y10" s="10"/>
      <c r="Z10" s="10"/>
      <c r="AA10" s="10"/>
    </row>
    <row r="11">
      <c r="A11" s="11" t="s">
        <v>35</v>
      </c>
      <c r="B11" s="12" t="s">
        <v>36</v>
      </c>
      <c r="C11" s="13" t="s">
        <v>27</v>
      </c>
      <c r="D11" s="11">
        <v>3.0</v>
      </c>
      <c r="E11" s="14">
        <v>45392.0</v>
      </c>
      <c r="F11" s="11">
        <v>15000.0</v>
      </c>
      <c r="G11" s="11">
        <f t="shared" si="1"/>
        <v>82</v>
      </c>
      <c r="H11" s="11" t="str">
        <f>VLOOKUP(A11,'Overall Analysis'!$A$2:$I$43,9,FALSE)</f>
        <v>VIP Guest</v>
      </c>
      <c r="I11" s="10"/>
      <c r="J11" s="10"/>
      <c r="K11" s="10"/>
      <c r="L11" s="10"/>
      <c r="M11" s="10"/>
      <c r="N11" s="10"/>
      <c r="O11" s="10"/>
      <c r="P11" s="10"/>
      <c r="Q11" s="10"/>
      <c r="R11" s="10"/>
      <c r="S11" s="10"/>
      <c r="T11" s="10"/>
      <c r="U11" s="10"/>
      <c r="V11" s="10"/>
      <c r="W11" s="10"/>
      <c r="X11" s="10"/>
      <c r="Y11" s="10"/>
      <c r="Z11" s="10"/>
      <c r="AA11" s="10"/>
    </row>
    <row r="12">
      <c r="A12" s="11" t="s">
        <v>37</v>
      </c>
      <c r="B12" s="12" t="s">
        <v>38</v>
      </c>
      <c r="C12" s="13" t="s">
        <v>27</v>
      </c>
      <c r="D12" s="11">
        <v>3.0</v>
      </c>
      <c r="E12" s="14">
        <v>45393.0</v>
      </c>
      <c r="F12" s="11">
        <v>15000.0</v>
      </c>
      <c r="G12" s="11">
        <f t="shared" si="1"/>
        <v>81</v>
      </c>
      <c r="H12" s="11" t="str">
        <f>VLOOKUP(A12,'Overall Analysis'!$A$2:$I$43,9,FALSE)</f>
        <v>Others</v>
      </c>
      <c r="I12" s="10"/>
      <c r="J12" s="10"/>
      <c r="K12" s="10"/>
      <c r="L12" s="10"/>
      <c r="M12" s="10"/>
      <c r="N12" s="10"/>
      <c r="O12" s="10"/>
      <c r="P12" s="10"/>
      <c r="Q12" s="10"/>
      <c r="R12" s="10"/>
      <c r="S12" s="10"/>
      <c r="T12" s="10"/>
      <c r="U12" s="10"/>
      <c r="V12" s="10"/>
      <c r="W12" s="10"/>
      <c r="X12" s="10"/>
      <c r="Y12" s="10"/>
      <c r="Z12" s="10"/>
      <c r="AA12" s="10"/>
    </row>
    <row r="13">
      <c r="A13" s="11" t="s">
        <v>39</v>
      </c>
      <c r="B13" s="12" t="s">
        <v>40</v>
      </c>
      <c r="C13" s="13" t="s">
        <v>27</v>
      </c>
      <c r="D13" s="11">
        <v>4.0</v>
      </c>
      <c r="E13" s="14">
        <v>45393.0</v>
      </c>
      <c r="F13" s="11">
        <v>20000.0</v>
      </c>
      <c r="G13" s="11">
        <f t="shared" si="1"/>
        <v>81</v>
      </c>
      <c r="H13" s="11" t="str">
        <f>VLOOKUP(A13,'Overall Analysis'!$A$2:$I$43,9,FALSE)</f>
        <v>VIP Guest</v>
      </c>
      <c r="I13" s="10"/>
      <c r="J13" s="10"/>
      <c r="K13" s="10"/>
      <c r="L13" s="10"/>
      <c r="M13" s="10"/>
      <c r="N13" s="10"/>
      <c r="O13" s="10"/>
      <c r="P13" s="10"/>
      <c r="Q13" s="10"/>
      <c r="R13" s="10"/>
      <c r="S13" s="10"/>
      <c r="T13" s="10"/>
      <c r="U13" s="10"/>
      <c r="V13" s="10"/>
      <c r="W13" s="10"/>
      <c r="X13" s="10"/>
      <c r="Y13" s="10"/>
      <c r="Z13" s="10"/>
      <c r="AA13" s="10"/>
    </row>
    <row r="14">
      <c r="A14" s="11" t="s">
        <v>15</v>
      </c>
      <c r="B14" s="12" t="s">
        <v>41</v>
      </c>
      <c r="C14" s="13" t="s">
        <v>30</v>
      </c>
      <c r="D14" s="11">
        <v>7.0</v>
      </c>
      <c r="E14" s="14">
        <v>45394.0</v>
      </c>
      <c r="F14" s="11">
        <v>17500.0</v>
      </c>
      <c r="G14" s="11">
        <f t="shared" si="1"/>
        <v>80</v>
      </c>
      <c r="H14" s="11" t="str">
        <f>VLOOKUP(A14,'Overall Analysis'!$A$2:$I$43,9,FALSE)</f>
        <v>Others</v>
      </c>
      <c r="I14" s="10"/>
      <c r="J14" s="10"/>
      <c r="K14" s="10"/>
      <c r="L14" s="10"/>
      <c r="M14" s="10"/>
      <c r="N14" s="10"/>
      <c r="O14" s="10"/>
      <c r="P14" s="10"/>
      <c r="Q14" s="10"/>
      <c r="R14" s="10"/>
      <c r="S14" s="10"/>
      <c r="T14" s="10"/>
      <c r="U14" s="10"/>
      <c r="V14" s="10"/>
      <c r="W14" s="10"/>
      <c r="X14" s="10"/>
      <c r="Y14" s="10"/>
      <c r="Z14" s="10"/>
      <c r="AA14" s="10"/>
    </row>
    <row r="15">
      <c r="A15" s="11" t="s">
        <v>42</v>
      </c>
      <c r="B15" s="12" t="s">
        <v>43</v>
      </c>
      <c r="C15" s="13" t="s">
        <v>17</v>
      </c>
      <c r="D15" s="11">
        <v>2.0</v>
      </c>
      <c r="E15" s="14">
        <v>45395.0</v>
      </c>
      <c r="F15" s="11">
        <v>15000.0</v>
      </c>
      <c r="G15" s="11">
        <f t="shared" si="1"/>
        <v>79</v>
      </c>
      <c r="H15" s="11" t="str">
        <f>VLOOKUP(A15,'Overall Analysis'!$A$2:$I$43,9,FALSE)</f>
        <v>Others</v>
      </c>
      <c r="I15" s="10"/>
      <c r="J15" s="10"/>
      <c r="K15" s="10"/>
      <c r="L15" s="10"/>
      <c r="M15" s="10"/>
      <c r="N15" s="10"/>
      <c r="O15" s="10"/>
      <c r="P15" s="10"/>
      <c r="Q15" s="10"/>
      <c r="R15" s="10"/>
      <c r="S15" s="10"/>
      <c r="T15" s="10"/>
      <c r="U15" s="10"/>
      <c r="V15" s="10"/>
      <c r="W15" s="10"/>
      <c r="X15" s="10"/>
      <c r="Y15" s="10"/>
      <c r="Z15" s="10"/>
      <c r="AA15" s="10"/>
    </row>
    <row r="16">
      <c r="A16" s="11" t="s">
        <v>42</v>
      </c>
      <c r="B16" s="12" t="s">
        <v>44</v>
      </c>
      <c r="C16" s="13" t="s">
        <v>30</v>
      </c>
      <c r="D16" s="11">
        <v>7.0</v>
      </c>
      <c r="E16" s="14">
        <v>45396.0</v>
      </c>
      <c r="F16" s="11">
        <v>17500.0</v>
      </c>
      <c r="G16" s="11">
        <f t="shared" si="1"/>
        <v>78</v>
      </c>
      <c r="H16" s="11" t="str">
        <f>VLOOKUP(A16,'Overall Analysis'!$A$2:$I$43,9,FALSE)</f>
        <v>Others</v>
      </c>
      <c r="I16" s="10"/>
      <c r="J16" s="10"/>
      <c r="K16" s="10"/>
      <c r="L16" s="10"/>
      <c r="M16" s="10"/>
      <c r="N16" s="10"/>
      <c r="O16" s="10"/>
      <c r="P16" s="10"/>
      <c r="Q16" s="10"/>
      <c r="R16" s="10"/>
      <c r="S16" s="10"/>
      <c r="T16" s="10"/>
      <c r="U16" s="10"/>
      <c r="V16" s="10"/>
      <c r="W16" s="10"/>
      <c r="X16" s="10"/>
      <c r="Y16" s="10"/>
      <c r="Z16" s="10"/>
      <c r="AA16" s="10"/>
    </row>
    <row r="17">
      <c r="A17" s="11" t="s">
        <v>45</v>
      </c>
      <c r="B17" s="12" t="s">
        <v>46</v>
      </c>
      <c r="C17" s="13" t="s">
        <v>30</v>
      </c>
      <c r="D17" s="11">
        <v>7.0</v>
      </c>
      <c r="E17" s="14">
        <v>45396.0</v>
      </c>
      <c r="F17" s="11">
        <v>17500.0</v>
      </c>
      <c r="G17" s="11">
        <f t="shared" si="1"/>
        <v>78</v>
      </c>
      <c r="H17" s="11" t="str">
        <f>VLOOKUP(A17,'Overall Analysis'!$A$2:$I$43,9,FALSE)</f>
        <v>VIP Guest</v>
      </c>
      <c r="I17" s="10"/>
      <c r="J17" s="10"/>
      <c r="K17" s="10"/>
      <c r="L17" s="10"/>
      <c r="M17" s="10"/>
      <c r="N17" s="10"/>
      <c r="O17" s="10"/>
      <c r="P17" s="10"/>
      <c r="Q17" s="10"/>
      <c r="R17" s="10"/>
      <c r="S17" s="10"/>
      <c r="T17" s="10"/>
      <c r="U17" s="10"/>
      <c r="V17" s="10"/>
      <c r="W17" s="10"/>
      <c r="X17" s="10"/>
      <c r="Y17" s="10"/>
      <c r="Z17" s="10"/>
      <c r="AA17" s="10"/>
    </row>
    <row r="18">
      <c r="A18" s="11" t="s">
        <v>47</v>
      </c>
      <c r="B18" s="12" t="s">
        <v>48</v>
      </c>
      <c r="C18" s="13" t="s">
        <v>17</v>
      </c>
      <c r="D18" s="11">
        <v>1.0</v>
      </c>
      <c r="E18" s="14">
        <v>45397.0</v>
      </c>
      <c r="F18" s="11">
        <v>7500.0</v>
      </c>
      <c r="G18" s="11">
        <f t="shared" si="1"/>
        <v>77</v>
      </c>
      <c r="H18" s="11" t="str">
        <f>VLOOKUP(A18,'Overall Analysis'!$A$2:$I$43,9,FALSE)</f>
        <v>Others</v>
      </c>
      <c r="I18" s="10"/>
      <c r="J18" s="10"/>
      <c r="K18" s="10"/>
      <c r="L18" s="10"/>
      <c r="M18" s="10"/>
      <c r="N18" s="10"/>
      <c r="O18" s="10"/>
      <c r="P18" s="10"/>
      <c r="Q18" s="10"/>
      <c r="R18" s="10"/>
      <c r="S18" s="10"/>
      <c r="T18" s="10"/>
      <c r="U18" s="10"/>
      <c r="V18" s="10"/>
      <c r="W18" s="10"/>
      <c r="X18" s="10"/>
      <c r="Y18" s="10"/>
      <c r="Z18" s="10"/>
      <c r="AA18" s="10"/>
    </row>
    <row r="19">
      <c r="A19" s="11" t="s">
        <v>21</v>
      </c>
      <c r="B19" s="12" t="s">
        <v>49</v>
      </c>
      <c r="C19" s="13" t="s">
        <v>27</v>
      </c>
      <c r="D19" s="11">
        <v>3.0</v>
      </c>
      <c r="E19" s="14">
        <v>45398.0</v>
      </c>
      <c r="F19" s="11">
        <v>15000.0</v>
      </c>
      <c r="G19" s="11">
        <f t="shared" si="1"/>
        <v>76</v>
      </c>
      <c r="H19" s="11" t="str">
        <f>VLOOKUP(A19,'Overall Analysis'!$A$2:$I$43,9,FALSE)</f>
        <v>VIP Guest</v>
      </c>
      <c r="I19" s="10"/>
      <c r="J19" s="10"/>
      <c r="K19" s="10"/>
      <c r="L19" s="10"/>
      <c r="M19" s="10"/>
      <c r="N19" s="10"/>
      <c r="O19" s="10"/>
      <c r="P19" s="10"/>
      <c r="Q19" s="10"/>
      <c r="R19" s="10"/>
      <c r="S19" s="10"/>
      <c r="T19" s="10"/>
      <c r="U19" s="10"/>
      <c r="V19" s="10"/>
      <c r="W19" s="10"/>
      <c r="X19" s="10"/>
      <c r="Y19" s="10"/>
      <c r="Z19" s="10"/>
      <c r="AA19" s="10"/>
    </row>
    <row r="20">
      <c r="A20" s="11" t="s">
        <v>45</v>
      </c>
      <c r="B20" s="12" t="s">
        <v>50</v>
      </c>
      <c r="C20" s="13" t="s">
        <v>27</v>
      </c>
      <c r="D20" s="11">
        <v>4.0</v>
      </c>
      <c r="E20" s="14">
        <v>45398.0</v>
      </c>
      <c r="F20" s="11">
        <v>20000.0</v>
      </c>
      <c r="G20" s="11">
        <f t="shared" si="1"/>
        <v>76</v>
      </c>
      <c r="H20" s="11" t="str">
        <f>VLOOKUP(A20,'Overall Analysis'!$A$2:$I$43,9,FALSE)</f>
        <v>VIP Guest</v>
      </c>
      <c r="I20" s="10"/>
      <c r="J20" s="10"/>
      <c r="K20" s="10"/>
      <c r="L20" s="10"/>
      <c r="M20" s="10"/>
      <c r="N20" s="10"/>
      <c r="O20" s="10"/>
      <c r="P20" s="10"/>
      <c r="Q20" s="10"/>
      <c r="R20" s="10"/>
      <c r="S20" s="10"/>
      <c r="T20" s="10"/>
      <c r="U20" s="10"/>
      <c r="V20" s="10"/>
      <c r="W20" s="10"/>
      <c r="X20" s="10"/>
      <c r="Y20" s="10"/>
      <c r="Z20" s="10"/>
      <c r="AA20" s="10"/>
    </row>
    <row r="21">
      <c r="A21" s="11" t="s">
        <v>51</v>
      </c>
      <c r="B21" s="12" t="s">
        <v>52</v>
      </c>
      <c r="C21" s="13" t="s">
        <v>27</v>
      </c>
      <c r="D21" s="11">
        <v>4.0</v>
      </c>
      <c r="E21" s="14">
        <v>45398.0</v>
      </c>
      <c r="F21" s="11">
        <v>20000.0</v>
      </c>
      <c r="G21" s="11">
        <f t="shared" si="1"/>
        <v>76</v>
      </c>
      <c r="H21" s="11" t="str">
        <f>VLOOKUP(A21,'Overall Analysis'!$A$2:$I$43,9,FALSE)</f>
        <v>VIP Guest</v>
      </c>
      <c r="I21" s="10"/>
      <c r="J21" s="10"/>
      <c r="K21" s="10"/>
      <c r="L21" s="10"/>
      <c r="M21" s="10"/>
      <c r="N21" s="10"/>
      <c r="O21" s="10"/>
      <c r="P21" s="10"/>
      <c r="Q21" s="10"/>
      <c r="R21" s="10"/>
      <c r="S21" s="10"/>
      <c r="T21" s="10"/>
      <c r="U21" s="10"/>
      <c r="V21" s="10"/>
      <c r="W21" s="10"/>
      <c r="X21" s="10"/>
      <c r="Y21" s="10"/>
      <c r="Z21" s="10"/>
      <c r="AA21" s="10"/>
    </row>
    <row r="22">
      <c r="A22" s="11" t="s">
        <v>53</v>
      </c>
      <c r="B22" s="12" t="s">
        <v>54</v>
      </c>
      <c r="C22" s="13" t="s">
        <v>17</v>
      </c>
      <c r="D22" s="11">
        <v>1.0</v>
      </c>
      <c r="E22" s="14">
        <v>45399.0</v>
      </c>
      <c r="F22" s="11">
        <v>7500.0</v>
      </c>
      <c r="G22" s="11">
        <f t="shared" si="1"/>
        <v>75</v>
      </c>
      <c r="H22" s="11" t="str">
        <f>VLOOKUP(A22,'Overall Analysis'!$A$2:$I$43,9,FALSE)</f>
        <v>Others</v>
      </c>
      <c r="I22" s="10"/>
      <c r="J22" s="10"/>
      <c r="K22" s="10"/>
      <c r="L22" s="10"/>
      <c r="M22" s="10"/>
      <c r="N22" s="10"/>
      <c r="O22" s="10"/>
      <c r="P22" s="10"/>
      <c r="Q22" s="10"/>
      <c r="R22" s="10"/>
      <c r="S22" s="10"/>
      <c r="T22" s="10"/>
      <c r="U22" s="10"/>
      <c r="V22" s="10"/>
      <c r="W22" s="10"/>
      <c r="X22" s="10"/>
      <c r="Y22" s="10"/>
      <c r="Z22" s="10"/>
      <c r="AA22" s="10"/>
    </row>
    <row r="23">
      <c r="A23" s="11" t="s">
        <v>35</v>
      </c>
      <c r="B23" s="12" t="s">
        <v>55</v>
      </c>
      <c r="C23" s="13" t="s">
        <v>30</v>
      </c>
      <c r="D23" s="11">
        <v>5.0</v>
      </c>
      <c r="E23" s="14">
        <v>45400.0</v>
      </c>
      <c r="F23" s="11">
        <v>12500.0</v>
      </c>
      <c r="G23" s="11">
        <f t="shared" si="1"/>
        <v>74</v>
      </c>
      <c r="H23" s="11" t="str">
        <f>VLOOKUP(A23,'Overall Analysis'!$A$2:$I$43,9,FALSE)</f>
        <v>VIP Guest</v>
      </c>
      <c r="I23" s="10"/>
      <c r="J23" s="10"/>
      <c r="K23" s="10"/>
      <c r="L23" s="10"/>
      <c r="M23" s="10"/>
      <c r="N23" s="10"/>
      <c r="O23" s="10"/>
      <c r="P23" s="10"/>
      <c r="Q23" s="10"/>
      <c r="R23" s="10"/>
      <c r="S23" s="10"/>
      <c r="T23" s="10"/>
      <c r="U23" s="10"/>
      <c r="V23" s="10"/>
      <c r="W23" s="10"/>
      <c r="X23" s="10"/>
      <c r="Y23" s="10"/>
      <c r="Z23" s="10"/>
      <c r="AA23" s="10"/>
    </row>
    <row r="24">
      <c r="A24" s="12" t="s">
        <v>56</v>
      </c>
      <c r="B24" s="12" t="s">
        <v>57</v>
      </c>
      <c r="C24" s="13" t="s">
        <v>30</v>
      </c>
      <c r="D24" s="12">
        <v>3.0</v>
      </c>
      <c r="E24" s="14">
        <v>45401.0</v>
      </c>
      <c r="F24" s="11">
        <v>7500.0</v>
      </c>
      <c r="G24" s="11">
        <f t="shared" si="1"/>
        <v>73</v>
      </c>
      <c r="H24" s="11" t="str">
        <f>VLOOKUP(A24,'Overall Analysis'!$A$2:$I$43,9,FALSE)</f>
        <v>Others</v>
      </c>
      <c r="I24" s="10"/>
      <c r="J24" s="10"/>
      <c r="K24" s="10"/>
      <c r="L24" s="10"/>
      <c r="M24" s="10"/>
      <c r="N24" s="10"/>
      <c r="O24" s="10"/>
      <c r="P24" s="10"/>
      <c r="Q24" s="10"/>
      <c r="R24" s="10"/>
      <c r="S24" s="10"/>
      <c r="T24" s="10"/>
      <c r="U24" s="10"/>
      <c r="V24" s="10"/>
      <c r="W24" s="10"/>
      <c r="X24" s="10"/>
      <c r="Y24" s="10"/>
      <c r="Z24" s="10"/>
      <c r="AA24" s="10"/>
    </row>
    <row r="25">
      <c r="A25" s="11" t="s">
        <v>31</v>
      </c>
      <c r="B25" s="12" t="s">
        <v>58</v>
      </c>
      <c r="C25" s="13" t="s">
        <v>30</v>
      </c>
      <c r="D25" s="11">
        <v>5.0</v>
      </c>
      <c r="E25" s="14">
        <v>45402.0</v>
      </c>
      <c r="F25" s="11">
        <v>12500.0</v>
      </c>
      <c r="G25" s="11">
        <f t="shared" si="1"/>
        <v>72</v>
      </c>
      <c r="H25" s="11" t="str">
        <f>VLOOKUP(A25,'Overall Analysis'!$A$2:$I$43,9,FALSE)</f>
        <v>VIP Guest</v>
      </c>
      <c r="I25" s="10"/>
      <c r="J25" s="10"/>
      <c r="K25" s="10"/>
      <c r="L25" s="10"/>
      <c r="M25" s="10"/>
      <c r="N25" s="10"/>
      <c r="O25" s="10"/>
      <c r="P25" s="10"/>
      <c r="Q25" s="10"/>
      <c r="R25" s="10"/>
      <c r="S25" s="10"/>
      <c r="T25" s="10"/>
      <c r="U25" s="10"/>
      <c r="V25" s="10"/>
      <c r="W25" s="10"/>
      <c r="X25" s="10"/>
      <c r="Y25" s="10"/>
      <c r="Z25" s="10"/>
      <c r="AA25" s="10"/>
    </row>
    <row r="26">
      <c r="A26" s="11" t="s">
        <v>42</v>
      </c>
      <c r="B26" s="12" t="s">
        <v>59</v>
      </c>
      <c r="C26" s="13" t="s">
        <v>27</v>
      </c>
      <c r="D26" s="11">
        <v>3.0</v>
      </c>
      <c r="E26" s="14">
        <v>45403.0</v>
      </c>
      <c r="F26" s="11">
        <v>15000.0</v>
      </c>
      <c r="G26" s="11">
        <f t="shared" si="1"/>
        <v>71</v>
      </c>
      <c r="H26" s="11" t="str">
        <f>VLOOKUP(A26,'Overall Analysis'!$A$2:$I$43,9,FALSE)</f>
        <v>Others</v>
      </c>
      <c r="I26" s="10"/>
      <c r="J26" s="10"/>
      <c r="K26" s="10"/>
      <c r="L26" s="10"/>
      <c r="M26" s="10"/>
      <c r="N26" s="10"/>
      <c r="O26" s="10"/>
      <c r="P26" s="10"/>
      <c r="Q26" s="10"/>
      <c r="R26" s="10"/>
      <c r="S26" s="10"/>
      <c r="T26" s="10"/>
      <c r="U26" s="10"/>
      <c r="V26" s="10"/>
      <c r="W26" s="10"/>
      <c r="X26" s="10"/>
      <c r="Y26" s="10"/>
      <c r="Z26" s="10"/>
      <c r="AA26" s="10"/>
    </row>
    <row r="27">
      <c r="A27" s="11" t="s">
        <v>39</v>
      </c>
      <c r="B27" s="12" t="s">
        <v>60</v>
      </c>
      <c r="C27" s="13" t="s">
        <v>30</v>
      </c>
      <c r="D27" s="11">
        <v>5.0</v>
      </c>
      <c r="E27" s="14">
        <v>45404.0</v>
      </c>
      <c r="F27" s="11">
        <v>12500.0</v>
      </c>
      <c r="G27" s="11">
        <f t="shared" si="1"/>
        <v>70</v>
      </c>
      <c r="H27" s="11" t="str">
        <f>VLOOKUP(A27,'Overall Analysis'!$A$2:$I$43,9,FALSE)</f>
        <v>VIP Guest</v>
      </c>
      <c r="I27" s="10"/>
      <c r="J27" s="10"/>
      <c r="K27" s="10"/>
      <c r="L27" s="10"/>
      <c r="M27" s="10"/>
      <c r="N27" s="10"/>
      <c r="O27" s="10"/>
      <c r="P27" s="10"/>
      <c r="Q27" s="10"/>
      <c r="R27" s="10"/>
      <c r="S27" s="10"/>
      <c r="T27" s="10"/>
      <c r="U27" s="10"/>
      <c r="V27" s="10"/>
      <c r="W27" s="10"/>
      <c r="X27" s="10"/>
      <c r="Y27" s="10"/>
      <c r="Z27" s="10"/>
      <c r="AA27" s="10"/>
    </row>
    <row r="28">
      <c r="A28" s="11" t="s">
        <v>37</v>
      </c>
      <c r="B28" s="12" t="s">
        <v>61</v>
      </c>
      <c r="C28" s="13" t="s">
        <v>17</v>
      </c>
      <c r="D28" s="11">
        <v>2.0</v>
      </c>
      <c r="E28" s="14">
        <v>45404.0</v>
      </c>
      <c r="F28" s="11">
        <v>15000.0</v>
      </c>
      <c r="G28" s="11">
        <f t="shared" si="1"/>
        <v>70</v>
      </c>
      <c r="H28" s="11" t="str">
        <f>VLOOKUP(A28,'Overall Analysis'!$A$2:$I$43,9,FALSE)</f>
        <v>Others</v>
      </c>
      <c r="I28" s="10"/>
      <c r="J28" s="10"/>
      <c r="K28" s="10"/>
      <c r="L28" s="10"/>
      <c r="M28" s="10"/>
      <c r="N28" s="10"/>
      <c r="O28" s="10"/>
      <c r="P28" s="10"/>
      <c r="Q28" s="10"/>
      <c r="R28" s="10"/>
      <c r="S28" s="10"/>
      <c r="T28" s="10"/>
      <c r="U28" s="10"/>
      <c r="V28" s="10"/>
      <c r="W28" s="10"/>
      <c r="X28" s="10"/>
      <c r="Y28" s="10"/>
      <c r="Z28" s="10"/>
      <c r="AA28" s="10"/>
    </row>
    <row r="29">
      <c r="A29" s="11" t="s">
        <v>62</v>
      </c>
      <c r="B29" s="12" t="s">
        <v>63</v>
      </c>
      <c r="C29" s="13" t="s">
        <v>27</v>
      </c>
      <c r="D29" s="11">
        <v>3.0</v>
      </c>
      <c r="E29" s="14">
        <v>45404.0</v>
      </c>
      <c r="F29" s="11">
        <v>15000.0</v>
      </c>
      <c r="G29" s="11">
        <f t="shared" si="1"/>
        <v>70</v>
      </c>
      <c r="H29" s="11" t="str">
        <f>VLOOKUP(A29,'Overall Analysis'!$A$2:$I$43,9,FALSE)</f>
        <v>Others</v>
      </c>
      <c r="I29" s="10"/>
      <c r="J29" s="10"/>
      <c r="K29" s="10"/>
      <c r="L29" s="10"/>
      <c r="M29" s="10"/>
      <c r="N29" s="10"/>
      <c r="O29" s="10"/>
      <c r="P29" s="10"/>
      <c r="Q29" s="10"/>
      <c r="R29" s="10"/>
      <c r="S29" s="10"/>
      <c r="T29" s="10"/>
      <c r="U29" s="10"/>
      <c r="V29" s="10"/>
      <c r="W29" s="10"/>
      <c r="X29" s="10"/>
      <c r="Y29" s="10"/>
      <c r="Z29" s="10"/>
      <c r="AA29" s="10"/>
    </row>
    <row r="30">
      <c r="A30" s="11" t="s">
        <v>25</v>
      </c>
      <c r="B30" s="12" t="s">
        <v>64</v>
      </c>
      <c r="C30" s="13" t="s">
        <v>17</v>
      </c>
      <c r="D30" s="11">
        <v>2.0</v>
      </c>
      <c r="E30" s="14">
        <v>45405.0</v>
      </c>
      <c r="F30" s="11">
        <v>15000.0</v>
      </c>
      <c r="G30" s="11">
        <f t="shared" si="1"/>
        <v>69</v>
      </c>
      <c r="H30" s="11" t="str">
        <f>VLOOKUP(A30,'Overall Analysis'!$A$2:$I$43,9,FALSE)</f>
        <v>Others</v>
      </c>
      <c r="I30" s="10"/>
      <c r="J30" s="10"/>
      <c r="K30" s="10"/>
      <c r="L30" s="10"/>
      <c r="M30" s="10"/>
      <c r="N30" s="10"/>
      <c r="O30" s="10"/>
      <c r="P30" s="10"/>
      <c r="Q30" s="10"/>
      <c r="R30" s="10"/>
      <c r="S30" s="10"/>
      <c r="T30" s="10"/>
      <c r="U30" s="10"/>
      <c r="V30" s="10"/>
      <c r="W30" s="10"/>
      <c r="X30" s="10"/>
      <c r="Y30" s="10"/>
      <c r="Z30" s="10"/>
      <c r="AA30" s="10"/>
    </row>
    <row r="31">
      <c r="A31" s="11" t="s">
        <v>65</v>
      </c>
      <c r="B31" s="12" t="s">
        <v>66</v>
      </c>
      <c r="C31" s="13" t="s">
        <v>30</v>
      </c>
      <c r="D31" s="11">
        <v>7.0</v>
      </c>
      <c r="E31" s="14">
        <v>45406.0</v>
      </c>
      <c r="F31" s="11">
        <v>17500.0</v>
      </c>
      <c r="G31" s="11">
        <f t="shared" si="1"/>
        <v>68</v>
      </c>
      <c r="H31" s="11" t="str">
        <f>VLOOKUP(A31,'Overall Analysis'!$A$2:$I$43,9,FALSE)</f>
        <v>Others</v>
      </c>
      <c r="I31" s="10"/>
      <c r="J31" s="10"/>
      <c r="K31" s="10"/>
      <c r="L31" s="10"/>
      <c r="M31" s="10"/>
      <c r="N31" s="10"/>
      <c r="O31" s="10"/>
      <c r="P31" s="10"/>
      <c r="Q31" s="10"/>
      <c r="R31" s="10"/>
      <c r="S31" s="10"/>
      <c r="T31" s="10"/>
      <c r="U31" s="10"/>
      <c r="V31" s="10"/>
      <c r="W31" s="10"/>
      <c r="X31" s="10"/>
      <c r="Y31" s="10"/>
      <c r="Z31" s="10"/>
      <c r="AA31" s="10"/>
    </row>
    <row r="32">
      <c r="A32" s="12" t="s">
        <v>67</v>
      </c>
      <c r="B32" s="12" t="s">
        <v>68</v>
      </c>
      <c r="C32" s="13" t="s">
        <v>30</v>
      </c>
      <c r="D32" s="12">
        <v>3.0</v>
      </c>
      <c r="E32" s="14">
        <v>45406.0</v>
      </c>
      <c r="F32" s="12">
        <v>7500.0</v>
      </c>
      <c r="G32" s="11">
        <f t="shared" si="1"/>
        <v>68</v>
      </c>
      <c r="H32" s="11" t="str">
        <f>VLOOKUP(A32,'Overall Analysis'!$A$2:$I$43,9,FALSE)</f>
        <v>Others</v>
      </c>
      <c r="I32" s="10"/>
      <c r="J32" s="10"/>
      <c r="K32" s="10"/>
      <c r="L32" s="10"/>
      <c r="M32" s="10"/>
      <c r="N32" s="10"/>
      <c r="O32" s="10"/>
      <c r="P32" s="10"/>
      <c r="Q32" s="10"/>
      <c r="R32" s="10"/>
      <c r="S32" s="10"/>
      <c r="T32" s="10"/>
      <c r="U32" s="10"/>
      <c r="V32" s="10"/>
      <c r="W32" s="10"/>
      <c r="X32" s="10"/>
      <c r="Y32" s="10"/>
      <c r="Z32" s="10"/>
      <c r="AA32" s="10"/>
    </row>
    <row r="33">
      <c r="A33" s="11" t="s">
        <v>69</v>
      </c>
      <c r="B33" s="12" t="s">
        <v>70</v>
      </c>
      <c r="C33" s="13" t="s">
        <v>27</v>
      </c>
      <c r="D33" s="11">
        <v>4.0</v>
      </c>
      <c r="E33" s="14">
        <v>45407.0</v>
      </c>
      <c r="F33" s="11">
        <v>20000.0</v>
      </c>
      <c r="G33" s="11">
        <f t="shared" si="1"/>
        <v>67</v>
      </c>
      <c r="H33" s="11" t="str">
        <f>VLOOKUP(A33,'Overall Analysis'!$A$2:$I$43,9,FALSE)</f>
        <v>Others</v>
      </c>
      <c r="I33" s="10"/>
      <c r="J33" s="10"/>
      <c r="K33" s="10"/>
      <c r="L33" s="10"/>
      <c r="M33" s="10"/>
      <c r="N33" s="10"/>
      <c r="O33" s="10"/>
      <c r="P33" s="10"/>
      <c r="Q33" s="10"/>
      <c r="R33" s="10"/>
      <c r="S33" s="10"/>
      <c r="T33" s="10"/>
      <c r="U33" s="10"/>
      <c r="V33" s="10"/>
      <c r="W33" s="10"/>
      <c r="X33" s="10"/>
      <c r="Y33" s="10"/>
      <c r="Z33" s="10"/>
      <c r="AA33" s="10"/>
    </row>
    <row r="34">
      <c r="A34" s="11" t="s">
        <v>71</v>
      </c>
      <c r="B34" s="12" t="s">
        <v>72</v>
      </c>
      <c r="C34" s="13" t="s">
        <v>27</v>
      </c>
      <c r="D34" s="11">
        <v>3.0</v>
      </c>
      <c r="E34" s="14">
        <v>45408.0</v>
      </c>
      <c r="F34" s="11">
        <v>15000.0</v>
      </c>
      <c r="G34" s="11">
        <f t="shared" si="1"/>
        <v>66</v>
      </c>
      <c r="H34" s="11" t="str">
        <f>VLOOKUP(A34,'Overall Analysis'!$A$2:$I$43,9,FALSE)</f>
        <v>Others</v>
      </c>
      <c r="I34" s="10"/>
      <c r="J34" s="10"/>
      <c r="K34" s="10"/>
      <c r="L34" s="10"/>
      <c r="M34" s="10"/>
      <c r="N34" s="10"/>
      <c r="O34" s="10"/>
      <c r="P34" s="10"/>
      <c r="Q34" s="10"/>
      <c r="R34" s="10"/>
      <c r="S34" s="10"/>
      <c r="T34" s="10"/>
      <c r="U34" s="10"/>
      <c r="V34" s="10"/>
      <c r="W34" s="10"/>
      <c r="X34" s="10"/>
      <c r="Y34" s="10"/>
      <c r="Z34" s="10"/>
      <c r="AA34" s="10"/>
    </row>
    <row r="35">
      <c r="A35" s="11" t="s">
        <v>73</v>
      </c>
      <c r="B35" s="12" t="s">
        <v>74</v>
      </c>
      <c r="C35" s="13" t="s">
        <v>17</v>
      </c>
      <c r="D35" s="11">
        <v>2.0</v>
      </c>
      <c r="E35" s="14">
        <v>45408.0</v>
      </c>
      <c r="F35" s="11">
        <v>15000.0</v>
      </c>
      <c r="G35" s="11">
        <f t="shared" si="1"/>
        <v>66</v>
      </c>
      <c r="H35" s="11" t="str">
        <f>VLOOKUP(A35,'Overall Analysis'!$A$2:$I$43,9,FALSE)</f>
        <v>Others</v>
      </c>
      <c r="I35" s="16"/>
      <c r="J35" s="10"/>
      <c r="K35" s="10"/>
      <c r="L35" s="10"/>
      <c r="M35" s="10"/>
      <c r="N35" s="10"/>
      <c r="O35" s="10"/>
      <c r="P35" s="10"/>
      <c r="Q35" s="10"/>
      <c r="R35" s="10"/>
      <c r="S35" s="10"/>
      <c r="T35" s="10"/>
      <c r="U35" s="10"/>
      <c r="V35" s="10"/>
      <c r="W35" s="10"/>
      <c r="X35" s="10"/>
      <c r="Y35" s="10"/>
      <c r="Z35" s="10"/>
      <c r="AA35" s="10"/>
    </row>
    <row r="36">
      <c r="A36" s="12" t="s">
        <v>35</v>
      </c>
      <c r="B36" s="12" t="s">
        <v>75</v>
      </c>
      <c r="C36" s="17" t="s">
        <v>30</v>
      </c>
      <c r="D36" s="18">
        <v>7.0</v>
      </c>
      <c r="E36" s="14">
        <v>45410.0</v>
      </c>
      <c r="F36" s="11">
        <v>17500.0</v>
      </c>
      <c r="G36" s="11">
        <f t="shared" si="1"/>
        <v>64</v>
      </c>
      <c r="H36" s="11" t="str">
        <f>VLOOKUP(A36,'Overall Analysis'!$A$2:$I$43,9,FALSE)</f>
        <v>VIP Guest</v>
      </c>
      <c r="I36" s="16"/>
      <c r="J36" s="10"/>
      <c r="K36" s="10"/>
      <c r="L36" s="10"/>
      <c r="M36" s="10"/>
      <c r="N36" s="10"/>
      <c r="O36" s="10"/>
      <c r="P36" s="10"/>
      <c r="Q36" s="10"/>
      <c r="R36" s="10"/>
      <c r="S36" s="10"/>
      <c r="T36" s="10"/>
      <c r="U36" s="10"/>
      <c r="V36" s="10"/>
      <c r="W36" s="10"/>
      <c r="X36" s="10"/>
      <c r="Y36" s="10"/>
      <c r="Z36" s="10"/>
      <c r="AA36" s="10"/>
    </row>
    <row r="37">
      <c r="A37" s="11" t="s">
        <v>15</v>
      </c>
      <c r="B37" s="12" t="s">
        <v>76</v>
      </c>
      <c r="C37" s="17" t="s">
        <v>27</v>
      </c>
      <c r="D37" s="18">
        <v>3.0</v>
      </c>
      <c r="E37" s="14">
        <v>45410.0</v>
      </c>
      <c r="F37" s="11">
        <v>15000.0</v>
      </c>
      <c r="G37" s="11">
        <f t="shared" si="1"/>
        <v>64</v>
      </c>
      <c r="H37" s="11" t="str">
        <f>VLOOKUP(A37,'Overall Analysis'!$A$2:$I$43,9,FALSE)</f>
        <v>Others</v>
      </c>
      <c r="I37" s="16"/>
      <c r="J37" s="10"/>
      <c r="K37" s="10"/>
      <c r="L37" s="10"/>
      <c r="M37" s="10"/>
      <c r="N37" s="10"/>
      <c r="O37" s="10"/>
      <c r="P37" s="10"/>
      <c r="Q37" s="10"/>
      <c r="R37" s="10"/>
      <c r="S37" s="10"/>
      <c r="T37" s="10"/>
      <c r="U37" s="10"/>
      <c r="V37" s="10"/>
      <c r="W37" s="10"/>
      <c r="X37" s="10"/>
      <c r="Y37" s="10"/>
      <c r="Z37" s="10"/>
      <c r="AA37" s="10"/>
    </row>
    <row r="38">
      <c r="A38" s="11" t="s">
        <v>23</v>
      </c>
      <c r="B38" s="12" t="s">
        <v>77</v>
      </c>
      <c r="C38" s="17" t="s">
        <v>17</v>
      </c>
      <c r="D38" s="18">
        <v>1.0</v>
      </c>
      <c r="E38" s="14">
        <v>45411.0</v>
      </c>
      <c r="F38" s="11">
        <v>7500.0</v>
      </c>
      <c r="G38" s="11">
        <f t="shared" si="1"/>
        <v>63</v>
      </c>
      <c r="H38" s="11" t="str">
        <f>VLOOKUP(A38,'Overall Analysis'!$A$2:$I$43,9,FALSE)</f>
        <v>Others</v>
      </c>
      <c r="I38" s="16"/>
      <c r="J38" s="10"/>
      <c r="K38" s="10"/>
      <c r="L38" s="10"/>
      <c r="M38" s="10"/>
      <c r="N38" s="10"/>
      <c r="O38" s="10"/>
      <c r="P38" s="10"/>
      <c r="Q38" s="10"/>
      <c r="R38" s="10"/>
      <c r="S38" s="10"/>
      <c r="T38" s="10"/>
      <c r="U38" s="10"/>
      <c r="V38" s="10"/>
      <c r="W38" s="10"/>
      <c r="X38" s="10"/>
      <c r="Y38" s="10"/>
      <c r="Z38" s="10"/>
      <c r="AA38" s="10"/>
    </row>
    <row r="39">
      <c r="A39" s="11" t="s">
        <v>73</v>
      </c>
      <c r="B39" s="12" t="s">
        <v>78</v>
      </c>
      <c r="C39" s="17" t="s">
        <v>27</v>
      </c>
      <c r="D39" s="18">
        <v>4.0</v>
      </c>
      <c r="E39" s="14">
        <v>45411.0</v>
      </c>
      <c r="F39" s="11">
        <v>20000.0</v>
      </c>
      <c r="G39" s="11">
        <f t="shared" si="1"/>
        <v>63</v>
      </c>
      <c r="H39" s="11" t="str">
        <f>VLOOKUP(A39,'Overall Analysis'!$A$2:$I$43,9,FALSE)</f>
        <v>Others</v>
      </c>
      <c r="I39" s="16"/>
      <c r="J39" s="10"/>
      <c r="K39" s="10"/>
      <c r="L39" s="10"/>
      <c r="M39" s="10"/>
      <c r="N39" s="10"/>
      <c r="O39" s="10"/>
      <c r="P39" s="10"/>
      <c r="Q39" s="10"/>
      <c r="R39" s="10"/>
      <c r="S39" s="10"/>
      <c r="T39" s="10"/>
      <c r="U39" s="10"/>
      <c r="V39" s="10"/>
      <c r="W39" s="10"/>
      <c r="X39" s="10"/>
      <c r="Y39" s="10"/>
      <c r="Z39" s="10"/>
      <c r="AA39" s="10"/>
    </row>
    <row r="40">
      <c r="A40" s="12" t="s">
        <v>79</v>
      </c>
      <c r="B40" s="12" t="s">
        <v>80</v>
      </c>
      <c r="C40" s="17" t="s">
        <v>30</v>
      </c>
      <c r="D40" s="19">
        <v>3.0</v>
      </c>
      <c r="E40" s="14">
        <v>45411.0</v>
      </c>
      <c r="F40" s="12">
        <v>7500.0</v>
      </c>
      <c r="G40" s="11">
        <f t="shared" si="1"/>
        <v>63</v>
      </c>
      <c r="H40" s="11" t="str">
        <f>VLOOKUP(A40,'Overall Analysis'!$A$2:$I$43,9,FALSE)</f>
        <v>Others</v>
      </c>
      <c r="I40" s="10"/>
      <c r="J40" s="10"/>
      <c r="K40" s="10"/>
      <c r="L40" s="10"/>
      <c r="M40" s="10"/>
      <c r="N40" s="10"/>
      <c r="O40" s="10"/>
      <c r="P40" s="10"/>
      <c r="Q40" s="10"/>
      <c r="R40" s="10"/>
      <c r="S40" s="10"/>
      <c r="T40" s="10"/>
      <c r="U40" s="10"/>
      <c r="V40" s="10"/>
      <c r="W40" s="10"/>
      <c r="X40" s="10"/>
      <c r="Y40" s="10"/>
      <c r="Z40" s="10"/>
      <c r="AA40" s="10"/>
    </row>
    <row r="41">
      <c r="A41" s="12" t="s">
        <v>67</v>
      </c>
      <c r="B41" s="12" t="s">
        <v>81</v>
      </c>
      <c r="C41" s="17" t="s">
        <v>30</v>
      </c>
      <c r="D41" s="19">
        <v>3.0</v>
      </c>
      <c r="E41" s="14">
        <v>45412.0</v>
      </c>
      <c r="F41" s="12">
        <v>7500.0</v>
      </c>
      <c r="G41" s="11">
        <f t="shared" si="1"/>
        <v>62</v>
      </c>
      <c r="H41" s="11" t="str">
        <f>VLOOKUP(A41,'Overall Analysis'!$A$2:$I$43,9,FALSE)</f>
        <v>Others</v>
      </c>
      <c r="I41" s="10"/>
      <c r="J41" s="10"/>
      <c r="K41" s="10"/>
      <c r="L41" s="10"/>
      <c r="M41" s="10"/>
      <c r="N41" s="10"/>
      <c r="O41" s="10"/>
      <c r="P41" s="10"/>
      <c r="Q41" s="10"/>
      <c r="R41" s="10"/>
      <c r="S41" s="10"/>
      <c r="T41" s="10"/>
      <c r="U41" s="10"/>
      <c r="V41" s="10"/>
      <c r="W41" s="10"/>
      <c r="X41" s="10"/>
      <c r="Y41" s="10"/>
      <c r="Z41" s="10"/>
      <c r="AA41" s="10"/>
    </row>
    <row r="42">
      <c r="A42" s="12" t="s">
        <v>82</v>
      </c>
      <c r="B42" s="12" t="s">
        <v>83</v>
      </c>
      <c r="C42" s="17" t="s">
        <v>30</v>
      </c>
      <c r="D42" s="19">
        <v>3.0</v>
      </c>
      <c r="E42" s="14">
        <v>45412.0</v>
      </c>
      <c r="F42" s="12">
        <v>7500.0</v>
      </c>
      <c r="G42" s="11">
        <f t="shared" si="1"/>
        <v>62</v>
      </c>
      <c r="H42" s="11" t="str">
        <f>VLOOKUP(A42,'Overall Analysis'!$A$2:$I$43,9,FALSE)</f>
        <v>Others</v>
      </c>
      <c r="I42" s="10"/>
      <c r="J42" s="10"/>
      <c r="K42" s="10"/>
      <c r="L42" s="10"/>
      <c r="M42" s="10"/>
      <c r="N42" s="10"/>
      <c r="O42" s="10"/>
      <c r="P42" s="10"/>
      <c r="Q42" s="10"/>
      <c r="R42" s="10"/>
      <c r="S42" s="10"/>
      <c r="T42" s="10"/>
      <c r="U42" s="10"/>
      <c r="V42" s="10"/>
      <c r="W42" s="10"/>
      <c r="X42" s="10"/>
      <c r="Y42" s="10"/>
      <c r="Z42" s="10"/>
      <c r="AA42" s="10"/>
    </row>
    <row r="43">
      <c r="A43" s="12" t="s">
        <v>84</v>
      </c>
      <c r="B43" s="12" t="s">
        <v>85</v>
      </c>
      <c r="C43" s="17" t="s">
        <v>17</v>
      </c>
      <c r="D43" s="18">
        <v>1.0</v>
      </c>
      <c r="E43" s="14">
        <v>45413.0</v>
      </c>
      <c r="F43" s="12">
        <v>7500.0</v>
      </c>
      <c r="G43" s="11">
        <f t="shared" si="1"/>
        <v>61</v>
      </c>
      <c r="H43" s="11" t="str">
        <f>VLOOKUP(A43,'Overall Analysis'!$A$2:$I$43,9,FALSE)</f>
        <v>Others</v>
      </c>
      <c r="I43" s="10"/>
      <c r="J43" s="10"/>
      <c r="K43" s="10"/>
      <c r="L43" s="10"/>
      <c r="M43" s="10"/>
      <c r="N43" s="10"/>
      <c r="O43" s="10"/>
      <c r="P43" s="10"/>
      <c r="Q43" s="10"/>
      <c r="R43" s="10"/>
      <c r="S43" s="10"/>
      <c r="T43" s="10"/>
      <c r="U43" s="10"/>
      <c r="V43" s="10"/>
      <c r="W43" s="10"/>
      <c r="X43" s="10"/>
      <c r="Y43" s="10"/>
      <c r="Z43" s="10"/>
      <c r="AA43" s="10"/>
    </row>
    <row r="44">
      <c r="A44" s="12" t="s">
        <v>86</v>
      </c>
      <c r="B44" s="12" t="s">
        <v>87</v>
      </c>
      <c r="C44" s="17" t="s">
        <v>27</v>
      </c>
      <c r="D44" s="19">
        <v>2.0</v>
      </c>
      <c r="E44" s="14">
        <v>45413.0</v>
      </c>
      <c r="F44" s="12">
        <v>10000.0</v>
      </c>
      <c r="G44" s="11">
        <f t="shared" si="1"/>
        <v>61</v>
      </c>
      <c r="H44" s="11" t="str">
        <f>VLOOKUP(A44,'Overall Analysis'!$A$2:$I$43,9,FALSE)</f>
        <v>Others</v>
      </c>
      <c r="I44" s="10"/>
      <c r="J44" s="10"/>
      <c r="K44" s="10"/>
      <c r="L44" s="10"/>
      <c r="M44" s="10"/>
      <c r="N44" s="10"/>
      <c r="O44" s="10"/>
      <c r="P44" s="10"/>
      <c r="Q44" s="10"/>
      <c r="R44" s="10"/>
      <c r="S44" s="10"/>
      <c r="T44" s="10"/>
      <c r="U44" s="10"/>
      <c r="V44" s="10"/>
      <c r="W44" s="10"/>
      <c r="X44" s="10"/>
      <c r="Y44" s="10"/>
      <c r="Z44" s="10"/>
      <c r="AA44" s="10"/>
    </row>
    <row r="45">
      <c r="A45" s="12" t="s">
        <v>88</v>
      </c>
      <c r="B45" s="12" t="s">
        <v>89</v>
      </c>
      <c r="C45" s="17" t="s">
        <v>30</v>
      </c>
      <c r="D45" s="19">
        <v>3.0</v>
      </c>
      <c r="E45" s="14">
        <v>45413.0</v>
      </c>
      <c r="F45" s="12">
        <v>7500.0</v>
      </c>
      <c r="G45" s="11">
        <f t="shared" si="1"/>
        <v>61</v>
      </c>
      <c r="H45" s="11" t="str">
        <f>VLOOKUP(A45,'Overall Analysis'!$A$2:$I$43,9,FALSE)</f>
        <v>Others</v>
      </c>
      <c r="I45" s="10"/>
      <c r="J45" s="10"/>
      <c r="K45" s="10"/>
      <c r="L45" s="10"/>
      <c r="M45" s="10"/>
      <c r="N45" s="10"/>
      <c r="O45" s="10"/>
      <c r="P45" s="10"/>
      <c r="Q45" s="10"/>
      <c r="R45" s="10"/>
      <c r="S45" s="10"/>
      <c r="T45" s="10"/>
      <c r="U45" s="10"/>
      <c r="V45" s="10"/>
      <c r="W45" s="10"/>
      <c r="X45" s="10"/>
      <c r="Y45" s="10"/>
      <c r="Z45" s="10"/>
      <c r="AA45" s="10"/>
    </row>
    <row r="46">
      <c r="A46" s="11" t="s">
        <v>90</v>
      </c>
      <c r="B46" s="12" t="s">
        <v>91</v>
      </c>
      <c r="C46" s="17" t="s">
        <v>17</v>
      </c>
      <c r="D46" s="18">
        <v>1.0</v>
      </c>
      <c r="E46" s="14">
        <v>45414.0</v>
      </c>
      <c r="F46" s="11">
        <v>7500.0</v>
      </c>
      <c r="G46" s="11">
        <f t="shared" si="1"/>
        <v>60</v>
      </c>
      <c r="H46" s="11" t="str">
        <f>VLOOKUP(A46,'Overall Analysis'!$A$2:$I$43,9,FALSE)</f>
        <v>Others</v>
      </c>
      <c r="I46" s="10"/>
      <c r="J46" s="10"/>
      <c r="K46" s="10"/>
      <c r="L46" s="10"/>
      <c r="M46" s="10"/>
      <c r="N46" s="10"/>
      <c r="O46" s="10"/>
      <c r="P46" s="10"/>
      <c r="Q46" s="10"/>
      <c r="R46" s="10"/>
      <c r="S46" s="10"/>
      <c r="T46" s="10"/>
      <c r="U46" s="10"/>
      <c r="V46" s="10"/>
      <c r="W46" s="10"/>
      <c r="X46" s="10"/>
      <c r="Y46" s="10"/>
      <c r="Z46" s="10"/>
      <c r="AA46" s="10"/>
    </row>
    <row r="47">
      <c r="A47" s="11" t="s">
        <v>37</v>
      </c>
      <c r="B47" s="12" t="s">
        <v>92</v>
      </c>
      <c r="C47" s="17" t="s">
        <v>27</v>
      </c>
      <c r="D47" s="18">
        <v>4.0</v>
      </c>
      <c r="E47" s="14">
        <v>45415.0</v>
      </c>
      <c r="F47" s="11">
        <v>20000.0</v>
      </c>
      <c r="G47" s="11">
        <f t="shared" si="1"/>
        <v>59</v>
      </c>
      <c r="H47" s="11" t="str">
        <f>VLOOKUP(A47,'Overall Analysis'!$A$2:$I$43,9,FALSE)</f>
        <v>Others</v>
      </c>
      <c r="I47" s="10"/>
      <c r="J47" s="10"/>
      <c r="K47" s="10"/>
      <c r="L47" s="10"/>
      <c r="M47" s="10"/>
      <c r="N47" s="10"/>
      <c r="O47" s="10"/>
      <c r="P47" s="10"/>
      <c r="Q47" s="10"/>
      <c r="R47" s="10"/>
      <c r="S47" s="10"/>
      <c r="T47" s="10"/>
      <c r="U47" s="10"/>
      <c r="V47" s="10"/>
      <c r="W47" s="10"/>
      <c r="X47" s="10"/>
      <c r="Y47" s="10"/>
      <c r="Z47" s="10"/>
      <c r="AA47" s="10"/>
    </row>
    <row r="48">
      <c r="A48" s="11" t="s">
        <v>45</v>
      </c>
      <c r="B48" s="12" t="s">
        <v>93</v>
      </c>
      <c r="C48" s="17" t="s">
        <v>17</v>
      </c>
      <c r="D48" s="18">
        <v>2.0</v>
      </c>
      <c r="E48" s="14">
        <v>45416.0</v>
      </c>
      <c r="F48" s="11">
        <v>15000.0</v>
      </c>
      <c r="G48" s="11">
        <f t="shared" si="1"/>
        <v>58</v>
      </c>
      <c r="H48" s="11" t="str">
        <f>VLOOKUP(A48,'Overall Analysis'!$A$2:$I$43,9,FALSE)</f>
        <v>VIP Guest</v>
      </c>
      <c r="I48" s="10"/>
      <c r="J48" s="10"/>
      <c r="K48" s="10"/>
      <c r="L48" s="10"/>
      <c r="M48" s="10"/>
      <c r="N48" s="10"/>
      <c r="O48" s="10"/>
      <c r="P48" s="10"/>
      <c r="Q48" s="10"/>
      <c r="R48" s="10"/>
      <c r="S48" s="10"/>
      <c r="T48" s="10"/>
      <c r="U48" s="10"/>
      <c r="V48" s="10"/>
      <c r="W48" s="10"/>
      <c r="X48" s="10"/>
      <c r="Y48" s="10"/>
      <c r="Z48" s="10"/>
      <c r="AA48" s="10"/>
    </row>
    <row r="49">
      <c r="A49" s="11" t="s">
        <v>21</v>
      </c>
      <c r="B49" s="12" t="s">
        <v>94</v>
      </c>
      <c r="C49" s="17" t="s">
        <v>27</v>
      </c>
      <c r="D49" s="18">
        <v>3.0</v>
      </c>
      <c r="E49" s="14">
        <v>45418.0</v>
      </c>
      <c r="F49" s="11">
        <v>15000.0</v>
      </c>
      <c r="G49" s="11">
        <f t="shared" si="1"/>
        <v>56</v>
      </c>
      <c r="H49" s="11" t="str">
        <f>VLOOKUP(A49,'Overall Analysis'!$A$2:$I$43,9,FALSE)</f>
        <v>VIP Guest</v>
      </c>
      <c r="I49" s="10"/>
      <c r="J49" s="10"/>
      <c r="K49" s="10"/>
      <c r="L49" s="10"/>
      <c r="M49" s="10"/>
      <c r="N49" s="10"/>
      <c r="O49" s="10"/>
      <c r="P49" s="10"/>
      <c r="Q49" s="10"/>
      <c r="R49" s="10"/>
      <c r="S49" s="10"/>
      <c r="T49" s="10"/>
      <c r="U49" s="10"/>
      <c r="V49" s="10"/>
      <c r="W49" s="10"/>
      <c r="X49" s="10"/>
      <c r="Y49" s="10"/>
      <c r="Z49" s="10"/>
      <c r="AA49" s="10"/>
    </row>
    <row r="50">
      <c r="A50" s="12" t="s">
        <v>42</v>
      </c>
      <c r="B50" s="12" t="s">
        <v>95</v>
      </c>
      <c r="C50" s="17" t="s">
        <v>17</v>
      </c>
      <c r="D50" s="18">
        <v>2.0</v>
      </c>
      <c r="E50" s="14">
        <v>45418.0</v>
      </c>
      <c r="F50" s="11">
        <v>15000.0</v>
      </c>
      <c r="G50" s="11">
        <f t="shared" si="1"/>
        <v>56</v>
      </c>
      <c r="H50" s="11" t="str">
        <f>VLOOKUP(A50,'Overall Analysis'!$A$2:$I$43,9,FALSE)</f>
        <v>Others</v>
      </c>
      <c r="I50" s="16"/>
      <c r="J50" s="10"/>
      <c r="K50" s="10"/>
      <c r="L50" s="10"/>
      <c r="M50" s="10"/>
      <c r="N50" s="10"/>
      <c r="O50" s="10"/>
      <c r="P50" s="10"/>
      <c r="Q50" s="10"/>
      <c r="R50" s="10"/>
      <c r="S50" s="10"/>
      <c r="T50" s="10"/>
      <c r="U50" s="10"/>
      <c r="V50" s="10"/>
      <c r="W50" s="10"/>
      <c r="X50" s="10"/>
      <c r="Y50" s="10"/>
      <c r="Z50" s="10"/>
      <c r="AA50" s="10"/>
    </row>
    <row r="51">
      <c r="A51" s="11" t="s">
        <v>39</v>
      </c>
      <c r="B51" s="12" t="s">
        <v>96</v>
      </c>
      <c r="C51" s="17" t="s">
        <v>17</v>
      </c>
      <c r="D51" s="18">
        <v>2.0</v>
      </c>
      <c r="E51" s="14">
        <v>45419.0</v>
      </c>
      <c r="F51" s="11">
        <v>15000.0</v>
      </c>
      <c r="G51" s="11">
        <f t="shared" si="1"/>
        <v>55</v>
      </c>
      <c r="H51" s="11" t="str">
        <f>VLOOKUP(A51,'Overall Analysis'!$A$2:$I$43,9,FALSE)</f>
        <v>VIP Guest</v>
      </c>
      <c r="I51" s="16"/>
      <c r="J51" s="10"/>
      <c r="K51" s="10"/>
      <c r="L51" s="10"/>
      <c r="M51" s="10"/>
      <c r="N51" s="10"/>
      <c r="O51" s="10"/>
      <c r="P51" s="10"/>
      <c r="Q51" s="10"/>
      <c r="R51" s="10"/>
      <c r="S51" s="10"/>
      <c r="T51" s="10"/>
      <c r="U51" s="10"/>
      <c r="V51" s="10"/>
      <c r="W51" s="10"/>
      <c r="X51" s="10"/>
      <c r="Y51" s="10"/>
      <c r="Z51" s="10"/>
      <c r="AA51" s="10"/>
    </row>
    <row r="52">
      <c r="A52" s="11" t="s">
        <v>62</v>
      </c>
      <c r="B52" s="12" t="s">
        <v>97</v>
      </c>
      <c r="C52" s="17" t="s">
        <v>27</v>
      </c>
      <c r="D52" s="18">
        <v>4.0</v>
      </c>
      <c r="E52" s="14">
        <v>45420.0</v>
      </c>
      <c r="F52" s="11">
        <v>20000.0</v>
      </c>
      <c r="G52" s="11">
        <f t="shared" si="1"/>
        <v>54</v>
      </c>
      <c r="H52" s="11" t="str">
        <f>VLOOKUP(A52,'Overall Analysis'!$A$2:$I$43,9,FALSE)</f>
        <v>Others</v>
      </c>
      <c r="I52" s="16"/>
      <c r="J52" s="10"/>
      <c r="K52" s="10"/>
      <c r="L52" s="10"/>
      <c r="M52" s="10"/>
      <c r="N52" s="10"/>
      <c r="O52" s="10"/>
      <c r="P52" s="10"/>
      <c r="Q52" s="10"/>
      <c r="R52" s="10"/>
      <c r="S52" s="10"/>
      <c r="T52" s="10"/>
      <c r="U52" s="10"/>
      <c r="V52" s="10"/>
      <c r="W52" s="10"/>
      <c r="X52" s="10"/>
      <c r="Y52" s="10"/>
      <c r="Z52" s="10"/>
      <c r="AA52" s="10"/>
    </row>
    <row r="53">
      <c r="A53" s="11" t="s">
        <v>90</v>
      </c>
      <c r="B53" s="12" t="s">
        <v>98</v>
      </c>
      <c r="C53" s="17" t="s">
        <v>27</v>
      </c>
      <c r="D53" s="18">
        <v>3.0</v>
      </c>
      <c r="E53" s="14">
        <v>45422.0</v>
      </c>
      <c r="F53" s="11">
        <v>15000.0</v>
      </c>
      <c r="G53" s="11">
        <f t="shared" si="1"/>
        <v>52</v>
      </c>
      <c r="H53" s="11" t="str">
        <f>VLOOKUP(A53,'Overall Analysis'!$A$2:$I$43,9,FALSE)</f>
        <v>Others</v>
      </c>
      <c r="I53" s="16"/>
      <c r="J53" s="10"/>
      <c r="K53" s="10"/>
      <c r="L53" s="10"/>
      <c r="M53" s="10"/>
      <c r="N53" s="10"/>
      <c r="O53" s="10"/>
      <c r="P53" s="10"/>
      <c r="Q53" s="10"/>
      <c r="R53" s="10"/>
      <c r="S53" s="10"/>
      <c r="T53" s="10"/>
      <c r="U53" s="10"/>
      <c r="V53" s="10"/>
      <c r="W53" s="10"/>
      <c r="X53" s="10"/>
      <c r="Y53" s="10"/>
      <c r="Z53" s="10"/>
      <c r="AA53" s="10"/>
    </row>
    <row r="54">
      <c r="A54" s="11" t="s">
        <v>45</v>
      </c>
      <c r="B54" s="12" t="s">
        <v>99</v>
      </c>
      <c r="C54" s="17" t="s">
        <v>27</v>
      </c>
      <c r="D54" s="18">
        <v>3.0</v>
      </c>
      <c r="E54" s="14">
        <v>45422.0</v>
      </c>
      <c r="F54" s="11">
        <v>15000.0</v>
      </c>
      <c r="G54" s="11">
        <f t="shared" si="1"/>
        <v>52</v>
      </c>
      <c r="H54" s="11" t="str">
        <f>VLOOKUP(A54,'Overall Analysis'!$A$2:$I$43,9,FALSE)</f>
        <v>VIP Guest</v>
      </c>
      <c r="I54" s="16"/>
      <c r="J54" s="10"/>
      <c r="K54" s="10"/>
      <c r="L54" s="10"/>
      <c r="M54" s="10"/>
      <c r="N54" s="10"/>
      <c r="O54" s="10"/>
      <c r="P54" s="10"/>
      <c r="Q54" s="10"/>
      <c r="R54" s="10"/>
      <c r="S54" s="10"/>
      <c r="T54" s="10"/>
      <c r="U54" s="10"/>
      <c r="V54" s="10"/>
      <c r="W54" s="10"/>
      <c r="X54" s="10"/>
      <c r="Y54" s="10"/>
      <c r="Z54" s="10"/>
      <c r="AA54" s="10"/>
    </row>
    <row r="55">
      <c r="A55" s="11" t="s">
        <v>90</v>
      </c>
      <c r="B55" s="12" t="s">
        <v>100</v>
      </c>
      <c r="C55" s="17" t="s">
        <v>30</v>
      </c>
      <c r="D55" s="18">
        <v>5.0</v>
      </c>
      <c r="E55" s="14">
        <v>45423.0</v>
      </c>
      <c r="F55" s="11">
        <v>12500.0</v>
      </c>
      <c r="G55" s="11">
        <f t="shared" si="1"/>
        <v>51</v>
      </c>
      <c r="H55" s="11" t="str">
        <f>VLOOKUP(A55,'Overall Analysis'!$A$2:$I$43,9,FALSE)</f>
        <v>Others</v>
      </c>
      <c r="I55" s="10"/>
      <c r="J55" s="10"/>
      <c r="K55" s="10"/>
      <c r="L55" s="10"/>
      <c r="M55" s="10"/>
      <c r="N55" s="10"/>
      <c r="O55" s="10"/>
      <c r="P55" s="10"/>
      <c r="Q55" s="10"/>
      <c r="R55" s="10"/>
      <c r="S55" s="10"/>
      <c r="T55" s="10"/>
      <c r="U55" s="10"/>
      <c r="V55" s="10"/>
      <c r="W55" s="10"/>
      <c r="X55" s="10"/>
      <c r="Y55" s="10"/>
      <c r="Z55" s="10"/>
      <c r="AA55" s="10"/>
    </row>
    <row r="56">
      <c r="A56" s="11" t="s">
        <v>101</v>
      </c>
      <c r="B56" s="12" t="s">
        <v>102</v>
      </c>
      <c r="C56" s="17" t="s">
        <v>30</v>
      </c>
      <c r="D56" s="18">
        <v>7.0</v>
      </c>
      <c r="E56" s="14">
        <v>45423.0</v>
      </c>
      <c r="F56" s="11">
        <v>17500.0</v>
      </c>
      <c r="G56" s="11">
        <f t="shared" si="1"/>
        <v>51</v>
      </c>
      <c r="H56" s="11" t="str">
        <f>VLOOKUP(A56,'Overall Analysis'!$A$2:$I$43,9,FALSE)</f>
        <v>Others</v>
      </c>
      <c r="I56" s="10"/>
      <c r="J56" s="10"/>
      <c r="K56" s="10"/>
      <c r="L56" s="10"/>
      <c r="M56" s="10"/>
      <c r="N56" s="10"/>
      <c r="O56" s="10"/>
      <c r="P56" s="10"/>
      <c r="Q56" s="10"/>
      <c r="R56" s="10"/>
      <c r="S56" s="10"/>
      <c r="T56" s="10"/>
      <c r="U56" s="10"/>
      <c r="V56" s="10"/>
      <c r="W56" s="10"/>
      <c r="X56" s="10"/>
      <c r="Y56" s="10"/>
      <c r="Z56" s="10"/>
      <c r="AA56" s="10"/>
    </row>
    <row r="57">
      <c r="A57" s="11" t="s">
        <v>37</v>
      </c>
      <c r="B57" s="12" t="s">
        <v>103</v>
      </c>
      <c r="C57" s="17" t="s">
        <v>27</v>
      </c>
      <c r="D57" s="18">
        <v>4.0</v>
      </c>
      <c r="E57" s="14">
        <v>45423.0</v>
      </c>
      <c r="F57" s="11">
        <v>20000.0</v>
      </c>
      <c r="G57" s="11">
        <f t="shared" si="1"/>
        <v>51</v>
      </c>
      <c r="H57" s="11" t="str">
        <f>VLOOKUP(A57,'Overall Analysis'!$A$2:$I$43,9,FALSE)</f>
        <v>Others</v>
      </c>
      <c r="I57" s="10"/>
      <c r="J57" s="10"/>
      <c r="K57" s="10"/>
      <c r="L57" s="10"/>
      <c r="M57" s="10"/>
      <c r="N57" s="10"/>
      <c r="O57" s="10"/>
      <c r="P57" s="10"/>
      <c r="Q57" s="10"/>
      <c r="R57" s="10"/>
      <c r="S57" s="10"/>
      <c r="T57" s="10"/>
      <c r="U57" s="10"/>
      <c r="V57" s="10"/>
      <c r="W57" s="10"/>
      <c r="X57" s="10"/>
      <c r="Y57" s="10"/>
      <c r="Z57" s="10"/>
      <c r="AA57" s="10"/>
    </row>
    <row r="58">
      <c r="A58" s="11" t="s">
        <v>56</v>
      </c>
      <c r="B58" s="12" t="s">
        <v>104</v>
      </c>
      <c r="C58" s="17" t="s">
        <v>17</v>
      </c>
      <c r="D58" s="18">
        <v>2.0</v>
      </c>
      <c r="E58" s="14">
        <v>45424.0</v>
      </c>
      <c r="F58" s="11">
        <v>15000.0</v>
      </c>
      <c r="G58" s="11">
        <f t="shared" si="1"/>
        <v>50</v>
      </c>
      <c r="H58" s="11" t="str">
        <f>VLOOKUP(A58,'Overall Analysis'!$A$2:$I$43,9,FALSE)</f>
        <v>Others</v>
      </c>
      <c r="I58" s="10"/>
      <c r="J58" s="10"/>
      <c r="K58" s="10"/>
      <c r="L58" s="10"/>
      <c r="M58" s="10"/>
      <c r="N58" s="10"/>
      <c r="O58" s="10"/>
      <c r="P58" s="10"/>
      <c r="Q58" s="10"/>
      <c r="R58" s="10"/>
      <c r="S58" s="10"/>
      <c r="T58" s="10"/>
      <c r="U58" s="10"/>
      <c r="V58" s="10"/>
      <c r="W58" s="10"/>
      <c r="X58" s="10"/>
      <c r="Y58" s="10"/>
      <c r="Z58" s="10"/>
      <c r="AA58" s="10"/>
    </row>
    <row r="59">
      <c r="A59" s="11" t="s">
        <v>23</v>
      </c>
      <c r="B59" s="12" t="s">
        <v>105</v>
      </c>
      <c r="C59" s="17" t="s">
        <v>30</v>
      </c>
      <c r="D59" s="18">
        <v>7.0</v>
      </c>
      <c r="E59" s="14">
        <v>45426.0</v>
      </c>
      <c r="F59" s="11">
        <v>17500.0</v>
      </c>
      <c r="G59" s="11">
        <f t="shared" si="1"/>
        <v>48</v>
      </c>
      <c r="H59" s="11" t="str">
        <f>VLOOKUP(A59,'Overall Analysis'!$A$2:$I$43,9,FALSE)</f>
        <v>Others</v>
      </c>
      <c r="I59" s="10"/>
      <c r="J59" s="10"/>
      <c r="K59" s="10"/>
      <c r="L59" s="10"/>
      <c r="M59" s="10"/>
      <c r="N59" s="10"/>
      <c r="O59" s="10"/>
      <c r="P59" s="10"/>
      <c r="Q59" s="10"/>
      <c r="R59" s="10"/>
      <c r="S59" s="10"/>
      <c r="T59" s="10"/>
      <c r="U59" s="10"/>
      <c r="V59" s="10"/>
      <c r="W59" s="10"/>
      <c r="X59" s="10"/>
      <c r="Y59" s="10"/>
      <c r="Z59" s="10"/>
      <c r="AA59" s="10"/>
    </row>
    <row r="60">
      <c r="A60" s="12" t="s">
        <v>35</v>
      </c>
      <c r="B60" s="12" t="s">
        <v>106</v>
      </c>
      <c r="C60" s="17" t="s">
        <v>27</v>
      </c>
      <c r="D60" s="18">
        <v>4.0</v>
      </c>
      <c r="E60" s="14">
        <v>45428.0</v>
      </c>
      <c r="F60" s="11">
        <v>20000.0</v>
      </c>
      <c r="G60" s="11">
        <f t="shared" si="1"/>
        <v>46</v>
      </c>
      <c r="H60" s="11" t="str">
        <f>VLOOKUP(A60,'Overall Analysis'!$A$2:$I$43,9,FALSE)</f>
        <v>VIP Guest</v>
      </c>
      <c r="I60" s="10"/>
      <c r="J60" s="10"/>
      <c r="K60" s="10"/>
      <c r="L60" s="10"/>
      <c r="M60" s="10"/>
      <c r="N60" s="10"/>
      <c r="O60" s="10"/>
      <c r="P60" s="10"/>
      <c r="Q60" s="10"/>
      <c r="R60" s="10"/>
      <c r="S60" s="10"/>
      <c r="T60" s="10"/>
      <c r="U60" s="10"/>
      <c r="V60" s="10"/>
      <c r="W60" s="10"/>
      <c r="X60" s="10"/>
      <c r="Y60" s="10"/>
      <c r="Z60" s="10"/>
      <c r="AA60" s="10"/>
    </row>
    <row r="61">
      <c r="A61" s="11" t="s">
        <v>107</v>
      </c>
      <c r="B61" s="12" t="s">
        <v>108</v>
      </c>
      <c r="C61" s="17" t="s">
        <v>27</v>
      </c>
      <c r="D61" s="18">
        <v>3.0</v>
      </c>
      <c r="E61" s="14">
        <v>45429.0</v>
      </c>
      <c r="F61" s="11">
        <v>15000.0</v>
      </c>
      <c r="G61" s="11">
        <f t="shared" si="1"/>
        <v>45</v>
      </c>
      <c r="H61" s="11" t="str">
        <f>VLOOKUP(A61,'Overall Analysis'!$A$2:$I$43,9,FALSE)</f>
        <v>Others</v>
      </c>
      <c r="I61" s="10"/>
      <c r="J61" s="10"/>
      <c r="K61" s="10"/>
      <c r="L61" s="10"/>
      <c r="M61" s="10"/>
      <c r="N61" s="10"/>
      <c r="O61" s="10"/>
      <c r="P61" s="10"/>
      <c r="Q61" s="10"/>
      <c r="R61" s="10"/>
      <c r="S61" s="10"/>
      <c r="T61" s="10"/>
      <c r="U61" s="10"/>
      <c r="V61" s="10"/>
      <c r="W61" s="10"/>
      <c r="X61" s="10"/>
      <c r="Y61" s="10"/>
      <c r="Z61" s="10"/>
      <c r="AA61" s="10"/>
    </row>
    <row r="62">
      <c r="A62" s="11" t="s">
        <v>109</v>
      </c>
      <c r="B62" s="12" t="s">
        <v>110</v>
      </c>
      <c r="C62" s="17" t="s">
        <v>17</v>
      </c>
      <c r="D62" s="18">
        <v>1.0</v>
      </c>
      <c r="E62" s="14">
        <v>45429.0</v>
      </c>
      <c r="F62" s="11">
        <v>7500.0</v>
      </c>
      <c r="G62" s="11">
        <f t="shared" si="1"/>
        <v>45</v>
      </c>
      <c r="H62" s="11" t="str">
        <f>VLOOKUP(A62,'Overall Analysis'!$A$2:$I$43,9,FALSE)</f>
        <v>Others</v>
      </c>
      <c r="I62" s="10"/>
      <c r="J62" s="10"/>
      <c r="K62" s="10"/>
      <c r="L62" s="10"/>
      <c r="M62" s="10"/>
      <c r="N62" s="10"/>
      <c r="O62" s="10"/>
      <c r="P62" s="10"/>
      <c r="Q62" s="10"/>
      <c r="R62" s="10"/>
      <c r="S62" s="10"/>
      <c r="T62" s="10"/>
      <c r="U62" s="10"/>
      <c r="V62" s="10"/>
      <c r="W62" s="10"/>
      <c r="X62" s="10"/>
      <c r="Y62" s="10"/>
      <c r="Z62" s="10"/>
      <c r="AA62" s="10"/>
    </row>
    <row r="63">
      <c r="A63" s="11" t="s">
        <v>33</v>
      </c>
      <c r="B63" s="12" t="s">
        <v>111</v>
      </c>
      <c r="C63" s="17" t="s">
        <v>27</v>
      </c>
      <c r="D63" s="18">
        <v>3.0</v>
      </c>
      <c r="E63" s="14">
        <v>45429.0</v>
      </c>
      <c r="F63" s="11">
        <v>15000.0</v>
      </c>
      <c r="G63" s="11">
        <f t="shared" si="1"/>
        <v>45</v>
      </c>
      <c r="H63" s="11" t="str">
        <f>VLOOKUP(A63,'Overall Analysis'!$A$2:$I$43,9,FALSE)</f>
        <v>Others</v>
      </c>
      <c r="I63" s="10"/>
      <c r="J63" s="10"/>
      <c r="K63" s="10"/>
      <c r="L63" s="10"/>
      <c r="M63" s="10"/>
      <c r="N63" s="10"/>
      <c r="O63" s="10"/>
      <c r="P63" s="10"/>
      <c r="Q63" s="10"/>
      <c r="R63" s="10"/>
      <c r="S63" s="10"/>
      <c r="T63" s="10"/>
      <c r="U63" s="10"/>
      <c r="V63" s="10"/>
      <c r="W63" s="10"/>
      <c r="X63" s="10"/>
      <c r="Y63" s="10"/>
      <c r="Z63" s="10"/>
      <c r="AA63" s="10"/>
    </row>
    <row r="64">
      <c r="A64" s="11" t="s">
        <v>112</v>
      </c>
      <c r="B64" s="12" t="s">
        <v>113</v>
      </c>
      <c r="C64" s="17" t="s">
        <v>17</v>
      </c>
      <c r="D64" s="18">
        <v>2.0</v>
      </c>
      <c r="E64" s="14">
        <v>45429.0</v>
      </c>
      <c r="F64" s="11">
        <v>15000.0</v>
      </c>
      <c r="G64" s="11">
        <f t="shared" si="1"/>
        <v>45</v>
      </c>
      <c r="H64" s="11" t="str">
        <f>VLOOKUP(A64,'Overall Analysis'!$A$2:$I$43,9,FALSE)</f>
        <v>Others</v>
      </c>
      <c r="I64" s="10"/>
      <c r="J64" s="10"/>
      <c r="K64" s="10"/>
      <c r="L64" s="10"/>
      <c r="M64" s="10"/>
      <c r="N64" s="10"/>
      <c r="O64" s="10"/>
      <c r="P64" s="10"/>
      <c r="Q64" s="10"/>
      <c r="R64" s="10"/>
      <c r="S64" s="10"/>
      <c r="T64" s="10"/>
      <c r="U64" s="10"/>
      <c r="V64" s="10"/>
      <c r="W64" s="10"/>
      <c r="X64" s="10"/>
      <c r="Y64" s="10"/>
      <c r="Z64" s="10"/>
      <c r="AA64" s="10"/>
    </row>
    <row r="65">
      <c r="A65" s="11" t="s">
        <v>21</v>
      </c>
      <c r="B65" s="12" t="s">
        <v>114</v>
      </c>
      <c r="C65" s="17" t="s">
        <v>27</v>
      </c>
      <c r="D65" s="18">
        <v>3.0</v>
      </c>
      <c r="E65" s="14">
        <v>45434.0</v>
      </c>
      <c r="F65" s="11">
        <v>15000.0</v>
      </c>
      <c r="G65" s="11">
        <f t="shared" si="1"/>
        <v>40</v>
      </c>
      <c r="H65" s="11" t="str">
        <f>VLOOKUP(A65,'Overall Analysis'!$A$2:$I$43,9,FALSE)</f>
        <v>VIP Guest</v>
      </c>
      <c r="I65" s="10"/>
      <c r="J65" s="10"/>
      <c r="K65" s="10"/>
      <c r="L65" s="10"/>
      <c r="M65" s="10"/>
      <c r="N65" s="10"/>
      <c r="O65" s="10"/>
      <c r="P65" s="10"/>
      <c r="Q65" s="10"/>
      <c r="R65" s="10"/>
      <c r="S65" s="10"/>
      <c r="T65" s="10"/>
      <c r="U65" s="10"/>
      <c r="V65" s="10"/>
      <c r="W65" s="10"/>
      <c r="X65" s="10"/>
      <c r="Y65" s="10"/>
      <c r="Z65" s="10"/>
      <c r="AA65" s="10"/>
    </row>
    <row r="66">
      <c r="A66" s="11" t="s">
        <v>39</v>
      </c>
      <c r="B66" s="12" t="s">
        <v>115</v>
      </c>
      <c r="C66" s="17" t="s">
        <v>17</v>
      </c>
      <c r="D66" s="18">
        <v>2.0</v>
      </c>
      <c r="E66" s="14">
        <v>45434.0</v>
      </c>
      <c r="F66" s="11">
        <v>15000.0</v>
      </c>
      <c r="G66" s="11">
        <f t="shared" si="1"/>
        <v>40</v>
      </c>
      <c r="H66" s="11" t="str">
        <f>VLOOKUP(A66,'Overall Analysis'!$A$2:$I$43,9,FALSE)</f>
        <v>VIP Guest</v>
      </c>
      <c r="I66" s="10"/>
      <c r="J66" s="10"/>
      <c r="K66" s="10"/>
      <c r="L66" s="10"/>
      <c r="M66" s="10"/>
      <c r="N66" s="10"/>
      <c r="O66" s="10"/>
      <c r="P66" s="10"/>
      <c r="Q66" s="10"/>
      <c r="R66" s="10"/>
      <c r="S66" s="10"/>
      <c r="T66" s="10"/>
      <c r="U66" s="10"/>
      <c r="V66" s="10"/>
      <c r="W66" s="10"/>
      <c r="X66" s="10"/>
      <c r="Y66" s="10"/>
      <c r="Z66" s="10"/>
      <c r="AA66" s="10"/>
    </row>
    <row r="67">
      <c r="A67" s="11" t="s">
        <v>109</v>
      </c>
      <c r="B67" s="12" t="s">
        <v>116</v>
      </c>
      <c r="C67" s="17" t="s">
        <v>17</v>
      </c>
      <c r="D67" s="18">
        <v>1.0</v>
      </c>
      <c r="E67" s="14">
        <v>45434.0</v>
      </c>
      <c r="F67" s="11">
        <v>7500.0</v>
      </c>
      <c r="G67" s="11">
        <f t="shared" si="1"/>
        <v>40</v>
      </c>
      <c r="H67" s="11" t="str">
        <f>VLOOKUP(A67,'Overall Analysis'!$A$2:$I$43,9,FALSE)</f>
        <v>Others</v>
      </c>
      <c r="I67" s="10"/>
      <c r="J67" s="10"/>
      <c r="K67" s="10"/>
      <c r="L67" s="10"/>
      <c r="M67" s="10"/>
      <c r="N67" s="10"/>
      <c r="O67" s="10"/>
      <c r="P67" s="10"/>
      <c r="Q67" s="10"/>
      <c r="R67" s="10"/>
      <c r="S67" s="10"/>
      <c r="T67" s="10"/>
      <c r="U67" s="10"/>
      <c r="V67" s="10"/>
      <c r="W67" s="10"/>
      <c r="X67" s="10"/>
      <c r="Y67" s="10"/>
      <c r="Z67" s="10"/>
      <c r="AA67" s="10"/>
    </row>
    <row r="68">
      <c r="A68" s="11" t="s">
        <v>21</v>
      </c>
      <c r="B68" s="12" t="s">
        <v>117</v>
      </c>
      <c r="C68" s="17" t="s">
        <v>30</v>
      </c>
      <c r="D68" s="18">
        <v>5.0</v>
      </c>
      <c r="E68" s="14">
        <v>45434.0</v>
      </c>
      <c r="F68" s="11">
        <v>12500.0</v>
      </c>
      <c r="G68" s="11">
        <f t="shared" si="1"/>
        <v>40</v>
      </c>
      <c r="H68" s="11" t="str">
        <f>VLOOKUP(A68,'Overall Analysis'!$A$2:$I$43,9,FALSE)</f>
        <v>VIP Guest</v>
      </c>
      <c r="I68" s="10"/>
      <c r="J68" s="10"/>
      <c r="K68" s="10"/>
      <c r="L68" s="10"/>
      <c r="M68" s="10"/>
      <c r="N68" s="10"/>
      <c r="O68" s="10"/>
      <c r="P68" s="10"/>
      <c r="Q68" s="10"/>
      <c r="R68" s="10"/>
      <c r="S68" s="10"/>
      <c r="T68" s="10"/>
      <c r="U68" s="10"/>
      <c r="V68" s="10"/>
      <c r="W68" s="10"/>
      <c r="X68" s="10"/>
      <c r="Y68" s="10"/>
      <c r="Z68" s="10"/>
      <c r="AA68" s="10"/>
    </row>
    <row r="69">
      <c r="A69" s="20" t="s">
        <v>118</v>
      </c>
      <c r="B69" s="12" t="s">
        <v>119</v>
      </c>
      <c r="C69" s="17" t="s">
        <v>17</v>
      </c>
      <c r="D69" s="18">
        <v>2.0</v>
      </c>
      <c r="E69" s="14">
        <v>45435.0</v>
      </c>
      <c r="F69" s="11">
        <v>15000.0</v>
      </c>
      <c r="G69" s="11">
        <f t="shared" si="1"/>
        <v>39</v>
      </c>
      <c r="H69" s="11" t="str">
        <f>VLOOKUP(A69,'Overall Analysis'!$A$2:$I$43,9,FALSE)</f>
        <v>Others</v>
      </c>
      <c r="I69" s="10"/>
      <c r="J69" s="10"/>
      <c r="K69" s="10"/>
      <c r="L69" s="10"/>
      <c r="M69" s="10"/>
      <c r="N69" s="10"/>
      <c r="O69" s="10"/>
      <c r="P69" s="10"/>
      <c r="Q69" s="10"/>
      <c r="R69" s="10"/>
      <c r="S69" s="10"/>
      <c r="T69" s="10"/>
      <c r="U69" s="10"/>
      <c r="V69" s="10"/>
      <c r="W69" s="10"/>
      <c r="X69" s="10"/>
      <c r="Y69" s="10"/>
      <c r="Z69" s="10"/>
      <c r="AA69" s="10"/>
    </row>
    <row r="70">
      <c r="A70" s="20" t="s">
        <v>42</v>
      </c>
      <c r="B70" s="12" t="s">
        <v>120</v>
      </c>
      <c r="C70" s="17" t="s">
        <v>27</v>
      </c>
      <c r="D70" s="18">
        <v>3.0</v>
      </c>
      <c r="E70" s="14">
        <v>45436.0</v>
      </c>
      <c r="F70" s="11">
        <v>15000.0</v>
      </c>
      <c r="G70" s="11">
        <f t="shared" si="1"/>
        <v>38</v>
      </c>
      <c r="H70" s="11" t="str">
        <f>VLOOKUP(A70,'Overall Analysis'!$A$2:$I$43,9,FALSE)</f>
        <v>Others</v>
      </c>
      <c r="I70" s="10"/>
      <c r="J70" s="10"/>
      <c r="K70" s="10"/>
      <c r="L70" s="10"/>
      <c r="M70" s="10"/>
      <c r="N70" s="10"/>
      <c r="O70" s="10"/>
      <c r="P70" s="10"/>
      <c r="Q70" s="10"/>
      <c r="R70" s="10"/>
      <c r="S70" s="10"/>
      <c r="T70" s="10"/>
      <c r="U70" s="10"/>
      <c r="V70" s="10"/>
      <c r="W70" s="10"/>
      <c r="X70" s="10"/>
      <c r="Y70" s="10"/>
      <c r="Z70" s="10"/>
      <c r="AA70" s="10"/>
    </row>
    <row r="71">
      <c r="A71" s="20" t="s">
        <v>90</v>
      </c>
      <c r="B71" s="12" t="s">
        <v>121</v>
      </c>
      <c r="C71" s="17" t="s">
        <v>30</v>
      </c>
      <c r="D71" s="18">
        <v>5.0</v>
      </c>
      <c r="E71" s="14">
        <v>45437.0</v>
      </c>
      <c r="F71" s="11">
        <v>12500.0</v>
      </c>
      <c r="G71" s="11">
        <f t="shared" si="1"/>
        <v>37</v>
      </c>
      <c r="H71" s="11" t="str">
        <f>VLOOKUP(A71,'Overall Analysis'!$A$2:$I$43,9,FALSE)</f>
        <v>Others</v>
      </c>
      <c r="I71" s="10"/>
      <c r="J71" s="10"/>
      <c r="K71" s="10"/>
      <c r="L71" s="10"/>
      <c r="M71" s="10"/>
      <c r="N71" s="10"/>
      <c r="O71" s="10"/>
      <c r="P71" s="10"/>
      <c r="Q71" s="10"/>
      <c r="R71" s="10"/>
      <c r="S71" s="10"/>
      <c r="T71" s="10"/>
      <c r="U71" s="10"/>
      <c r="V71" s="10"/>
      <c r="W71" s="10"/>
      <c r="X71" s="10"/>
      <c r="Y71" s="10"/>
      <c r="Z71" s="10"/>
      <c r="AA71" s="10"/>
    </row>
    <row r="72">
      <c r="A72" s="20" t="s">
        <v>122</v>
      </c>
      <c r="B72" s="12" t="s">
        <v>123</v>
      </c>
      <c r="C72" s="17" t="s">
        <v>30</v>
      </c>
      <c r="D72" s="18">
        <v>5.0</v>
      </c>
      <c r="E72" s="14">
        <v>45437.0</v>
      </c>
      <c r="F72" s="11">
        <v>12500.0</v>
      </c>
      <c r="G72" s="11">
        <f t="shared" si="1"/>
        <v>37</v>
      </c>
      <c r="H72" s="11" t="str">
        <f>VLOOKUP(A72,'Overall Analysis'!$A$2:$I$43,9,FALSE)</f>
        <v>Others</v>
      </c>
      <c r="I72" s="10"/>
      <c r="J72" s="10"/>
      <c r="K72" s="10"/>
      <c r="L72" s="10"/>
      <c r="M72" s="10"/>
      <c r="N72" s="10"/>
      <c r="O72" s="10"/>
      <c r="P72" s="10"/>
      <c r="Q72" s="10"/>
      <c r="R72" s="10"/>
      <c r="S72" s="10"/>
      <c r="T72" s="10"/>
      <c r="U72" s="10"/>
      <c r="V72" s="10"/>
      <c r="W72" s="10"/>
      <c r="X72" s="10"/>
      <c r="Y72" s="10"/>
      <c r="Z72" s="10"/>
      <c r="AA72" s="10"/>
    </row>
    <row r="73">
      <c r="A73" s="20" t="s">
        <v>39</v>
      </c>
      <c r="B73" s="12" t="s">
        <v>124</v>
      </c>
      <c r="C73" s="17" t="s">
        <v>30</v>
      </c>
      <c r="D73" s="18">
        <v>5.0</v>
      </c>
      <c r="E73" s="14">
        <v>45438.0</v>
      </c>
      <c r="F73" s="11">
        <v>12500.0</v>
      </c>
      <c r="G73" s="11">
        <f t="shared" si="1"/>
        <v>36</v>
      </c>
      <c r="H73" s="11" t="str">
        <f>VLOOKUP(A73,'Overall Analysis'!$A$2:$I$43,9,FALSE)</f>
        <v>VIP Guest</v>
      </c>
      <c r="I73" s="10"/>
      <c r="J73" s="10"/>
      <c r="K73" s="10"/>
      <c r="L73" s="10"/>
      <c r="M73" s="10"/>
      <c r="N73" s="10"/>
      <c r="O73" s="10"/>
      <c r="P73" s="10"/>
      <c r="Q73" s="10"/>
      <c r="R73" s="10"/>
      <c r="S73" s="10"/>
      <c r="T73" s="10"/>
      <c r="U73" s="10"/>
      <c r="V73" s="10"/>
      <c r="W73" s="10"/>
      <c r="X73" s="10"/>
      <c r="Y73" s="10"/>
      <c r="Z73" s="10"/>
      <c r="AA73" s="10"/>
    </row>
    <row r="74">
      <c r="A74" s="11" t="s">
        <v>28</v>
      </c>
      <c r="B74" s="12" t="s">
        <v>125</v>
      </c>
      <c r="C74" s="17" t="s">
        <v>27</v>
      </c>
      <c r="D74" s="18">
        <v>3.0</v>
      </c>
      <c r="E74" s="14">
        <v>45444.0</v>
      </c>
      <c r="F74" s="11">
        <v>15000.0</v>
      </c>
      <c r="G74" s="11">
        <f t="shared" si="1"/>
        <v>30</v>
      </c>
      <c r="H74" s="11" t="str">
        <f>VLOOKUP(A74,'Overall Analysis'!$A$2:$I$43,9,FALSE)</f>
        <v>Others</v>
      </c>
      <c r="I74" s="10"/>
      <c r="J74" s="10"/>
      <c r="K74" s="10"/>
      <c r="L74" s="10"/>
      <c r="M74" s="10"/>
      <c r="N74" s="10"/>
      <c r="O74" s="10"/>
      <c r="P74" s="10"/>
      <c r="Q74" s="10"/>
      <c r="R74" s="10"/>
      <c r="S74" s="10"/>
      <c r="T74" s="10"/>
      <c r="U74" s="10"/>
      <c r="V74" s="10"/>
      <c r="W74" s="10"/>
      <c r="X74" s="10"/>
      <c r="Y74" s="10"/>
      <c r="Z74" s="10"/>
      <c r="AA74" s="10"/>
    </row>
    <row r="75">
      <c r="A75" s="11" t="s">
        <v>126</v>
      </c>
      <c r="B75" s="12" t="s">
        <v>127</v>
      </c>
      <c r="C75" s="17" t="s">
        <v>17</v>
      </c>
      <c r="D75" s="18">
        <v>1.0</v>
      </c>
      <c r="E75" s="14">
        <v>45445.0</v>
      </c>
      <c r="F75" s="11">
        <v>7500.0</v>
      </c>
      <c r="G75" s="11">
        <f t="shared" si="1"/>
        <v>29</v>
      </c>
      <c r="H75" s="11" t="str">
        <f>VLOOKUP(A75,'Overall Analysis'!$A$2:$I$43,9,FALSE)</f>
        <v>Others</v>
      </c>
      <c r="I75" s="10"/>
      <c r="J75" s="10"/>
      <c r="K75" s="10"/>
      <c r="L75" s="10"/>
      <c r="M75" s="10"/>
      <c r="N75" s="10"/>
      <c r="O75" s="10"/>
      <c r="P75" s="10"/>
      <c r="Q75" s="10"/>
      <c r="R75" s="10"/>
      <c r="S75" s="10"/>
      <c r="T75" s="10"/>
      <c r="U75" s="10"/>
      <c r="V75" s="10"/>
      <c r="W75" s="10"/>
      <c r="X75" s="10"/>
      <c r="Y75" s="10"/>
      <c r="Z75" s="10"/>
      <c r="AA75" s="10"/>
    </row>
    <row r="76">
      <c r="A76" s="20" t="s">
        <v>47</v>
      </c>
      <c r="B76" s="12" t="s">
        <v>128</v>
      </c>
      <c r="C76" s="17" t="s">
        <v>17</v>
      </c>
      <c r="D76" s="18">
        <v>2.0</v>
      </c>
      <c r="E76" s="14">
        <v>45449.0</v>
      </c>
      <c r="F76" s="11">
        <v>15000.0</v>
      </c>
      <c r="G76" s="11">
        <f t="shared" si="1"/>
        <v>25</v>
      </c>
      <c r="H76" s="11" t="str">
        <f>VLOOKUP(A76,'Overall Analysis'!$A$2:$I$43,9,FALSE)</f>
        <v>Others</v>
      </c>
      <c r="I76" s="10"/>
      <c r="J76" s="10"/>
      <c r="K76" s="10"/>
      <c r="L76" s="10"/>
      <c r="M76" s="10"/>
      <c r="N76" s="10"/>
      <c r="O76" s="10"/>
      <c r="P76" s="10"/>
      <c r="Q76" s="10"/>
      <c r="R76" s="10"/>
      <c r="S76" s="10"/>
      <c r="T76" s="10"/>
      <c r="U76" s="10"/>
      <c r="V76" s="10"/>
      <c r="W76" s="10"/>
      <c r="X76" s="10"/>
      <c r="Y76" s="10"/>
      <c r="Z76" s="10"/>
      <c r="AA76" s="10"/>
    </row>
    <row r="77">
      <c r="A77" s="20" t="s">
        <v>35</v>
      </c>
      <c r="B77" s="12" t="s">
        <v>129</v>
      </c>
      <c r="C77" s="17" t="s">
        <v>30</v>
      </c>
      <c r="D77" s="18">
        <v>5.0</v>
      </c>
      <c r="E77" s="14">
        <v>45450.0</v>
      </c>
      <c r="F77" s="11">
        <v>12500.0</v>
      </c>
      <c r="G77" s="11">
        <f t="shared" si="1"/>
        <v>24</v>
      </c>
      <c r="H77" s="11" t="str">
        <f>VLOOKUP(A77,'Overall Analysis'!$A$2:$I$43,9,FALSE)</f>
        <v>VIP Guest</v>
      </c>
      <c r="I77" s="10"/>
      <c r="J77" s="10"/>
      <c r="K77" s="10"/>
      <c r="L77" s="10"/>
      <c r="M77" s="10"/>
      <c r="N77" s="10"/>
      <c r="O77" s="10"/>
      <c r="P77" s="10"/>
      <c r="Q77" s="10"/>
      <c r="R77" s="10"/>
      <c r="S77" s="10"/>
      <c r="T77" s="10"/>
      <c r="U77" s="10"/>
      <c r="V77" s="10"/>
      <c r="W77" s="10"/>
      <c r="X77" s="10"/>
      <c r="Y77" s="10"/>
      <c r="Z77" s="10"/>
      <c r="AA77" s="10"/>
    </row>
    <row r="78">
      <c r="A78" s="20" t="s">
        <v>31</v>
      </c>
      <c r="B78" s="12" t="s">
        <v>130</v>
      </c>
      <c r="C78" s="17" t="s">
        <v>17</v>
      </c>
      <c r="D78" s="18">
        <v>2.0</v>
      </c>
      <c r="E78" s="14">
        <v>45450.0</v>
      </c>
      <c r="F78" s="11">
        <v>15000.0</v>
      </c>
      <c r="G78" s="11">
        <f t="shared" si="1"/>
        <v>24</v>
      </c>
      <c r="H78" s="11" t="str">
        <f>VLOOKUP(A78,'Overall Analysis'!$A$2:$I$43,9,FALSE)</f>
        <v>VIP Guest</v>
      </c>
      <c r="I78" s="10"/>
      <c r="J78" s="10"/>
      <c r="K78" s="10"/>
      <c r="L78" s="10"/>
      <c r="M78" s="10"/>
      <c r="N78" s="10"/>
      <c r="O78" s="10"/>
      <c r="P78" s="10"/>
      <c r="Q78" s="10"/>
      <c r="R78" s="10"/>
      <c r="S78" s="10"/>
      <c r="T78" s="10"/>
      <c r="U78" s="10"/>
      <c r="V78" s="10"/>
      <c r="W78" s="10"/>
      <c r="X78" s="10"/>
      <c r="Y78" s="10"/>
      <c r="Z78" s="10"/>
      <c r="AA78" s="10"/>
    </row>
    <row r="79">
      <c r="A79" s="20" t="s">
        <v>21</v>
      </c>
      <c r="B79" s="12" t="s">
        <v>131</v>
      </c>
      <c r="C79" s="17" t="s">
        <v>27</v>
      </c>
      <c r="D79" s="18">
        <v>3.0</v>
      </c>
      <c r="E79" s="14">
        <v>45450.0</v>
      </c>
      <c r="F79" s="11">
        <v>15000.0</v>
      </c>
      <c r="G79" s="11">
        <f t="shared" si="1"/>
        <v>24</v>
      </c>
      <c r="H79" s="11" t="str">
        <f>VLOOKUP(A79,'Overall Analysis'!$A$2:$I$43,9,FALSE)</f>
        <v>VIP Guest</v>
      </c>
      <c r="I79" s="10"/>
      <c r="J79" s="10"/>
      <c r="K79" s="10"/>
      <c r="L79" s="10"/>
      <c r="M79" s="10"/>
      <c r="N79" s="10"/>
      <c r="O79" s="10"/>
      <c r="P79" s="10"/>
      <c r="Q79" s="10"/>
      <c r="R79" s="10"/>
      <c r="S79" s="10"/>
      <c r="T79" s="10"/>
      <c r="U79" s="10"/>
      <c r="V79" s="10"/>
      <c r="W79" s="10"/>
      <c r="X79" s="10"/>
      <c r="Y79" s="10"/>
      <c r="Z79" s="10"/>
      <c r="AA79" s="10"/>
    </row>
    <row r="80">
      <c r="A80" s="20" t="s">
        <v>51</v>
      </c>
      <c r="B80" s="12" t="s">
        <v>132</v>
      </c>
      <c r="C80" s="17" t="s">
        <v>30</v>
      </c>
      <c r="D80" s="18">
        <v>5.0</v>
      </c>
      <c r="E80" s="14">
        <v>45453.0</v>
      </c>
      <c r="F80" s="11">
        <v>12500.0</v>
      </c>
      <c r="G80" s="11">
        <f t="shared" si="1"/>
        <v>21</v>
      </c>
      <c r="H80" s="11" t="str">
        <f>VLOOKUP(A80,'Overall Analysis'!$A$2:$I$43,9,FALSE)</f>
        <v>VIP Guest</v>
      </c>
      <c r="I80" s="10"/>
      <c r="J80" s="10"/>
      <c r="K80" s="10"/>
      <c r="L80" s="10"/>
      <c r="M80" s="10"/>
      <c r="N80" s="10"/>
      <c r="O80" s="10"/>
      <c r="P80" s="10"/>
      <c r="Q80" s="10"/>
      <c r="R80" s="10"/>
      <c r="S80" s="10"/>
      <c r="T80" s="10"/>
      <c r="U80" s="10"/>
      <c r="V80" s="10"/>
      <c r="W80" s="10"/>
      <c r="X80" s="10"/>
      <c r="Y80" s="10"/>
      <c r="Z80" s="10"/>
      <c r="AA80" s="10"/>
    </row>
    <row r="81">
      <c r="A81" s="20" t="s">
        <v>28</v>
      </c>
      <c r="B81" s="12" t="s">
        <v>133</v>
      </c>
      <c r="C81" s="17" t="s">
        <v>30</v>
      </c>
      <c r="D81" s="18">
        <v>7.0</v>
      </c>
      <c r="E81" s="14">
        <v>45453.0</v>
      </c>
      <c r="F81" s="11">
        <v>17500.0</v>
      </c>
      <c r="G81" s="11">
        <f t="shared" si="1"/>
        <v>21</v>
      </c>
      <c r="H81" s="11" t="str">
        <f>VLOOKUP(A81,'Overall Analysis'!$A$2:$I$43,9,FALSE)</f>
        <v>Others</v>
      </c>
      <c r="I81" s="10"/>
      <c r="J81" s="10"/>
      <c r="K81" s="10"/>
      <c r="L81" s="10"/>
      <c r="M81" s="10"/>
      <c r="N81" s="10"/>
      <c r="O81" s="10"/>
      <c r="P81" s="10"/>
      <c r="Q81" s="10"/>
      <c r="R81" s="10"/>
      <c r="S81" s="10"/>
      <c r="T81" s="10"/>
      <c r="U81" s="10"/>
      <c r="V81" s="10"/>
      <c r="W81" s="10"/>
      <c r="X81" s="10"/>
      <c r="Y81" s="10"/>
      <c r="Z81" s="10"/>
      <c r="AA81" s="10"/>
    </row>
    <row r="82">
      <c r="A82" s="20" t="s">
        <v>42</v>
      </c>
      <c r="B82" s="12" t="s">
        <v>134</v>
      </c>
      <c r="C82" s="17" t="s">
        <v>17</v>
      </c>
      <c r="D82" s="18">
        <v>2.0</v>
      </c>
      <c r="E82" s="14">
        <v>45454.0</v>
      </c>
      <c r="F82" s="11">
        <v>15000.0</v>
      </c>
      <c r="G82" s="11">
        <f t="shared" si="1"/>
        <v>20</v>
      </c>
      <c r="H82" s="11" t="str">
        <f>VLOOKUP(A82,'Overall Analysis'!$A$2:$I$43,9,FALSE)</f>
        <v>Others</v>
      </c>
      <c r="I82" s="10"/>
      <c r="J82" s="10"/>
      <c r="K82" s="10"/>
      <c r="L82" s="10"/>
      <c r="M82" s="10"/>
      <c r="N82" s="10"/>
      <c r="O82" s="10"/>
      <c r="P82" s="10"/>
      <c r="Q82" s="10"/>
      <c r="R82" s="10"/>
      <c r="S82" s="10"/>
      <c r="T82" s="10"/>
      <c r="U82" s="10"/>
      <c r="V82" s="10"/>
      <c r="W82" s="10"/>
      <c r="X82" s="10"/>
      <c r="Y82" s="10"/>
      <c r="Z82" s="10"/>
      <c r="AA82" s="10"/>
    </row>
    <row r="83">
      <c r="A83" s="20" t="s">
        <v>135</v>
      </c>
      <c r="B83" s="12" t="s">
        <v>136</v>
      </c>
      <c r="C83" s="17" t="s">
        <v>30</v>
      </c>
      <c r="D83" s="18">
        <v>5.0</v>
      </c>
      <c r="E83" s="21">
        <v>45455.0</v>
      </c>
      <c r="F83" s="11">
        <v>12500.0</v>
      </c>
      <c r="G83" s="11">
        <f t="shared" si="1"/>
        <v>19</v>
      </c>
      <c r="H83" s="11" t="str">
        <f>VLOOKUP(A83,'Overall Analysis'!$A$2:$I$43,9,FALSE)</f>
        <v>Others</v>
      </c>
      <c r="I83" s="10"/>
      <c r="J83" s="10"/>
      <c r="K83" s="10"/>
      <c r="L83" s="10"/>
      <c r="M83" s="10"/>
      <c r="N83" s="10"/>
      <c r="O83" s="10"/>
      <c r="P83" s="10"/>
      <c r="Q83" s="10"/>
      <c r="R83" s="10"/>
      <c r="S83" s="10"/>
      <c r="T83" s="10"/>
      <c r="U83" s="10"/>
      <c r="V83" s="10"/>
      <c r="W83" s="10"/>
      <c r="X83" s="10"/>
      <c r="Y83" s="10"/>
      <c r="Z83" s="10"/>
      <c r="AA83" s="10"/>
    </row>
    <row r="84">
      <c r="A84" s="20" t="s">
        <v>137</v>
      </c>
      <c r="B84" s="12" t="s">
        <v>138</v>
      </c>
      <c r="C84" s="17" t="s">
        <v>17</v>
      </c>
      <c r="D84" s="18">
        <v>2.0</v>
      </c>
      <c r="E84" s="21">
        <v>45455.0</v>
      </c>
      <c r="F84" s="11">
        <v>15000.0</v>
      </c>
      <c r="G84" s="11">
        <f t="shared" si="1"/>
        <v>19</v>
      </c>
      <c r="H84" s="11" t="str">
        <f>VLOOKUP(A84,'Overall Analysis'!$A$2:$I$43,9,FALSE)</f>
        <v>Others</v>
      </c>
      <c r="I84" s="10"/>
      <c r="J84" s="10"/>
      <c r="K84" s="10"/>
      <c r="L84" s="10"/>
      <c r="M84" s="10"/>
      <c r="N84" s="10"/>
      <c r="O84" s="10"/>
      <c r="P84" s="10"/>
      <c r="Q84" s="10"/>
      <c r="R84" s="10"/>
      <c r="S84" s="10"/>
      <c r="T84" s="10"/>
      <c r="U84" s="10"/>
      <c r="V84" s="10"/>
      <c r="W84" s="10"/>
      <c r="X84" s="10"/>
      <c r="Y84" s="10"/>
      <c r="Z84" s="10"/>
      <c r="AA84" s="10"/>
    </row>
    <row r="85">
      <c r="A85" s="20" t="s">
        <v>45</v>
      </c>
      <c r="B85" s="12" t="s">
        <v>139</v>
      </c>
      <c r="C85" s="17" t="s">
        <v>30</v>
      </c>
      <c r="D85" s="18">
        <v>7.0</v>
      </c>
      <c r="E85" s="21">
        <v>45455.0</v>
      </c>
      <c r="F85" s="11">
        <v>17500.0</v>
      </c>
      <c r="G85" s="11">
        <f t="shared" si="1"/>
        <v>19</v>
      </c>
      <c r="H85" s="11" t="str">
        <f>VLOOKUP(A85,'Overall Analysis'!$A$2:$I$43,9,FALSE)</f>
        <v>VIP Guest</v>
      </c>
      <c r="I85" s="10"/>
      <c r="J85" s="10"/>
      <c r="K85" s="10"/>
      <c r="L85" s="10"/>
      <c r="M85" s="10"/>
      <c r="N85" s="10"/>
      <c r="O85" s="10"/>
      <c r="P85" s="10"/>
      <c r="Q85" s="10"/>
      <c r="R85" s="10"/>
      <c r="S85" s="10"/>
      <c r="T85" s="10"/>
      <c r="U85" s="10"/>
      <c r="V85" s="10"/>
      <c r="W85" s="10"/>
      <c r="X85" s="10"/>
      <c r="Y85" s="10"/>
      <c r="Z85" s="10"/>
      <c r="AA85" s="10"/>
    </row>
    <row r="86">
      <c r="A86" s="20" t="s">
        <v>51</v>
      </c>
      <c r="B86" s="12" t="s">
        <v>140</v>
      </c>
      <c r="C86" s="17" t="s">
        <v>27</v>
      </c>
      <c r="D86" s="18">
        <v>4.0</v>
      </c>
      <c r="E86" s="21">
        <v>45456.0</v>
      </c>
      <c r="F86" s="11">
        <v>20000.0</v>
      </c>
      <c r="G86" s="11">
        <f t="shared" si="1"/>
        <v>18</v>
      </c>
      <c r="H86" s="11" t="str">
        <f>VLOOKUP(A86,'Overall Analysis'!$A$2:$I$43,9,FALSE)</f>
        <v>VIP Guest</v>
      </c>
      <c r="I86" s="10"/>
      <c r="J86" s="10"/>
      <c r="K86" s="10"/>
      <c r="L86" s="10"/>
      <c r="M86" s="10"/>
      <c r="N86" s="10"/>
      <c r="O86" s="10"/>
      <c r="P86" s="10"/>
      <c r="Q86" s="10"/>
      <c r="R86" s="10"/>
      <c r="S86" s="10"/>
      <c r="T86" s="10"/>
      <c r="U86" s="10"/>
      <c r="V86" s="10"/>
      <c r="W86" s="10"/>
      <c r="X86" s="10"/>
      <c r="Y86" s="10"/>
      <c r="Z86" s="10"/>
      <c r="AA86" s="10"/>
    </row>
    <row r="87">
      <c r="A87" s="20" t="s">
        <v>141</v>
      </c>
      <c r="B87" s="12" t="s">
        <v>142</v>
      </c>
      <c r="C87" s="17" t="s">
        <v>17</v>
      </c>
      <c r="D87" s="18">
        <v>1.0</v>
      </c>
      <c r="E87" s="21">
        <v>45456.0</v>
      </c>
      <c r="F87" s="11">
        <v>7500.0</v>
      </c>
      <c r="G87" s="11">
        <f t="shared" si="1"/>
        <v>18</v>
      </c>
      <c r="H87" s="11" t="str">
        <f>VLOOKUP(A87,'Overall Analysis'!$A$2:$I$43,9,FALSE)</f>
        <v>Others</v>
      </c>
      <c r="I87" s="10"/>
      <c r="J87" s="10"/>
      <c r="K87" s="10"/>
      <c r="L87" s="10"/>
      <c r="M87" s="10"/>
      <c r="N87" s="10"/>
      <c r="O87" s="10"/>
      <c r="P87" s="10"/>
      <c r="Q87" s="10"/>
      <c r="R87" s="10"/>
      <c r="S87" s="10"/>
      <c r="T87" s="10"/>
      <c r="U87" s="10"/>
      <c r="V87" s="10"/>
      <c r="W87" s="10"/>
      <c r="X87" s="10"/>
      <c r="Y87" s="10"/>
      <c r="Z87" s="10"/>
      <c r="AA87" s="10"/>
    </row>
    <row r="88">
      <c r="A88" s="20" t="s">
        <v>69</v>
      </c>
      <c r="B88" s="12" t="s">
        <v>143</v>
      </c>
      <c r="C88" s="17" t="s">
        <v>30</v>
      </c>
      <c r="D88" s="18">
        <v>5.0</v>
      </c>
      <c r="E88" s="21">
        <v>45457.0</v>
      </c>
      <c r="F88" s="11">
        <v>12500.0</v>
      </c>
      <c r="G88" s="11">
        <f t="shared" si="1"/>
        <v>17</v>
      </c>
      <c r="H88" s="11" t="str">
        <f>VLOOKUP(A88,'Overall Analysis'!$A$2:$I$43,9,FALSE)</f>
        <v>Others</v>
      </c>
      <c r="I88" s="10"/>
      <c r="J88" s="10"/>
      <c r="K88" s="10"/>
      <c r="L88" s="10"/>
      <c r="M88" s="10"/>
      <c r="N88" s="10"/>
      <c r="O88" s="10"/>
      <c r="P88" s="10"/>
      <c r="Q88" s="10"/>
      <c r="R88" s="10"/>
      <c r="S88" s="10"/>
      <c r="T88" s="10"/>
      <c r="U88" s="10"/>
      <c r="V88" s="10"/>
      <c r="W88" s="10"/>
      <c r="X88" s="10"/>
      <c r="Y88" s="10"/>
      <c r="Z88" s="10"/>
      <c r="AA88" s="10"/>
    </row>
    <row r="89">
      <c r="A89" s="20" t="s">
        <v>107</v>
      </c>
      <c r="B89" s="12" t="s">
        <v>144</v>
      </c>
      <c r="C89" s="17" t="s">
        <v>17</v>
      </c>
      <c r="D89" s="18">
        <v>2.0</v>
      </c>
      <c r="E89" s="21">
        <v>45457.0</v>
      </c>
      <c r="F89" s="11">
        <v>15000.0</v>
      </c>
      <c r="G89" s="11">
        <f t="shared" si="1"/>
        <v>17</v>
      </c>
      <c r="H89" s="11" t="str">
        <f>VLOOKUP(A89,'Overall Analysis'!$A$2:$I$43,9,FALSE)</f>
        <v>Others</v>
      </c>
      <c r="I89" s="10"/>
      <c r="J89" s="10"/>
      <c r="K89" s="10"/>
      <c r="L89" s="10"/>
      <c r="M89" s="10"/>
      <c r="N89" s="10"/>
      <c r="O89" s="10"/>
      <c r="P89" s="10"/>
      <c r="Q89" s="10"/>
      <c r="R89" s="10"/>
      <c r="S89" s="10"/>
      <c r="T89" s="10"/>
      <c r="U89" s="10"/>
      <c r="V89" s="10"/>
      <c r="W89" s="10"/>
      <c r="X89" s="10"/>
      <c r="Y89" s="10"/>
      <c r="Z89" s="10"/>
      <c r="AA89" s="10"/>
    </row>
    <row r="90">
      <c r="A90" s="20" t="s">
        <v>135</v>
      </c>
      <c r="B90" s="12" t="s">
        <v>145</v>
      </c>
      <c r="C90" s="17" t="s">
        <v>17</v>
      </c>
      <c r="D90" s="18">
        <v>2.0</v>
      </c>
      <c r="E90" s="21">
        <v>45457.0</v>
      </c>
      <c r="F90" s="11">
        <v>15000.0</v>
      </c>
      <c r="G90" s="11">
        <f t="shared" si="1"/>
        <v>17</v>
      </c>
      <c r="H90" s="11" t="str">
        <f>VLOOKUP(A90,'Overall Analysis'!$A$2:$I$43,9,FALSE)</f>
        <v>Others</v>
      </c>
      <c r="I90" s="10"/>
      <c r="J90" s="10"/>
      <c r="K90" s="10"/>
      <c r="L90" s="10"/>
      <c r="M90" s="10"/>
      <c r="N90" s="10"/>
      <c r="O90" s="10"/>
      <c r="P90" s="10"/>
      <c r="Q90" s="10"/>
      <c r="R90" s="10"/>
      <c r="S90" s="10"/>
      <c r="T90" s="10"/>
      <c r="U90" s="10"/>
      <c r="V90" s="10"/>
      <c r="W90" s="10"/>
      <c r="X90" s="10"/>
      <c r="Y90" s="10"/>
      <c r="Z90" s="10"/>
      <c r="AA90" s="10"/>
    </row>
    <row r="91">
      <c r="A91" s="20" t="s">
        <v>107</v>
      </c>
      <c r="B91" s="12" t="s">
        <v>146</v>
      </c>
      <c r="C91" s="17" t="s">
        <v>17</v>
      </c>
      <c r="D91" s="18">
        <v>1.0</v>
      </c>
      <c r="E91" s="21">
        <v>45457.0</v>
      </c>
      <c r="F91" s="11">
        <v>7500.0</v>
      </c>
      <c r="G91" s="11">
        <f t="shared" si="1"/>
        <v>17</v>
      </c>
      <c r="H91" s="11" t="str">
        <f>VLOOKUP(A91,'Overall Analysis'!$A$2:$I$43,9,FALSE)</f>
        <v>Others</v>
      </c>
      <c r="I91" s="10"/>
      <c r="J91" s="10"/>
      <c r="K91" s="10"/>
      <c r="L91" s="10"/>
      <c r="M91" s="10"/>
      <c r="N91" s="10"/>
      <c r="O91" s="10"/>
      <c r="P91" s="10"/>
      <c r="Q91" s="10"/>
      <c r="R91" s="10"/>
      <c r="S91" s="10"/>
      <c r="T91" s="10"/>
      <c r="U91" s="10"/>
      <c r="V91" s="10"/>
      <c r="W91" s="10"/>
      <c r="X91" s="10"/>
      <c r="Y91" s="10"/>
      <c r="Z91" s="10"/>
      <c r="AA91" s="10"/>
    </row>
    <row r="92">
      <c r="A92" s="20" t="s">
        <v>45</v>
      </c>
      <c r="B92" s="12" t="s">
        <v>147</v>
      </c>
      <c r="C92" s="17" t="s">
        <v>30</v>
      </c>
      <c r="D92" s="18">
        <v>5.0</v>
      </c>
      <c r="E92" s="21">
        <v>45458.0</v>
      </c>
      <c r="F92" s="11">
        <v>12500.0</v>
      </c>
      <c r="G92" s="11">
        <f t="shared" si="1"/>
        <v>16</v>
      </c>
      <c r="H92" s="11" t="str">
        <f>VLOOKUP(A92,'Overall Analysis'!$A$2:$I$43,9,FALSE)</f>
        <v>VIP Guest</v>
      </c>
      <c r="I92" s="10"/>
      <c r="J92" s="10"/>
      <c r="K92" s="10"/>
      <c r="L92" s="10"/>
      <c r="M92" s="10"/>
      <c r="N92" s="10"/>
      <c r="O92" s="10"/>
      <c r="P92" s="10"/>
      <c r="Q92" s="10"/>
      <c r="R92" s="10"/>
      <c r="S92" s="10"/>
      <c r="T92" s="10"/>
      <c r="U92" s="10"/>
      <c r="V92" s="10"/>
      <c r="W92" s="10"/>
      <c r="X92" s="10"/>
      <c r="Y92" s="10"/>
      <c r="Z92" s="10"/>
      <c r="AA92" s="10"/>
    </row>
    <row r="93">
      <c r="A93" s="20" t="s">
        <v>45</v>
      </c>
      <c r="B93" s="12" t="s">
        <v>148</v>
      </c>
      <c r="C93" s="17" t="s">
        <v>17</v>
      </c>
      <c r="D93" s="18">
        <v>2.0</v>
      </c>
      <c r="E93" s="21">
        <v>45459.0</v>
      </c>
      <c r="F93" s="11">
        <v>15000.0</v>
      </c>
      <c r="G93" s="11">
        <f t="shared" si="1"/>
        <v>15</v>
      </c>
      <c r="H93" s="11" t="str">
        <f>VLOOKUP(A93,'Overall Analysis'!$A$2:$I$43,9,FALSE)</f>
        <v>VIP Guest</v>
      </c>
      <c r="I93" s="10"/>
      <c r="J93" s="10"/>
      <c r="K93" s="10"/>
      <c r="L93" s="10"/>
      <c r="M93" s="10"/>
      <c r="N93" s="10"/>
      <c r="O93" s="10"/>
      <c r="P93" s="10"/>
      <c r="Q93" s="10"/>
      <c r="R93" s="10"/>
      <c r="S93" s="10"/>
      <c r="T93" s="10"/>
      <c r="U93" s="10"/>
      <c r="V93" s="10"/>
      <c r="W93" s="10"/>
      <c r="X93" s="10"/>
      <c r="Y93" s="10"/>
      <c r="Z93" s="10"/>
      <c r="AA93" s="10"/>
    </row>
    <row r="94">
      <c r="A94" s="20" t="s">
        <v>21</v>
      </c>
      <c r="B94" s="12" t="s">
        <v>149</v>
      </c>
      <c r="C94" s="17" t="s">
        <v>17</v>
      </c>
      <c r="D94" s="18">
        <v>2.0</v>
      </c>
      <c r="E94" s="21">
        <v>45460.0</v>
      </c>
      <c r="F94" s="11">
        <v>15000.0</v>
      </c>
      <c r="G94" s="11">
        <f t="shared" si="1"/>
        <v>14</v>
      </c>
      <c r="H94" s="11" t="str">
        <f>VLOOKUP(A94,'Overall Analysis'!$A$2:$I$43,9,FALSE)</f>
        <v>VIP Guest</v>
      </c>
      <c r="I94" s="10"/>
      <c r="J94" s="10"/>
      <c r="K94" s="10"/>
      <c r="L94" s="10"/>
      <c r="M94" s="10"/>
      <c r="N94" s="10"/>
      <c r="O94" s="10"/>
      <c r="P94" s="10"/>
      <c r="Q94" s="10"/>
      <c r="R94" s="10"/>
      <c r="S94" s="10"/>
      <c r="T94" s="10"/>
      <c r="U94" s="10"/>
      <c r="V94" s="10"/>
      <c r="W94" s="10"/>
      <c r="X94" s="10"/>
      <c r="Y94" s="10"/>
      <c r="Z94" s="10"/>
      <c r="AA94" s="10"/>
    </row>
    <row r="95">
      <c r="A95" s="20" t="s">
        <v>150</v>
      </c>
      <c r="B95" s="12" t="s">
        <v>151</v>
      </c>
      <c r="C95" s="17" t="s">
        <v>30</v>
      </c>
      <c r="D95" s="18">
        <v>7.0</v>
      </c>
      <c r="E95" s="21">
        <v>45461.0</v>
      </c>
      <c r="F95" s="11">
        <v>17500.0</v>
      </c>
      <c r="G95" s="11">
        <f t="shared" si="1"/>
        <v>13</v>
      </c>
      <c r="H95" s="11" t="str">
        <f>VLOOKUP(A95,'Overall Analysis'!$A$2:$I$43,9,FALSE)</f>
        <v>Others</v>
      </c>
      <c r="I95" s="10"/>
      <c r="J95" s="10"/>
      <c r="K95" s="10"/>
      <c r="L95" s="10"/>
      <c r="M95" s="10"/>
      <c r="N95" s="10"/>
      <c r="O95" s="10"/>
      <c r="P95" s="10"/>
      <c r="Q95" s="10"/>
      <c r="R95" s="10"/>
      <c r="S95" s="10"/>
      <c r="T95" s="10"/>
      <c r="U95" s="10"/>
      <c r="V95" s="10"/>
      <c r="W95" s="10"/>
      <c r="X95" s="10"/>
      <c r="Y95" s="10"/>
      <c r="Z95" s="10"/>
      <c r="AA95" s="10"/>
    </row>
    <row r="96">
      <c r="A96" s="20" t="s">
        <v>18</v>
      </c>
      <c r="B96" s="12" t="s">
        <v>152</v>
      </c>
      <c r="C96" s="17" t="s">
        <v>27</v>
      </c>
      <c r="D96" s="18">
        <v>4.0</v>
      </c>
      <c r="E96" s="21">
        <v>45462.0</v>
      </c>
      <c r="F96" s="11">
        <v>20000.0</v>
      </c>
      <c r="G96" s="11">
        <f t="shared" si="1"/>
        <v>12</v>
      </c>
      <c r="H96" s="11" t="str">
        <f>VLOOKUP(A96,'Overall Analysis'!$A$2:$I$43,9,FALSE)</f>
        <v>Others</v>
      </c>
      <c r="I96" s="10"/>
      <c r="J96" s="10"/>
      <c r="K96" s="10"/>
      <c r="L96" s="10"/>
      <c r="M96" s="10"/>
      <c r="N96" s="10"/>
      <c r="O96" s="10"/>
      <c r="P96" s="10"/>
      <c r="Q96" s="10"/>
      <c r="R96" s="10"/>
      <c r="S96" s="10"/>
      <c r="T96" s="10"/>
      <c r="U96" s="10"/>
      <c r="V96" s="10"/>
      <c r="W96" s="10"/>
      <c r="X96" s="10"/>
      <c r="Y96" s="10"/>
      <c r="Z96" s="10"/>
      <c r="AA96" s="10"/>
    </row>
    <row r="97">
      <c r="A97" s="20" t="s">
        <v>33</v>
      </c>
      <c r="B97" s="12" t="s">
        <v>153</v>
      </c>
      <c r="C97" s="17" t="s">
        <v>30</v>
      </c>
      <c r="D97" s="18">
        <v>7.0</v>
      </c>
      <c r="E97" s="21">
        <v>45463.0</v>
      </c>
      <c r="F97" s="11">
        <v>17500.0</v>
      </c>
      <c r="G97" s="11">
        <f t="shared" si="1"/>
        <v>11</v>
      </c>
      <c r="H97" s="11" t="str">
        <f>VLOOKUP(A97,'Overall Analysis'!$A$2:$I$43,9,FALSE)</f>
        <v>Others</v>
      </c>
      <c r="I97" s="10"/>
      <c r="J97" s="10"/>
      <c r="K97" s="10"/>
      <c r="L97" s="10"/>
      <c r="M97" s="10"/>
      <c r="N97" s="10"/>
      <c r="O97" s="10"/>
      <c r="P97" s="10"/>
      <c r="Q97" s="10"/>
      <c r="R97" s="10"/>
      <c r="S97" s="10"/>
      <c r="T97" s="10"/>
      <c r="U97" s="10"/>
      <c r="V97" s="10"/>
      <c r="W97" s="10"/>
      <c r="X97" s="10"/>
      <c r="Y97" s="10"/>
      <c r="Z97" s="10"/>
      <c r="AA97" s="10"/>
    </row>
    <row r="98">
      <c r="A98" s="20" t="s">
        <v>154</v>
      </c>
      <c r="B98" s="12" t="s">
        <v>155</v>
      </c>
      <c r="C98" s="17" t="s">
        <v>17</v>
      </c>
      <c r="D98" s="18">
        <v>2.0</v>
      </c>
      <c r="E98" s="21">
        <v>45464.0</v>
      </c>
      <c r="F98" s="11">
        <v>15000.0</v>
      </c>
      <c r="G98" s="11">
        <f t="shared" si="1"/>
        <v>10</v>
      </c>
      <c r="H98" s="11" t="str">
        <f>VLOOKUP(A98,'Overall Analysis'!$A$2:$I$43,9,FALSE)</f>
        <v>Others</v>
      </c>
      <c r="I98" s="10"/>
      <c r="J98" s="10"/>
      <c r="K98" s="10"/>
      <c r="L98" s="10"/>
      <c r="M98" s="10"/>
      <c r="N98" s="10"/>
      <c r="O98" s="10"/>
      <c r="P98" s="10"/>
      <c r="Q98" s="10"/>
      <c r="R98" s="10"/>
      <c r="S98" s="10"/>
      <c r="T98" s="10"/>
      <c r="U98" s="10"/>
      <c r="V98" s="10"/>
      <c r="W98" s="10"/>
      <c r="X98" s="10"/>
      <c r="Y98" s="10"/>
      <c r="Z98" s="10"/>
      <c r="AA98" s="10"/>
    </row>
    <row r="99">
      <c r="A99" s="20" t="s">
        <v>39</v>
      </c>
      <c r="B99" s="12" t="s">
        <v>156</v>
      </c>
      <c r="C99" s="17" t="s">
        <v>17</v>
      </c>
      <c r="D99" s="18">
        <v>2.0</v>
      </c>
      <c r="E99" s="21">
        <v>45464.0</v>
      </c>
      <c r="F99" s="11">
        <v>15000.0</v>
      </c>
      <c r="G99" s="11">
        <f t="shared" si="1"/>
        <v>10</v>
      </c>
      <c r="H99" s="11" t="str">
        <f>VLOOKUP(A99,'Overall Analysis'!$A$2:$I$43,9,FALSE)</f>
        <v>VIP Guest</v>
      </c>
      <c r="I99" s="10"/>
      <c r="J99" s="10"/>
      <c r="K99" s="10"/>
      <c r="L99" s="10"/>
      <c r="M99" s="10"/>
      <c r="N99" s="10"/>
      <c r="O99" s="10"/>
      <c r="P99" s="10"/>
      <c r="Q99" s="10"/>
      <c r="R99" s="10"/>
      <c r="S99" s="10"/>
      <c r="T99" s="10"/>
      <c r="U99" s="10"/>
      <c r="V99" s="10"/>
      <c r="W99" s="10"/>
      <c r="X99" s="10"/>
      <c r="Y99" s="10"/>
      <c r="Z99" s="10"/>
      <c r="AA99" s="10"/>
    </row>
    <row r="100">
      <c r="A100" s="20" t="s">
        <v>101</v>
      </c>
      <c r="B100" s="12" t="s">
        <v>157</v>
      </c>
      <c r="C100" s="17" t="s">
        <v>17</v>
      </c>
      <c r="D100" s="18">
        <v>2.0</v>
      </c>
      <c r="E100" s="21">
        <v>45464.0</v>
      </c>
      <c r="F100" s="11">
        <v>15000.0</v>
      </c>
      <c r="G100" s="11">
        <f t="shared" si="1"/>
        <v>10</v>
      </c>
      <c r="H100" s="11" t="str">
        <f>VLOOKUP(A100,'Overall Analysis'!$A$2:$I$43,9,FALSE)</f>
        <v>Others</v>
      </c>
      <c r="I100" s="10"/>
      <c r="J100" s="10"/>
      <c r="K100" s="10"/>
      <c r="L100" s="10"/>
      <c r="M100" s="10"/>
      <c r="N100" s="10"/>
      <c r="O100" s="10"/>
      <c r="P100" s="10"/>
      <c r="Q100" s="10"/>
      <c r="R100" s="10"/>
      <c r="S100" s="10"/>
      <c r="T100" s="10"/>
      <c r="U100" s="10"/>
      <c r="V100" s="10"/>
      <c r="W100" s="10"/>
      <c r="X100" s="10"/>
      <c r="Y100" s="10"/>
      <c r="Z100" s="10"/>
      <c r="AA100" s="10"/>
    </row>
    <row r="101">
      <c r="A101" s="20" t="s">
        <v>101</v>
      </c>
      <c r="B101" s="12" t="s">
        <v>158</v>
      </c>
      <c r="C101" s="17" t="s">
        <v>27</v>
      </c>
      <c r="D101" s="18">
        <v>3.0</v>
      </c>
      <c r="E101" s="21">
        <v>45465.0</v>
      </c>
      <c r="F101" s="11">
        <v>15000.0</v>
      </c>
      <c r="G101" s="11">
        <f t="shared" si="1"/>
        <v>9</v>
      </c>
      <c r="H101" s="11" t="str">
        <f>VLOOKUP(A101,'Overall Analysis'!$A$2:$I$43,9,FALSE)</f>
        <v>Others</v>
      </c>
      <c r="I101" s="10"/>
      <c r="J101" s="10"/>
      <c r="K101" s="10"/>
      <c r="L101" s="10"/>
      <c r="M101" s="10"/>
      <c r="N101" s="10"/>
      <c r="O101" s="10"/>
      <c r="P101" s="10"/>
      <c r="Q101" s="10"/>
      <c r="R101" s="10"/>
      <c r="S101" s="10"/>
      <c r="T101" s="10"/>
      <c r="U101" s="10"/>
      <c r="V101" s="10"/>
      <c r="W101" s="10"/>
      <c r="X101" s="10"/>
      <c r="Y101" s="10"/>
      <c r="Z101" s="10"/>
      <c r="AA101" s="10"/>
    </row>
    <row r="102">
      <c r="A102" s="20" t="s">
        <v>122</v>
      </c>
      <c r="B102" s="12" t="s">
        <v>159</v>
      </c>
      <c r="C102" s="17" t="s">
        <v>17</v>
      </c>
      <c r="D102" s="18">
        <v>2.0</v>
      </c>
      <c r="E102" s="21">
        <v>45466.0</v>
      </c>
      <c r="F102" s="11">
        <v>15000.0</v>
      </c>
      <c r="G102" s="11">
        <f t="shared" si="1"/>
        <v>8</v>
      </c>
      <c r="H102" s="11" t="str">
        <f>VLOOKUP(A102,'Overall Analysis'!$A$2:$I$43,9,FALSE)</f>
        <v>Others</v>
      </c>
      <c r="I102" s="10"/>
      <c r="J102" s="10"/>
      <c r="K102" s="10"/>
      <c r="L102" s="10"/>
      <c r="M102" s="10"/>
      <c r="N102" s="10"/>
      <c r="O102" s="10"/>
      <c r="P102" s="10"/>
      <c r="Q102" s="10"/>
      <c r="R102" s="10"/>
      <c r="S102" s="10"/>
      <c r="T102" s="10"/>
      <c r="U102" s="10"/>
      <c r="V102" s="10"/>
      <c r="W102" s="10"/>
      <c r="X102" s="10"/>
      <c r="Y102" s="10"/>
      <c r="Z102" s="10"/>
      <c r="AA102" s="10"/>
    </row>
    <row r="103">
      <c r="A103" s="20" t="s">
        <v>51</v>
      </c>
      <c r="B103" s="12" t="s">
        <v>160</v>
      </c>
      <c r="C103" s="17" t="s">
        <v>30</v>
      </c>
      <c r="D103" s="18">
        <v>7.0</v>
      </c>
      <c r="E103" s="21">
        <v>45466.0</v>
      </c>
      <c r="F103" s="11">
        <v>17500.0</v>
      </c>
      <c r="G103" s="11">
        <f t="shared" si="1"/>
        <v>8</v>
      </c>
      <c r="H103" s="11" t="str">
        <f>VLOOKUP(A103,'Overall Analysis'!$A$2:$I$43,9,FALSE)</f>
        <v>VIP Guest</v>
      </c>
      <c r="I103" s="10"/>
      <c r="J103" s="10"/>
      <c r="K103" s="10"/>
      <c r="L103" s="10"/>
      <c r="M103" s="10"/>
      <c r="N103" s="10"/>
      <c r="O103" s="10"/>
      <c r="P103" s="10"/>
      <c r="Q103" s="10"/>
      <c r="R103" s="10"/>
      <c r="S103" s="10"/>
      <c r="T103" s="10"/>
      <c r="U103" s="10"/>
      <c r="V103" s="10"/>
      <c r="W103" s="10"/>
      <c r="X103" s="10"/>
      <c r="Y103" s="10"/>
      <c r="Z103" s="10"/>
      <c r="AA103" s="10"/>
    </row>
    <row r="104">
      <c r="A104" s="20" t="s">
        <v>45</v>
      </c>
      <c r="B104" s="12" t="s">
        <v>161</v>
      </c>
      <c r="C104" s="17" t="s">
        <v>27</v>
      </c>
      <c r="D104" s="18">
        <v>3.0</v>
      </c>
      <c r="E104" s="21">
        <v>45466.0</v>
      </c>
      <c r="F104" s="11">
        <v>15000.0</v>
      </c>
      <c r="G104" s="11">
        <f t="shared" si="1"/>
        <v>8</v>
      </c>
      <c r="H104" s="11" t="str">
        <f>VLOOKUP(A104,'Overall Analysis'!$A$2:$I$43,9,FALSE)</f>
        <v>VIP Guest</v>
      </c>
      <c r="I104" s="10"/>
      <c r="J104" s="10"/>
      <c r="K104" s="10"/>
      <c r="L104" s="10"/>
      <c r="M104" s="10"/>
      <c r="N104" s="10"/>
      <c r="O104" s="10"/>
      <c r="P104" s="10"/>
      <c r="Q104" s="10"/>
      <c r="R104" s="10"/>
      <c r="S104" s="10"/>
      <c r="T104" s="10"/>
      <c r="U104" s="10"/>
      <c r="V104" s="10"/>
      <c r="W104" s="10"/>
      <c r="X104" s="10"/>
      <c r="Y104" s="10"/>
      <c r="Z104" s="10"/>
      <c r="AA104" s="10"/>
    </row>
    <row r="105">
      <c r="A105" s="20" t="s">
        <v>51</v>
      </c>
      <c r="B105" s="12" t="s">
        <v>162</v>
      </c>
      <c r="C105" s="17" t="s">
        <v>17</v>
      </c>
      <c r="D105" s="18">
        <v>2.0</v>
      </c>
      <c r="E105" s="21">
        <v>45467.0</v>
      </c>
      <c r="F105" s="11">
        <v>15000.0</v>
      </c>
      <c r="G105" s="11">
        <f t="shared" si="1"/>
        <v>7</v>
      </c>
      <c r="H105" s="11" t="str">
        <f>VLOOKUP(A105,'Overall Analysis'!$A$2:$I$43,9,FALSE)</f>
        <v>VIP Guest</v>
      </c>
      <c r="I105" s="10"/>
      <c r="J105" s="10"/>
      <c r="K105" s="10"/>
      <c r="L105" s="10"/>
      <c r="M105" s="10"/>
      <c r="N105" s="10"/>
      <c r="O105" s="10"/>
      <c r="P105" s="10"/>
      <c r="Q105" s="10"/>
      <c r="R105" s="10"/>
      <c r="S105" s="10"/>
      <c r="T105" s="10"/>
      <c r="U105" s="10"/>
      <c r="V105" s="10"/>
      <c r="W105" s="10"/>
      <c r="X105" s="10"/>
      <c r="Y105" s="10"/>
      <c r="Z105" s="10"/>
      <c r="AA105" s="10"/>
    </row>
    <row r="106">
      <c r="A106" s="20" t="s">
        <v>150</v>
      </c>
      <c r="B106" s="12" t="s">
        <v>163</v>
      </c>
      <c r="C106" s="17" t="s">
        <v>27</v>
      </c>
      <c r="D106" s="18">
        <v>3.0</v>
      </c>
      <c r="E106" s="21">
        <v>45467.0</v>
      </c>
      <c r="F106" s="11">
        <v>15000.0</v>
      </c>
      <c r="G106" s="11">
        <f t="shared" si="1"/>
        <v>7</v>
      </c>
      <c r="H106" s="11" t="str">
        <f>VLOOKUP(A106,'Overall Analysis'!$A$2:$I$43,9,FALSE)</f>
        <v>Others</v>
      </c>
      <c r="I106" s="10"/>
      <c r="J106" s="10"/>
      <c r="K106" s="10"/>
      <c r="L106" s="10"/>
      <c r="M106" s="10"/>
      <c r="N106" s="10"/>
      <c r="O106" s="10"/>
      <c r="P106" s="10"/>
      <c r="Q106" s="10"/>
      <c r="R106" s="10"/>
      <c r="S106" s="10"/>
      <c r="T106" s="10"/>
      <c r="U106" s="10"/>
      <c r="V106" s="10"/>
      <c r="W106" s="10"/>
      <c r="X106" s="10"/>
      <c r="Y106" s="10"/>
      <c r="Z106" s="10"/>
      <c r="AA106" s="10"/>
    </row>
    <row r="107">
      <c r="A107" s="20" t="s">
        <v>150</v>
      </c>
      <c r="B107" s="12" t="s">
        <v>164</v>
      </c>
      <c r="C107" s="17" t="s">
        <v>27</v>
      </c>
      <c r="D107" s="18">
        <v>4.0</v>
      </c>
      <c r="E107" s="21">
        <v>45468.0</v>
      </c>
      <c r="F107" s="11">
        <v>20000.0</v>
      </c>
      <c r="G107" s="11">
        <f t="shared" si="1"/>
        <v>6</v>
      </c>
      <c r="H107" s="11" t="str">
        <f>VLOOKUP(A107,'Overall Analysis'!$A$2:$I$43,9,FALSE)</f>
        <v>Others</v>
      </c>
      <c r="I107" s="10"/>
      <c r="J107" s="10"/>
      <c r="K107" s="10"/>
      <c r="L107" s="10"/>
      <c r="M107" s="10"/>
      <c r="N107" s="10"/>
      <c r="O107" s="10"/>
      <c r="P107" s="10"/>
      <c r="Q107" s="10"/>
      <c r="R107" s="10"/>
      <c r="S107" s="10"/>
      <c r="T107" s="10"/>
      <c r="U107" s="10"/>
      <c r="V107" s="10"/>
      <c r="W107" s="10"/>
      <c r="X107" s="10"/>
      <c r="Y107" s="10"/>
      <c r="Z107" s="10"/>
      <c r="AA107" s="10"/>
    </row>
    <row r="108">
      <c r="A108" s="20" t="s">
        <v>101</v>
      </c>
      <c r="B108" s="12" t="s">
        <v>165</v>
      </c>
      <c r="C108" s="17" t="s">
        <v>27</v>
      </c>
      <c r="D108" s="18">
        <v>3.0</v>
      </c>
      <c r="E108" s="21">
        <v>45468.0</v>
      </c>
      <c r="F108" s="11">
        <v>15000.0</v>
      </c>
      <c r="G108" s="11">
        <f t="shared" si="1"/>
        <v>6</v>
      </c>
      <c r="H108" s="11" t="str">
        <f>VLOOKUP(A108,'Overall Analysis'!$A$2:$I$43,9,FALSE)</f>
        <v>Others</v>
      </c>
      <c r="I108" s="10"/>
      <c r="J108" s="10"/>
      <c r="K108" s="10"/>
      <c r="L108" s="10"/>
      <c r="M108" s="10"/>
      <c r="N108" s="10"/>
      <c r="O108" s="10"/>
      <c r="P108" s="10"/>
      <c r="Q108" s="10"/>
      <c r="R108" s="10"/>
      <c r="S108" s="10"/>
      <c r="T108" s="10"/>
      <c r="U108" s="10"/>
      <c r="V108" s="10"/>
      <c r="W108" s="10"/>
      <c r="X108" s="10"/>
      <c r="Y108" s="10"/>
      <c r="Z108" s="10"/>
      <c r="AA108" s="10"/>
    </row>
    <row r="109">
      <c r="A109" s="20" t="s">
        <v>118</v>
      </c>
      <c r="B109" s="12" t="s">
        <v>166</v>
      </c>
      <c r="C109" s="17" t="s">
        <v>30</v>
      </c>
      <c r="D109" s="18">
        <v>5.0</v>
      </c>
      <c r="E109" s="21">
        <v>45469.0</v>
      </c>
      <c r="F109" s="11">
        <v>12500.0</v>
      </c>
      <c r="G109" s="11">
        <f t="shared" si="1"/>
        <v>5</v>
      </c>
      <c r="H109" s="11" t="str">
        <f>VLOOKUP(A109,'Overall Analysis'!$A$2:$I$43,9,FALSE)</f>
        <v>Others</v>
      </c>
      <c r="I109" s="10"/>
      <c r="J109" s="10"/>
      <c r="K109" s="10"/>
      <c r="L109" s="10"/>
      <c r="M109" s="10"/>
      <c r="N109" s="10"/>
      <c r="O109" s="10"/>
      <c r="P109" s="10"/>
      <c r="Q109" s="10"/>
      <c r="R109" s="10"/>
      <c r="S109" s="10"/>
      <c r="T109" s="10"/>
      <c r="U109" s="10"/>
      <c r="V109" s="10"/>
      <c r="W109" s="10"/>
      <c r="X109" s="10"/>
      <c r="Y109" s="10"/>
      <c r="Z109" s="10"/>
      <c r="AA109" s="10"/>
    </row>
    <row r="110">
      <c r="A110" s="20" t="s">
        <v>35</v>
      </c>
      <c r="B110" s="12" t="s">
        <v>167</v>
      </c>
      <c r="C110" s="17" t="s">
        <v>27</v>
      </c>
      <c r="D110" s="18">
        <v>3.0</v>
      </c>
      <c r="E110" s="21">
        <v>45469.0</v>
      </c>
      <c r="F110" s="11">
        <v>15000.0</v>
      </c>
      <c r="G110" s="11">
        <f t="shared" si="1"/>
        <v>5</v>
      </c>
      <c r="H110" s="11" t="str">
        <f>VLOOKUP(A110,'Overall Analysis'!$A$2:$I$43,9,FALSE)</f>
        <v>VIP Guest</v>
      </c>
      <c r="I110" s="10"/>
      <c r="J110" s="10"/>
      <c r="K110" s="10"/>
      <c r="L110" s="10"/>
      <c r="M110" s="10"/>
      <c r="N110" s="10"/>
      <c r="O110" s="10"/>
      <c r="P110" s="10"/>
      <c r="Q110" s="10"/>
      <c r="R110" s="10"/>
      <c r="S110" s="10"/>
      <c r="T110" s="10"/>
      <c r="U110" s="10"/>
      <c r="V110" s="10"/>
      <c r="W110" s="10"/>
      <c r="X110" s="10"/>
      <c r="Y110" s="10"/>
      <c r="Z110" s="10"/>
      <c r="AA110" s="10"/>
    </row>
    <row r="111">
      <c r="A111" s="20" t="s">
        <v>31</v>
      </c>
      <c r="B111" s="12" t="s">
        <v>168</v>
      </c>
      <c r="C111" s="17" t="s">
        <v>17</v>
      </c>
      <c r="D111" s="18">
        <v>2.0</v>
      </c>
      <c r="E111" s="21">
        <v>45470.0</v>
      </c>
      <c r="F111" s="11">
        <v>15000.0</v>
      </c>
      <c r="G111" s="11">
        <f t="shared" si="1"/>
        <v>4</v>
      </c>
      <c r="H111" s="11" t="str">
        <f>VLOOKUP(A111,'Overall Analysis'!$A$2:$I$43,9,FALSE)</f>
        <v>VIP Guest</v>
      </c>
      <c r="I111" s="10"/>
      <c r="J111" s="10"/>
      <c r="K111" s="10"/>
      <c r="L111" s="10"/>
      <c r="M111" s="10"/>
      <c r="N111" s="10"/>
      <c r="O111" s="10"/>
      <c r="P111" s="10"/>
      <c r="Q111" s="10"/>
      <c r="R111" s="10"/>
      <c r="S111" s="10"/>
      <c r="T111" s="10"/>
      <c r="U111" s="10"/>
      <c r="V111" s="10"/>
      <c r="W111" s="10"/>
      <c r="X111" s="10"/>
      <c r="Y111" s="10"/>
      <c r="Z111" s="10"/>
      <c r="AA111" s="10"/>
    </row>
    <row r="112">
      <c r="A112" s="20" t="s">
        <v>51</v>
      </c>
      <c r="B112" s="12" t="s">
        <v>169</v>
      </c>
      <c r="C112" s="17" t="s">
        <v>27</v>
      </c>
      <c r="D112" s="18">
        <v>3.0</v>
      </c>
      <c r="E112" s="21">
        <v>45470.0</v>
      </c>
      <c r="F112" s="11">
        <v>15000.0</v>
      </c>
      <c r="G112" s="11">
        <f t="shared" si="1"/>
        <v>4</v>
      </c>
      <c r="H112" s="11" t="str">
        <f>VLOOKUP(A112,'Overall Analysis'!$A$2:$I$43,9,FALSE)</f>
        <v>VIP Guest</v>
      </c>
      <c r="I112" s="10"/>
      <c r="J112" s="10"/>
      <c r="K112" s="10"/>
      <c r="L112" s="10"/>
      <c r="M112" s="10"/>
      <c r="N112" s="10"/>
      <c r="O112" s="10"/>
      <c r="P112" s="10"/>
      <c r="Q112" s="10"/>
      <c r="R112" s="10"/>
      <c r="S112" s="10"/>
      <c r="T112" s="10"/>
      <c r="U112" s="10"/>
      <c r="V112" s="10"/>
      <c r="W112" s="10"/>
      <c r="X112" s="10"/>
      <c r="Y112" s="10"/>
      <c r="Z112" s="10"/>
      <c r="AA112" s="10"/>
    </row>
    <row r="113">
      <c r="A113" s="20" t="s">
        <v>126</v>
      </c>
      <c r="B113" s="12" t="s">
        <v>170</v>
      </c>
      <c r="C113" s="17" t="s">
        <v>17</v>
      </c>
      <c r="D113" s="18">
        <v>1.0</v>
      </c>
      <c r="E113" s="21">
        <v>45471.0</v>
      </c>
      <c r="F113" s="11">
        <v>7500.0</v>
      </c>
      <c r="G113" s="11">
        <f t="shared" si="1"/>
        <v>3</v>
      </c>
      <c r="H113" s="11" t="str">
        <f>VLOOKUP(A113,'Overall Analysis'!$A$2:$I$43,9,FALSE)</f>
        <v>Others</v>
      </c>
      <c r="I113" s="10"/>
      <c r="J113" s="10"/>
      <c r="K113" s="10"/>
      <c r="L113" s="10"/>
      <c r="M113" s="10"/>
      <c r="N113" s="10"/>
      <c r="O113" s="10"/>
      <c r="P113" s="10"/>
      <c r="Q113" s="10"/>
      <c r="R113" s="10"/>
      <c r="S113" s="10"/>
      <c r="T113" s="10"/>
      <c r="U113" s="10"/>
      <c r="V113" s="10"/>
      <c r="W113" s="10"/>
      <c r="X113" s="10"/>
      <c r="Y113" s="10"/>
      <c r="Z113" s="10"/>
      <c r="AA113" s="10"/>
    </row>
    <row r="114">
      <c r="A114" s="20" t="s">
        <v>135</v>
      </c>
      <c r="B114" s="12" t="s">
        <v>171</v>
      </c>
      <c r="C114" s="17" t="s">
        <v>27</v>
      </c>
      <c r="D114" s="18">
        <v>3.0</v>
      </c>
      <c r="E114" s="21">
        <v>45471.0</v>
      </c>
      <c r="F114" s="11">
        <v>15000.0</v>
      </c>
      <c r="G114" s="11">
        <f t="shared" si="1"/>
        <v>3</v>
      </c>
      <c r="H114" s="11" t="str">
        <f>VLOOKUP(A114,'Overall Analysis'!$A$2:$I$43,9,FALSE)</f>
        <v>Others</v>
      </c>
      <c r="I114" s="10"/>
      <c r="J114" s="10"/>
      <c r="K114" s="10"/>
      <c r="L114" s="10"/>
      <c r="M114" s="10"/>
      <c r="N114" s="10"/>
      <c r="O114" s="10"/>
      <c r="P114" s="10"/>
      <c r="Q114" s="10"/>
      <c r="R114" s="10"/>
      <c r="S114" s="10"/>
      <c r="T114" s="10"/>
      <c r="U114" s="10"/>
      <c r="V114" s="10"/>
      <c r="W114" s="10"/>
      <c r="X114" s="10"/>
      <c r="Y114" s="10"/>
      <c r="Z114" s="10"/>
      <c r="AA114" s="10"/>
    </row>
    <row r="115">
      <c r="A115" s="20" t="s">
        <v>118</v>
      </c>
      <c r="B115" s="12" t="s">
        <v>172</v>
      </c>
      <c r="C115" s="17" t="s">
        <v>30</v>
      </c>
      <c r="D115" s="18">
        <v>7.0</v>
      </c>
      <c r="E115" s="14">
        <v>45473.0</v>
      </c>
      <c r="F115" s="11">
        <v>17500.0</v>
      </c>
      <c r="G115" s="11">
        <f t="shared" si="1"/>
        <v>1</v>
      </c>
      <c r="H115" s="11" t="str">
        <f>VLOOKUP(A115,'Overall Analysis'!$A$2:$I$43,9,FALSE)</f>
        <v>Others</v>
      </c>
      <c r="I115" s="10"/>
      <c r="J115" s="10"/>
      <c r="K115" s="10"/>
      <c r="L115" s="10"/>
      <c r="M115" s="10"/>
      <c r="N115" s="10"/>
      <c r="O115" s="10"/>
      <c r="P115" s="10"/>
      <c r="Q115" s="10"/>
      <c r="R115" s="10"/>
      <c r="S115" s="10"/>
      <c r="T115" s="10"/>
      <c r="U115" s="10"/>
      <c r="V115" s="10"/>
      <c r="W115" s="10"/>
      <c r="X115" s="10"/>
      <c r="Y115" s="10"/>
      <c r="Z115" s="10"/>
      <c r="AA115" s="10"/>
    </row>
    <row r="116">
      <c r="A116" s="20" t="s">
        <v>73</v>
      </c>
      <c r="B116" s="12" t="s">
        <v>173</v>
      </c>
      <c r="C116" s="17" t="s">
        <v>27</v>
      </c>
      <c r="D116" s="18">
        <v>4.0</v>
      </c>
      <c r="E116" s="14">
        <v>45473.0</v>
      </c>
      <c r="F116" s="11">
        <v>20000.0</v>
      </c>
      <c r="G116" s="11">
        <f t="shared" si="1"/>
        <v>1</v>
      </c>
      <c r="H116" s="11" t="str">
        <f>VLOOKUP(A116,'Overall Analysis'!$A$2:$I$43,9,FALSE)</f>
        <v>Others</v>
      </c>
      <c r="I116" s="10"/>
      <c r="J116" s="10"/>
      <c r="K116" s="10"/>
      <c r="L116" s="10"/>
      <c r="M116" s="10"/>
      <c r="N116" s="10"/>
      <c r="O116" s="10"/>
      <c r="P116" s="10"/>
      <c r="Q116" s="10"/>
      <c r="R116" s="10"/>
      <c r="S116" s="10"/>
      <c r="T116" s="10"/>
      <c r="U116" s="10"/>
      <c r="V116" s="10"/>
      <c r="W116" s="10"/>
      <c r="X116" s="10"/>
      <c r="Y116" s="10"/>
      <c r="Z116" s="10"/>
      <c r="AA116" s="10"/>
    </row>
    <row r="117">
      <c r="A117" s="10"/>
      <c r="B117" s="10"/>
      <c r="C117" s="22"/>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c r="A118" s="10"/>
      <c r="B118" s="10"/>
      <c r="C118" s="22"/>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c r="A119" s="10"/>
      <c r="B119" s="10"/>
      <c r="C119" s="22"/>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c r="A120" s="10"/>
      <c r="B120" s="10"/>
      <c r="C120" s="22"/>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c r="A121" s="10"/>
      <c r="B121" s="10"/>
      <c r="C121" s="22"/>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c r="A122" s="10"/>
      <c r="B122" s="10"/>
      <c r="C122" s="22"/>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c r="A123" s="10"/>
      <c r="B123" s="10"/>
      <c r="C123" s="22"/>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c r="A124" s="10"/>
      <c r="B124" s="10"/>
      <c r="C124" s="22"/>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c r="A125" s="10"/>
      <c r="B125" s="10"/>
      <c r="C125" s="22"/>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c r="A126" s="10"/>
      <c r="B126" s="10"/>
      <c r="C126" s="22"/>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c r="A127" s="10"/>
      <c r="B127" s="10"/>
      <c r="C127" s="22"/>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c r="A128" s="10"/>
      <c r="B128" s="10"/>
      <c r="C128" s="22"/>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c r="A129" s="10"/>
      <c r="B129" s="10"/>
      <c r="C129" s="22"/>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c r="A130" s="10"/>
      <c r="B130" s="10"/>
      <c r="C130" s="22"/>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c r="A131" s="10"/>
      <c r="B131" s="10"/>
      <c r="C131" s="22"/>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c r="A132" s="10"/>
      <c r="B132" s="10"/>
      <c r="C132" s="22"/>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c r="A133" s="10"/>
      <c r="B133" s="10"/>
      <c r="C133" s="22"/>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c r="A134" s="10"/>
      <c r="B134" s="10"/>
      <c r="C134" s="22"/>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c r="A135" s="10"/>
      <c r="B135" s="10"/>
      <c r="C135" s="22"/>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c r="A136" s="10"/>
      <c r="B136" s="10"/>
      <c r="C136" s="22"/>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c r="A137" s="10"/>
      <c r="B137" s="10"/>
      <c r="C137" s="22"/>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c r="A138" s="10"/>
      <c r="B138" s="10"/>
      <c r="C138" s="22"/>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c r="A139" s="10"/>
      <c r="B139" s="10"/>
      <c r="C139" s="22"/>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c r="A140" s="10"/>
      <c r="B140" s="10"/>
      <c r="C140" s="22"/>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c r="A141" s="10"/>
      <c r="B141" s="10"/>
      <c r="C141" s="22"/>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c r="A142" s="10"/>
      <c r="B142" s="10"/>
      <c r="C142" s="22"/>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c r="A143" s="10"/>
      <c r="B143" s="10"/>
      <c r="C143" s="22"/>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c r="A144" s="10"/>
      <c r="B144" s="10"/>
      <c r="C144" s="22"/>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c r="A145" s="10"/>
      <c r="B145" s="10"/>
      <c r="C145" s="22"/>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c r="A146" s="10"/>
      <c r="B146" s="10"/>
      <c r="C146" s="22"/>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c r="A147" s="10"/>
      <c r="B147" s="10"/>
      <c r="C147" s="22"/>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c r="A148" s="10"/>
      <c r="B148" s="10"/>
      <c r="C148" s="22"/>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c r="A149" s="10"/>
      <c r="B149" s="10"/>
      <c r="C149" s="22"/>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c r="A150" s="10"/>
      <c r="B150" s="10"/>
      <c r="C150" s="22"/>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c r="A151" s="10"/>
      <c r="B151" s="10"/>
      <c r="C151" s="22"/>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c r="A152" s="10"/>
      <c r="B152" s="10"/>
      <c r="C152" s="22"/>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c r="A153" s="10"/>
      <c r="B153" s="10"/>
      <c r="C153" s="22"/>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c r="A154" s="10"/>
      <c r="B154" s="10"/>
      <c r="C154" s="22"/>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c r="A155" s="10"/>
      <c r="B155" s="10"/>
      <c r="C155" s="22"/>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c r="A156" s="10"/>
      <c r="B156" s="10"/>
      <c r="C156" s="22"/>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c r="A157" s="10"/>
      <c r="B157" s="10"/>
      <c r="C157" s="22"/>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c r="A158" s="10"/>
      <c r="B158" s="10"/>
      <c r="C158" s="22"/>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c r="A159" s="10"/>
      <c r="B159" s="10"/>
      <c r="C159" s="22"/>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c r="A160" s="10"/>
      <c r="B160" s="10"/>
      <c r="C160" s="22"/>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c r="A161" s="10"/>
      <c r="B161" s="10"/>
      <c r="C161" s="22"/>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c r="A162" s="10"/>
      <c r="B162" s="10"/>
      <c r="C162" s="22"/>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c r="A163" s="10"/>
      <c r="B163" s="10"/>
      <c r="C163" s="22"/>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c r="A164" s="10"/>
      <c r="B164" s="10"/>
      <c r="C164" s="22"/>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c r="A165" s="10"/>
      <c r="B165" s="10"/>
      <c r="C165" s="22"/>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c r="A166" s="10"/>
      <c r="B166" s="10"/>
      <c r="C166" s="22"/>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c r="A167" s="10"/>
      <c r="B167" s="10"/>
      <c r="C167" s="22"/>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c r="A168" s="10"/>
      <c r="B168" s="10"/>
      <c r="C168" s="22"/>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c r="A169" s="10"/>
      <c r="B169" s="10"/>
      <c r="C169" s="22"/>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c r="A170" s="10"/>
      <c r="B170" s="10"/>
      <c r="C170" s="22"/>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c r="A171" s="10"/>
      <c r="B171" s="10"/>
      <c r="C171" s="22"/>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c r="A172" s="10"/>
      <c r="B172" s="10"/>
      <c r="C172" s="22"/>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c r="A173" s="10"/>
      <c r="B173" s="10"/>
      <c r="C173" s="22"/>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c r="A174" s="10"/>
      <c r="B174" s="10"/>
      <c r="C174" s="22"/>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c r="A175" s="10"/>
      <c r="B175" s="10"/>
      <c r="C175" s="22"/>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c r="A176" s="10"/>
      <c r="B176" s="10"/>
      <c r="C176" s="22"/>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c r="A177" s="10"/>
      <c r="B177" s="10"/>
      <c r="C177" s="22"/>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c r="A178" s="10"/>
      <c r="B178" s="10"/>
      <c r="C178" s="22"/>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c r="A179" s="10"/>
      <c r="B179" s="10"/>
      <c r="C179" s="22"/>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c r="A180" s="10"/>
      <c r="B180" s="10"/>
      <c r="C180" s="22"/>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c r="A181" s="10"/>
      <c r="B181" s="10"/>
      <c r="C181" s="22"/>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c r="A182" s="10"/>
      <c r="B182" s="10"/>
      <c r="C182" s="22"/>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c r="A183" s="10"/>
      <c r="B183" s="10"/>
      <c r="C183" s="22"/>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c r="A184" s="10"/>
      <c r="B184" s="10"/>
      <c r="C184" s="22"/>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c r="A185" s="10"/>
      <c r="B185" s="10"/>
      <c r="C185" s="22"/>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c r="A186" s="10"/>
      <c r="B186" s="10"/>
      <c r="C186" s="22"/>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c r="A187" s="10"/>
      <c r="B187" s="10"/>
      <c r="C187" s="22"/>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c r="A188" s="10"/>
      <c r="B188" s="10"/>
      <c r="C188" s="22"/>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c r="A189" s="10"/>
      <c r="B189" s="10"/>
      <c r="C189" s="22"/>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c r="A190" s="10"/>
      <c r="B190" s="10"/>
      <c r="C190" s="22"/>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c r="A191" s="10"/>
      <c r="B191" s="10"/>
      <c r="C191" s="22"/>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c r="A192" s="10"/>
      <c r="B192" s="10"/>
      <c r="C192" s="22"/>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c r="A193" s="10"/>
      <c r="B193" s="10"/>
      <c r="C193" s="22"/>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c r="A194" s="10"/>
      <c r="B194" s="10"/>
      <c r="C194" s="22"/>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c r="A195" s="10"/>
      <c r="B195" s="10"/>
      <c r="C195" s="22"/>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c r="A196" s="10"/>
      <c r="B196" s="10"/>
      <c r="C196" s="22"/>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c r="A197" s="10"/>
      <c r="B197" s="10"/>
      <c r="C197" s="22"/>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c r="A198" s="10"/>
      <c r="B198" s="10"/>
      <c r="C198" s="22"/>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c r="A199" s="10"/>
      <c r="B199" s="10"/>
      <c r="C199" s="22"/>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c r="A200" s="10"/>
      <c r="B200" s="10"/>
      <c r="C200" s="22"/>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c r="A201" s="10"/>
      <c r="B201" s="10"/>
      <c r="C201" s="22"/>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c r="A202" s="10"/>
      <c r="B202" s="10"/>
      <c r="C202" s="22"/>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c r="A203" s="10"/>
      <c r="B203" s="10"/>
      <c r="C203" s="22"/>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c r="A204" s="10"/>
      <c r="B204" s="10"/>
      <c r="C204" s="22"/>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c r="A205" s="10"/>
      <c r="B205" s="10"/>
      <c r="C205" s="22"/>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c r="A206" s="10"/>
      <c r="B206" s="10"/>
      <c r="C206" s="22"/>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c r="A207" s="10"/>
      <c r="B207" s="10"/>
      <c r="C207" s="22"/>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c r="A208" s="10"/>
      <c r="B208" s="10"/>
      <c r="C208" s="22"/>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c r="A209" s="10"/>
      <c r="B209" s="10"/>
      <c r="C209" s="22"/>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c r="A210" s="10"/>
      <c r="B210" s="10"/>
      <c r="C210" s="22"/>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c r="A211" s="10"/>
      <c r="B211" s="10"/>
      <c r="C211" s="22"/>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c r="A212" s="10"/>
      <c r="B212" s="10"/>
      <c r="C212" s="22"/>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c r="A213" s="10"/>
      <c r="B213" s="10"/>
      <c r="C213" s="22"/>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c r="A214" s="10"/>
      <c r="B214" s="10"/>
      <c r="C214" s="22"/>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c r="A215" s="10"/>
      <c r="B215" s="10"/>
      <c r="C215" s="22"/>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c r="A216" s="10"/>
      <c r="B216" s="10"/>
      <c r="C216" s="22"/>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c r="A217" s="10"/>
      <c r="B217" s="10"/>
      <c r="C217" s="22"/>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c r="A218" s="10"/>
      <c r="B218" s="10"/>
      <c r="C218" s="22"/>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c r="A219" s="10"/>
      <c r="B219" s="10"/>
      <c r="C219" s="22"/>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c r="A220" s="10"/>
      <c r="B220" s="10"/>
      <c r="C220" s="22"/>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c r="A221" s="10"/>
      <c r="B221" s="10"/>
      <c r="C221" s="22"/>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c r="A222" s="10"/>
      <c r="B222" s="10"/>
      <c r="C222" s="22"/>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c r="A223" s="10"/>
      <c r="B223" s="10"/>
      <c r="C223" s="22"/>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c r="A224" s="10"/>
      <c r="B224" s="10"/>
      <c r="C224" s="22"/>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c r="A225" s="10"/>
      <c r="B225" s="10"/>
      <c r="C225" s="22"/>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c r="A226" s="10"/>
      <c r="B226" s="10"/>
      <c r="C226" s="22"/>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c r="A227" s="10"/>
      <c r="B227" s="10"/>
      <c r="C227" s="22"/>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c r="A228" s="10"/>
      <c r="B228" s="10"/>
      <c r="C228" s="22"/>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c r="A229" s="10"/>
      <c r="B229" s="10"/>
      <c r="C229" s="22"/>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c r="A230" s="10"/>
      <c r="B230" s="10"/>
      <c r="C230" s="22"/>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c r="A231" s="10"/>
      <c r="B231" s="10"/>
      <c r="C231" s="22"/>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c r="A232" s="10"/>
      <c r="B232" s="10"/>
      <c r="C232" s="22"/>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c r="A233" s="10"/>
      <c r="B233" s="10"/>
      <c r="C233" s="22"/>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c r="A234" s="10"/>
      <c r="B234" s="10"/>
      <c r="C234" s="22"/>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c r="A235" s="10"/>
      <c r="B235" s="10"/>
      <c r="C235" s="22"/>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c r="A236" s="10"/>
      <c r="B236" s="10"/>
      <c r="C236" s="22"/>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c r="A237" s="10"/>
      <c r="B237" s="10"/>
      <c r="C237" s="22"/>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c r="A238" s="10"/>
      <c r="B238" s="10"/>
      <c r="C238" s="22"/>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c r="A239" s="10"/>
      <c r="B239" s="10"/>
      <c r="C239" s="22"/>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c r="A240" s="10"/>
      <c r="B240" s="10"/>
      <c r="C240" s="22"/>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c r="A241" s="10"/>
      <c r="B241" s="10"/>
      <c r="C241" s="22"/>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c r="A242" s="10"/>
      <c r="B242" s="10"/>
      <c r="C242" s="22"/>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c r="A243" s="10"/>
      <c r="B243" s="10"/>
      <c r="C243" s="22"/>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c r="A244" s="10"/>
      <c r="B244" s="10"/>
      <c r="C244" s="22"/>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c r="A245" s="10"/>
      <c r="B245" s="10"/>
      <c r="C245" s="22"/>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c r="A246" s="10"/>
      <c r="B246" s="10"/>
      <c r="C246" s="22"/>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c r="A247" s="10"/>
      <c r="B247" s="10"/>
      <c r="C247" s="22"/>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c r="A248" s="10"/>
      <c r="B248" s="10"/>
      <c r="C248" s="22"/>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c r="A249" s="10"/>
      <c r="B249" s="10"/>
      <c r="C249" s="22"/>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c r="A250" s="10"/>
      <c r="B250" s="10"/>
      <c r="C250" s="22"/>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c r="A251" s="10"/>
      <c r="B251" s="10"/>
      <c r="C251" s="22"/>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c r="A252" s="10"/>
      <c r="B252" s="10"/>
      <c r="C252" s="22"/>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c r="A253" s="10"/>
      <c r="B253" s="10"/>
      <c r="C253" s="22"/>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c r="A254" s="10"/>
      <c r="B254" s="10"/>
      <c r="C254" s="22"/>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c r="A255" s="10"/>
      <c r="B255" s="10"/>
      <c r="C255" s="22"/>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c r="A256" s="10"/>
      <c r="B256" s="10"/>
      <c r="C256" s="22"/>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c r="A257" s="10"/>
      <c r="B257" s="10"/>
      <c r="C257" s="22"/>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c r="A258" s="10"/>
      <c r="B258" s="10"/>
      <c r="C258" s="22"/>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c r="A259" s="10"/>
      <c r="B259" s="10"/>
      <c r="C259" s="22"/>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c r="A260" s="10"/>
      <c r="B260" s="10"/>
      <c r="C260" s="22"/>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c r="A261" s="10"/>
      <c r="B261" s="10"/>
      <c r="C261" s="22"/>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c r="A262" s="10"/>
      <c r="B262" s="10"/>
      <c r="C262" s="22"/>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c r="A263" s="10"/>
      <c r="B263" s="10"/>
      <c r="C263" s="22"/>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c r="A264" s="10"/>
      <c r="B264" s="10"/>
      <c r="C264" s="22"/>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c r="A265" s="10"/>
      <c r="B265" s="10"/>
      <c r="C265" s="22"/>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c r="A266" s="10"/>
      <c r="B266" s="10"/>
      <c r="C266" s="22"/>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c r="A267" s="10"/>
      <c r="B267" s="10"/>
      <c r="C267" s="22"/>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c r="A268" s="10"/>
      <c r="B268" s="10"/>
      <c r="C268" s="22"/>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c r="A269" s="10"/>
      <c r="B269" s="10"/>
      <c r="C269" s="22"/>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c r="A270" s="10"/>
      <c r="B270" s="10"/>
      <c r="C270" s="22"/>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c r="A271" s="10"/>
      <c r="B271" s="10"/>
      <c r="C271" s="22"/>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c r="A272" s="10"/>
      <c r="B272" s="10"/>
      <c r="C272" s="22"/>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c r="A273" s="10"/>
      <c r="B273" s="10"/>
      <c r="C273" s="22"/>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c r="A274" s="10"/>
      <c r="B274" s="10"/>
      <c r="C274" s="22"/>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c r="A275" s="10"/>
      <c r="B275" s="10"/>
      <c r="C275" s="22"/>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c r="A276" s="10"/>
      <c r="B276" s="10"/>
      <c r="C276" s="22"/>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c r="A277" s="10"/>
      <c r="B277" s="10"/>
      <c r="C277" s="22"/>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c r="A278" s="10"/>
      <c r="B278" s="10"/>
      <c r="C278" s="22"/>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c r="A279" s="10"/>
      <c r="B279" s="10"/>
      <c r="C279" s="22"/>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c r="A280" s="10"/>
      <c r="B280" s="10"/>
      <c r="C280" s="22"/>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c r="A281" s="10"/>
      <c r="B281" s="10"/>
      <c r="C281" s="22"/>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c r="A282" s="10"/>
      <c r="B282" s="10"/>
      <c r="C282" s="22"/>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c r="A283" s="10"/>
      <c r="B283" s="10"/>
      <c r="C283" s="22"/>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c r="A284" s="10"/>
      <c r="B284" s="10"/>
      <c r="C284" s="22"/>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c r="A285" s="10"/>
      <c r="B285" s="10"/>
      <c r="C285" s="22"/>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c r="A286" s="10"/>
      <c r="B286" s="10"/>
      <c r="C286" s="22"/>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c r="A287" s="10"/>
      <c r="B287" s="10"/>
      <c r="C287" s="22"/>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c r="A288" s="10"/>
      <c r="B288" s="10"/>
      <c r="C288" s="22"/>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c r="A289" s="10"/>
      <c r="B289" s="10"/>
      <c r="C289" s="22"/>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c r="A290" s="10"/>
      <c r="B290" s="10"/>
      <c r="C290" s="22"/>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c r="A291" s="10"/>
      <c r="B291" s="10"/>
      <c r="C291" s="22"/>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c r="A292" s="10"/>
      <c r="B292" s="10"/>
      <c r="C292" s="22"/>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c r="A293" s="10"/>
      <c r="B293" s="10"/>
      <c r="C293" s="22"/>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c r="A294" s="10"/>
      <c r="B294" s="10"/>
      <c r="C294" s="22"/>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c r="A295" s="10"/>
      <c r="B295" s="10"/>
      <c r="C295" s="22"/>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c r="A296" s="10"/>
      <c r="B296" s="10"/>
      <c r="C296" s="22"/>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c r="A297" s="10"/>
      <c r="B297" s="10"/>
      <c r="C297" s="22"/>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c r="A298" s="10"/>
      <c r="B298" s="10"/>
      <c r="C298" s="22"/>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c r="A299" s="10"/>
      <c r="B299" s="10"/>
      <c r="C299" s="22"/>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c r="A300" s="10"/>
      <c r="B300" s="10"/>
      <c r="C300" s="22"/>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c r="A301" s="10"/>
      <c r="B301" s="10"/>
      <c r="C301" s="22"/>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c r="A302" s="10"/>
      <c r="B302" s="10"/>
      <c r="C302" s="22"/>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c r="A303" s="10"/>
      <c r="B303" s="10"/>
      <c r="C303" s="22"/>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c r="A304" s="10"/>
      <c r="B304" s="10"/>
      <c r="C304" s="22"/>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c r="A305" s="10"/>
      <c r="B305" s="10"/>
      <c r="C305" s="22"/>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c r="A306" s="10"/>
      <c r="B306" s="10"/>
      <c r="C306" s="22"/>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c r="A307" s="10"/>
      <c r="B307" s="10"/>
      <c r="C307" s="22"/>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c r="A308" s="10"/>
      <c r="B308" s="10"/>
      <c r="C308" s="22"/>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c r="A309" s="10"/>
      <c r="B309" s="10"/>
      <c r="C309" s="22"/>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c r="A310" s="10"/>
      <c r="B310" s="10"/>
      <c r="C310" s="22"/>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c r="A311" s="10"/>
      <c r="B311" s="10"/>
      <c r="C311" s="22"/>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c r="A312" s="10"/>
      <c r="B312" s="10"/>
      <c r="C312" s="22"/>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c r="A313" s="10"/>
      <c r="B313" s="10"/>
      <c r="C313" s="22"/>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c r="A314" s="10"/>
      <c r="B314" s="10"/>
      <c r="C314" s="22"/>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c r="A315" s="10"/>
      <c r="B315" s="10"/>
      <c r="C315" s="22"/>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c r="A316" s="10"/>
      <c r="B316" s="10"/>
      <c r="C316" s="22"/>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c r="A317" s="10"/>
      <c r="B317" s="10"/>
      <c r="C317" s="22"/>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c r="A318" s="10"/>
      <c r="B318" s="10"/>
      <c r="C318" s="22"/>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c r="A319" s="10"/>
      <c r="B319" s="10"/>
      <c r="C319" s="22"/>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c r="A320" s="10"/>
      <c r="B320" s="10"/>
      <c r="C320" s="22"/>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c r="A321" s="10"/>
      <c r="B321" s="10"/>
      <c r="C321" s="22"/>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c r="A322" s="10"/>
      <c r="B322" s="10"/>
      <c r="C322" s="22"/>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c r="A323" s="10"/>
      <c r="B323" s="10"/>
      <c r="C323" s="22"/>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c r="A324" s="10"/>
      <c r="B324" s="10"/>
      <c r="C324" s="22"/>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c r="A325" s="10"/>
      <c r="B325" s="10"/>
      <c r="C325" s="22"/>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c r="A326" s="10"/>
      <c r="B326" s="10"/>
      <c r="C326" s="22"/>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c r="A327" s="10"/>
      <c r="B327" s="10"/>
      <c r="C327" s="22"/>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c r="A328" s="10"/>
      <c r="B328" s="10"/>
      <c r="C328" s="22"/>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c r="A329" s="10"/>
      <c r="B329" s="10"/>
      <c r="C329" s="22"/>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c r="A330" s="10"/>
      <c r="B330" s="10"/>
      <c r="C330" s="22"/>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c r="A331" s="10"/>
      <c r="B331" s="10"/>
      <c r="C331" s="22"/>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c r="A332" s="10"/>
      <c r="B332" s="10"/>
      <c r="C332" s="22"/>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c r="A333" s="10"/>
      <c r="B333" s="10"/>
      <c r="C333" s="22"/>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c r="A334" s="10"/>
      <c r="B334" s="10"/>
      <c r="C334" s="22"/>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c r="A335" s="10"/>
      <c r="B335" s="10"/>
      <c r="C335" s="22"/>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c r="A336" s="10"/>
      <c r="B336" s="10"/>
      <c r="C336" s="22"/>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c r="A337" s="10"/>
      <c r="B337" s="10"/>
      <c r="C337" s="22"/>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c r="A338" s="10"/>
      <c r="B338" s="10"/>
      <c r="C338" s="22"/>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c r="A339" s="10"/>
      <c r="B339" s="10"/>
      <c r="C339" s="22"/>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c r="A340" s="10"/>
      <c r="B340" s="10"/>
      <c r="C340" s="22"/>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c r="A341" s="10"/>
      <c r="B341" s="10"/>
      <c r="C341" s="22"/>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c r="A342" s="10"/>
      <c r="B342" s="10"/>
      <c r="C342" s="22"/>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c r="A343" s="10"/>
      <c r="B343" s="10"/>
      <c r="C343" s="22"/>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c r="A344" s="10"/>
      <c r="B344" s="10"/>
      <c r="C344" s="22"/>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c r="A345" s="10"/>
      <c r="B345" s="10"/>
      <c r="C345" s="22"/>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c r="A346" s="10"/>
      <c r="B346" s="10"/>
      <c r="C346" s="22"/>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c r="A347" s="10"/>
      <c r="B347" s="10"/>
      <c r="C347" s="22"/>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c r="A348" s="10"/>
      <c r="B348" s="10"/>
      <c r="C348" s="22"/>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c r="A349" s="10"/>
      <c r="B349" s="10"/>
      <c r="C349" s="22"/>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c r="A350" s="10"/>
      <c r="B350" s="10"/>
      <c r="C350" s="22"/>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c r="A351" s="10"/>
      <c r="B351" s="10"/>
      <c r="C351" s="22"/>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c r="A352" s="10"/>
      <c r="B352" s="10"/>
      <c r="C352" s="22"/>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c r="A353" s="10"/>
      <c r="B353" s="10"/>
      <c r="C353" s="22"/>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c r="A354" s="10"/>
      <c r="B354" s="10"/>
      <c r="C354" s="22"/>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c r="A355" s="10"/>
      <c r="B355" s="10"/>
      <c r="C355" s="22"/>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c r="A356" s="10"/>
      <c r="B356" s="10"/>
      <c r="C356" s="22"/>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c r="A357" s="10"/>
      <c r="B357" s="10"/>
      <c r="C357" s="22"/>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c r="A358" s="10"/>
      <c r="B358" s="10"/>
      <c r="C358" s="22"/>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c r="A359" s="10"/>
      <c r="B359" s="10"/>
      <c r="C359" s="22"/>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c r="A360" s="10"/>
      <c r="B360" s="10"/>
      <c r="C360" s="22"/>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c r="A361" s="10"/>
      <c r="B361" s="10"/>
      <c r="C361" s="22"/>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c r="A362" s="10"/>
      <c r="B362" s="10"/>
      <c r="C362" s="22"/>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c r="A363" s="10"/>
      <c r="B363" s="10"/>
      <c r="C363" s="22"/>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c r="A364" s="10"/>
      <c r="B364" s="10"/>
      <c r="C364" s="22"/>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c r="A365" s="10"/>
      <c r="B365" s="10"/>
      <c r="C365" s="22"/>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c r="A366" s="10"/>
      <c r="B366" s="10"/>
      <c r="C366" s="22"/>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c r="A367" s="10"/>
      <c r="B367" s="10"/>
      <c r="C367" s="22"/>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c r="A368" s="10"/>
      <c r="B368" s="10"/>
      <c r="C368" s="22"/>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c r="A369" s="10"/>
      <c r="B369" s="10"/>
      <c r="C369" s="22"/>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c r="A370" s="10"/>
      <c r="B370" s="10"/>
      <c r="C370" s="22"/>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c r="A371" s="10"/>
      <c r="B371" s="10"/>
      <c r="C371" s="22"/>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c r="A372" s="10"/>
      <c r="B372" s="10"/>
      <c r="C372" s="22"/>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c r="A373" s="10"/>
      <c r="B373" s="10"/>
      <c r="C373" s="22"/>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c r="A374" s="10"/>
      <c r="B374" s="10"/>
      <c r="C374" s="22"/>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c r="A375" s="10"/>
      <c r="B375" s="10"/>
      <c r="C375" s="22"/>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c r="A376" s="10"/>
      <c r="B376" s="10"/>
      <c r="C376" s="22"/>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c r="A377" s="10"/>
      <c r="B377" s="10"/>
      <c r="C377" s="22"/>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c r="A378" s="10"/>
      <c r="B378" s="10"/>
      <c r="C378" s="22"/>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c r="A379" s="10"/>
      <c r="B379" s="10"/>
      <c r="C379" s="22"/>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c r="A380" s="10"/>
      <c r="B380" s="10"/>
      <c r="C380" s="22"/>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c r="A381" s="10"/>
      <c r="B381" s="10"/>
      <c r="C381" s="22"/>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c r="A382" s="10"/>
      <c r="B382" s="10"/>
      <c r="C382" s="22"/>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c r="A383" s="10"/>
      <c r="B383" s="10"/>
      <c r="C383" s="22"/>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c r="A384" s="10"/>
      <c r="B384" s="10"/>
      <c r="C384" s="22"/>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c r="A385" s="10"/>
      <c r="B385" s="10"/>
      <c r="C385" s="22"/>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c r="A386" s="10"/>
      <c r="B386" s="10"/>
      <c r="C386" s="22"/>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c r="A387" s="10"/>
      <c r="B387" s="10"/>
      <c r="C387" s="22"/>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c r="A388" s="10"/>
      <c r="B388" s="10"/>
      <c r="C388" s="22"/>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c r="A389" s="10"/>
      <c r="B389" s="10"/>
      <c r="C389" s="22"/>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c r="A390" s="10"/>
      <c r="B390" s="10"/>
      <c r="C390" s="22"/>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c r="A391" s="10"/>
      <c r="B391" s="10"/>
      <c r="C391" s="22"/>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c r="A392" s="10"/>
      <c r="B392" s="10"/>
      <c r="C392" s="22"/>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c r="A393" s="10"/>
      <c r="B393" s="10"/>
      <c r="C393" s="22"/>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c r="A394" s="10"/>
      <c r="B394" s="10"/>
      <c r="C394" s="22"/>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c r="A395" s="10"/>
      <c r="B395" s="10"/>
      <c r="C395" s="22"/>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c r="A396" s="10"/>
      <c r="B396" s="10"/>
      <c r="C396" s="22"/>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c r="A397" s="10"/>
      <c r="B397" s="10"/>
      <c r="C397" s="22"/>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c r="A398" s="10"/>
      <c r="B398" s="10"/>
      <c r="C398" s="22"/>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c r="A399" s="10"/>
      <c r="B399" s="10"/>
      <c r="C399" s="22"/>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c r="A400" s="10"/>
      <c r="B400" s="10"/>
      <c r="C400" s="22"/>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c r="A401" s="10"/>
      <c r="B401" s="10"/>
      <c r="C401" s="22"/>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c r="A402" s="10"/>
      <c r="B402" s="10"/>
      <c r="C402" s="22"/>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c r="A403" s="10"/>
      <c r="B403" s="10"/>
      <c r="C403" s="22"/>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c r="A404" s="10"/>
      <c r="B404" s="10"/>
      <c r="C404" s="22"/>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c r="A405" s="10"/>
      <c r="B405" s="10"/>
      <c r="C405" s="22"/>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c r="A406" s="10"/>
      <c r="B406" s="10"/>
      <c r="C406" s="22"/>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c r="A407" s="10"/>
      <c r="B407" s="10"/>
      <c r="C407" s="22"/>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c r="A408" s="10"/>
      <c r="B408" s="10"/>
      <c r="C408" s="22"/>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c r="A409" s="10"/>
      <c r="B409" s="10"/>
      <c r="C409" s="22"/>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c r="A410" s="10"/>
      <c r="B410" s="10"/>
      <c r="C410" s="22"/>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c r="A411" s="10"/>
      <c r="B411" s="10"/>
      <c r="C411" s="22"/>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c r="A412" s="10"/>
      <c r="B412" s="10"/>
      <c r="C412" s="22"/>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c r="A413" s="10"/>
      <c r="B413" s="10"/>
      <c r="C413" s="22"/>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c r="A414" s="10"/>
      <c r="B414" s="10"/>
      <c r="C414" s="22"/>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c r="A415" s="10"/>
      <c r="B415" s="10"/>
      <c r="C415" s="22"/>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c r="A416" s="10"/>
      <c r="B416" s="10"/>
      <c r="C416" s="22"/>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c r="A417" s="10"/>
      <c r="B417" s="10"/>
      <c r="C417" s="22"/>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c r="A418" s="10"/>
      <c r="B418" s="10"/>
      <c r="C418" s="22"/>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c r="A419" s="10"/>
      <c r="B419" s="10"/>
      <c r="C419" s="22"/>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c r="A420" s="10"/>
      <c r="B420" s="10"/>
      <c r="C420" s="22"/>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c r="A421" s="10"/>
      <c r="B421" s="10"/>
      <c r="C421" s="22"/>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c r="A422" s="10"/>
      <c r="B422" s="10"/>
      <c r="C422" s="22"/>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c r="A423" s="10"/>
      <c r="B423" s="10"/>
      <c r="C423" s="22"/>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c r="A424" s="10"/>
      <c r="B424" s="10"/>
      <c r="C424" s="22"/>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c r="A425" s="10"/>
      <c r="B425" s="10"/>
      <c r="C425" s="22"/>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c r="A426" s="10"/>
      <c r="B426" s="10"/>
      <c r="C426" s="22"/>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c r="A427" s="10"/>
      <c r="B427" s="10"/>
      <c r="C427" s="22"/>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c r="A428" s="10"/>
      <c r="B428" s="10"/>
      <c r="C428" s="22"/>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c r="A429" s="10"/>
      <c r="B429" s="10"/>
      <c r="C429" s="22"/>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c r="A430" s="10"/>
      <c r="B430" s="10"/>
      <c r="C430" s="22"/>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c r="A431" s="10"/>
      <c r="B431" s="10"/>
      <c r="C431" s="22"/>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c r="A432" s="10"/>
      <c r="B432" s="10"/>
      <c r="C432" s="22"/>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c r="A433" s="10"/>
      <c r="B433" s="10"/>
      <c r="C433" s="22"/>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c r="A434" s="10"/>
      <c r="B434" s="10"/>
      <c r="C434" s="22"/>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c r="A435" s="10"/>
      <c r="B435" s="10"/>
      <c r="C435" s="22"/>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c r="A436" s="10"/>
      <c r="B436" s="10"/>
      <c r="C436" s="22"/>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c r="A437" s="10"/>
      <c r="B437" s="10"/>
      <c r="C437" s="22"/>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c r="A438" s="10"/>
      <c r="B438" s="10"/>
      <c r="C438" s="22"/>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c r="A439" s="10"/>
      <c r="B439" s="10"/>
      <c r="C439" s="22"/>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c r="A440" s="10"/>
      <c r="B440" s="10"/>
      <c r="C440" s="22"/>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c r="A441" s="10"/>
      <c r="B441" s="10"/>
      <c r="C441" s="22"/>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c r="A442" s="10"/>
      <c r="B442" s="10"/>
      <c r="C442" s="22"/>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c r="A443" s="10"/>
      <c r="B443" s="10"/>
      <c r="C443" s="22"/>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c r="A444" s="10"/>
      <c r="B444" s="10"/>
      <c r="C444" s="22"/>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c r="A445" s="10"/>
      <c r="B445" s="10"/>
      <c r="C445" s="22"/>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c r="A446" s="10"/>
      <c r="B446" s="10"/>
      <c r="C446" s="22"/>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c r="A447" s="10"/>
      <c r="B447" s="10"/>
      <c r="C447" s="22"/>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c r="A448" s="10"/>
      <c r="B448" s="10"/>
      <c r="C448" s="22"/>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c r="A449" s="10"/>
      <c r="B449" s="10"/>
      <c r="C449" s="22"/>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c r="A450" s="10"/>
      <c r="B450" s="10"/>
      <c r="C450" s="22"/>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c r="A451" s="10"/>
      <c r="B451" s="10"/>
      <c r="C451" s="22"/>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c r="A452" s="10"/>
      <c r="B452" s="10"/>
      <c r="C452" s="22"/>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c r="A453" s="10"/>
      <c r="B453" s="10"/>
      <c r="C453" s="22"/>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c r="A454" s="10"/>
      <c r="B454" s="10"/>
      <c r="C454" s="22"/>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c r="A455" s="10"/>
      <c r="B455" s="10"/>
      <c r="C455" s="22"/>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c r="A456" s="10"/>
      <c r="B456" s="10"/>
      <c r="C456" s="22"/>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c r="A457" s="10"/>
      <c r="B457" s="10"/>
      <c r="C457" s="22"/>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c r="A458" s="10"/>
      <c r="B458" s="10"/>
      <c r="C458" s="22"/>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c r="A459" s="10"/>
      <c r="B459" s="10"/>
      <c r="C459" s="22"/>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c r="A460" s="10"/>
      <c r="B460" s="10"/>
      <c r="C460" s="22"/>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c r="A461" s="10"/>
      <c r="B461" s="10"/>
      <c r="C461" s="22"/>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c r="A462" s="10"/>
      <c r="B462" s="10"/>
      <c r="C462" s="22"/>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c r="A463" s="10"/>
      <c r="B463" s="10"/>
      <c r="C463" s="22"/>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c r="A464" s="10"/>
      <c r="B464" s="10"/>
      <c r="C464" s="22"/>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c r="A465" s="10"/>
      <c r="B465" s="10"/>
      <c r="C465" s="22"/>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c r="A466" s="10"/>
      <c r="B466" s="10"/>
      <c r="C466" s="22"/>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c r="A467" s="10"/>
      <c r="B467" s="10"/>
      <c r="C467" s="22"/>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c r="A468" s="10"/>
      <c r="B468" s="10"/>
      <c r="C468" s="22"/>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c r="A469" s="10"/>
      <c r="B469" s="10"/>
      <c r="C469" s="22"/>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c r="A470" s="10"/>
      <c r="B470" s="10"/>
      <c r="C470" s="22"/>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c r="A471" s="10"/>
      <c r="B471" s="10"/>
      <c r="C471" s="22"/>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c r="A472" s="10"/>
      <c r="B472" s="10"/>
      <c r="C472" s="22"/>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c r="A473" s="10"/>
      <c r="B473" s="10"/>
      <c r="C473" s="22"/>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c r="A474" s="10"/>
      <c r="B474" s="10"/>
      <c r="C474" s="22"/>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c r="A475" s="10"/>
      <c r="B475" s="10"/>
      <c r="C475" s="22"/>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c r="A476" s="10"/>
      <c r="B476" s="10"/>
      <c r="C476" s="22"/>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c r="A477" s="10"/>
      <c r="B477" s="10"/>
      <c r="C477" s="22"/>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c r="A478" s="10"/>
      <c r="B478" s="10"/>
      <c r="C478" s="22"/>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c r="A479" s="10"/>
      <c r="B479" s="10"/>
      <c r="C479" s="22"/>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c r="A480" s="10"/>
      <c r="B480" s="10"/>
      <c r="C480" s="22"/>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c r="A481" s="10"/>
      <c r="B481" s="10"/>
      <c r="C481" s="22"/>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c r="A482" s="10"/>
      <c r="B482" s="10"/>
      <c r="C482" s="22"/>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c r="A483" s="10"/>
      <c r="B483" s="10"/>
      <c r="C483" s="22"/>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c r="A484" s="10"/>
      <c r="B484" s="10"/>
      <c r="C484" s="22"/>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c r="A485" s="10"/>
      <c r="B485" s="10"/>
      <c r="C485" s="22"/>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c r="A486" s="10"/>
      <c r="B486" s="10"/>
      <c r="C486" s="22"/>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c r="A487" s="10"/>
      <c r="B487" s="10"/>
      <c r="C487" s="22"/>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c r="A488" s="10"/>
      <c r="B488" s="10"/>
      <c r="C488" s="22"/>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c r="A489" s="10"/>
      <c r="B489" s="10"/>
      <c r="C489" s="22"/>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c r="A490" s="10"/>
      <c r="B490" s="10"/>
      <c r="C490" s="22"/>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c r="A491" s="10"/>
      <c r="B491" s="10"/>
      <c r="C491" s="22"/>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c r="A492" s="10"/>
      <c r="B492" s="10"/>
      <c r="C492" s="22"/>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c r="A493" s="10"/>
      <c r="B493" s="10"/>
      <c r="C493" s="22"/>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c r="A494" s="10"/>
      <c r="B494" s="10"/>
      <c r="C494" s="22"/>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c r="A495" s="10"/>
      <c r="B495" s="10"/>
      <c r="C495" s="22"/>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c r="A496" s="10"/>
      <c r="B496" s="10"/>
      <c r="C496" s="22"/>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c r="A497" s="10"/>
      <c r="B497" s="10"/>
      <c r="C497" s="22"/>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c r="A498" s="10"/>
      <c r="B498" s="10"/>
      <c r="C498" s="22"/>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c r="A499" s="10"/>
      <c r="B499" s="10"/>
      <c r="C499" s="22"/>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c r="A500" s="10"/>
      <c r="B500" s="10"/>
      <c r="C500" s="22"/>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c r="A501" s="10"/>
      <c r="B501" s="10"/>
      <c r="C501" s="22"/>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c r="A502" s="10"/>
      <c r="B502" s="10"/>
      <c r="C502" s="22"/>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c r="A503" s="10"/>
      <c r="B503" s="10"/>
      <c r="C503" s="22"/>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c r="A504" s="10"/>
      <c r="B504" s="10"/>
      <c r="C504" s="22"/>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c r="A505" s="10"/>
      <c r="B505" s="10"/>
      <c r="C505" s="22"/>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c r="A506" s="10"/>
      <c r="B506" s="10"/>
      <c r="C506" s="22"/>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c r="A507" s="10"/>
      <c r="B507" s="10"/>
      <c r="C507" s="22"/>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c r="A508" s="10"/>
      <c r="B508" s="10"/>
      <c r="C508" s="22"/>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c r="A509" s="10"/>
      <c r="B509" s="10"/>
      <c r="C509" s="22"/>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c r="A510" s="10"/>
      <c r="B510" s="10"/>
      <c r="C510" s="22"/>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c r="A511" s="10"/>
      <c r="B511" s="10"/>
      <c r="C511" s="22"/>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c r="A512" s="10"/>
      <c r="B512" s="10"/>
      <c r="C512" s="22"/>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c r="A513" s="10"/>
      <c r="B513" s="10"/>
      <c r="C513" s="22"/>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c r="A514" s="10"/>
      <c r="B514" s="10"/>
      <c r="C514" s="22"/>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c r="A515" s="10"/>
      <c r="B515" s="10"/>
      <c r="C515" s="22"/>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c r="A516" s="10"/>
      <c r="B516" s="10"/>
      <c r="C516" s="22"/>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c r="A517" s="10"/>
      <c r="B517" s="10"/>
      <c r="C517" s="22"/>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c r="A518" s="10"/>
      <c r="B518" s="10"/>
      <c r="C518" s="22"/>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c r="A519" s="10"/>
      <c r="B519" s="10"/>
      <c r="C519" s="22"/>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c r="A520" s="10"/>
      <c r="B520" s="10"/>
      <c r="C520" s="22"/>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c r="A521" s="10"/>
      <c r="B521" s="10"/>
      <c r="C521" s="22"/>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c r="A522" s="10"/>
      <c r="B522" s="10"/>
      <c r="C522" s="22"/>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c r="A523" s="10"/>
      <c r="B523" s="10"/>
      <c r="C523" s="22"/>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c r="A524" s="10"/>
      <c r="B524" s="10"/>
      <c r="C524" s="22"/>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c r="A525" s="10"/>
      <c r="B525" s="10"/>
      <c r="C525" s="22"/>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c r="A526" s="10"/>
      <c r="B526" s="10"/>
      <c r="C526" s="22"/>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c r="A527" s="10"/>
      <c r="B527" s="10"/>
      <c r="C527" s="22"/>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c r="A528" s="10"/>
      <c r="B528" s="10"/>
      <c r="C528" s="22"/>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c r="A529" s="10"/>
      <c r="B529" s="10"/>
      <c r="C529" s="22"/>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c r="A530" s="10"/>
      <c r="B530" s="10"/>
      <c r="C530" s="22"/>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c r="A531" s="10"/>
      <c r="B531" s="10"/>
      <c r="C531" s="22"/>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c r="A532" s="10"/>
      <c r="B532" s="10"/>
      <c r="C532" s="22"/>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c r="A533" s="10"/>
      <c r="B533" s="10"/>
      <c r="C533" s="22"/>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c r="A534" s="10"/>
      <c r="B534" s="10"/>
      <c r="C534" s="22"/>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c r="A535" s="10"/>
      <c r="B535" s="10"/>
      <c r="C535" s="22"/>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c r="A536" s="10"/>
      <c r="B536" s="10"/>
      <c r="C536" s="22"/>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c r="A537" s="10"/>
      <c r="B537" s="10"/>
      <c r="C537" s="22"/>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c r="A538" s="10"/>
      <c r="B538" s="10"/>
      <c r="C538" s="22"/>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c r="A539" s="10"/>
      <c r="B539" s="10"/>
      <c r="C539" s="22"/>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c r="A540" s="10"/>
      <c r="B540" s="10"/>
      <c r="C540" s="22"/>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c r="A541" s="10"/>
      <c r="B541" s="10"/>
      <c r="C541" s="22"/>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c r="A542" s="10"/>
      <c r="B542" s="10"/>
      <c r="C542" s="22"/>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c r="A543" s="10"/>
      <c r="B543" s="10"/>
      <c r="C543" s="22"/>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c r="A544" s="10"/>
      <c r="B544" s="10"/>
      <c r="C544" s="22"/>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c r="A545" s="10"/>
      <c r="B545" s="10"/>
      <c r="C545" s="22"/>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c r="A546" s="10"/>
      <c r="B546" s="10"/>
      <c r="C546" s="22"/>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c r="A547" s="10"/>
      <c r="B547" s="10"/>
      <c r="C547" s="22"/>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c r="A548" s="10"/>
      <c r="B548" s="10"/>
      <c r="C548" s="22"/>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c r="A549" s="10"/>
      <c r="B549" s="10"/>
      <c r="C549" s="22"/>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c r="A550" s="10"/>
      <c r="B550" s="10"/>
      <c r="C550" s="22"/>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c r="A551" s="10"/>
      <c r="B551" s="10"/>
      <c r="C551" s="22"/>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c r="A552" s="10"/>
      <c r="B552" s="10"/>
      <c r="C552" s="22"/>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c r="A553" s="10"/>
      <c r="B553" s="10"/>
      <c r="C553" s="22"/>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c r="A554" s="10"/>
      <c r="B554" s="10"/>
      <c r="C554" s="22"/>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c r="A555" s="10"/>
      <c r="B555" s="10"/>
      <c r="C555" s="22"/>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c r="A556" s="10"/>
      <c r="B556" s="10"/>
      <c r="C556" s="22"/>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c r="A557" s="10"/>
      <c r="B557" s="10"/>
      <c r="C557" s="22"/>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c r="A558" s="10"/>
      <c r="B558" s="10"/>
      <c r="C558" s="22"/>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c r="A559" s="10"/>
      <c r="B559" s="10"/>
      <c r="C559" s="22"/>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c r="A560" s="10"/>
      <c r="B560" s="10"/>
      <c r="C560" s="22"/>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c r="A561" s="10"/>
      <c r="B561" s="10"/>
      <c r="C561" s="22"/>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c r="A562" s="10"/>
      <c r="B562" s="10"/>
      <c r="C562" s="22"/>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c r="A563" s="10"/>
      <c r="B563" s="10"/>
      <c r="C563" s="22"/>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c r="A564" s="10"/>
      <c r="B564" s="10"/>
      <c r="C564" s="22"/>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c r="A565" s="10"/>
      <c r="B565" s="10"/>
      <c r="C565" s="22"/>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c r="A566" s="10"/>
      <c r="B566" s="10"/>
      <c r="C566" s="22"/>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c r="A567" s="10"/>
      <c r="B567" s="10"/>
      <c r="C567" s="22"/>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c r="A568" s="10"/>
      <c r="B568" s="10"/>
      <c r="C568" s="22"/>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c r="A569" s="10"/>
      <c r="B569" s="10"/>
      <c r="C569" s="22"/>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c r="A570" s="10"/>
      <c r="B570" s="10"/>
      <c r="C570" s="22"/>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c r="A571" s="10"/>
      <c r="B571" s="10"/>
      <c r="C571" s="22"/>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c r="A572" s="10"/>
      <c r="B572" s="10"/>
      <c r="C572" s="22"/>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c r="A573" s="10"/>
      <c r="B573" s="10"/>
      <c r="C573" s="22"/>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c r="A574" s="10"/>
      <c r="B574" s="10"/>
      <c r="C574" s="22"/>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c r="A575" s="10"/>
      <c r="B575" s="10"/>
      <c r="C575" s="22"/>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c r="A576" s="10"/>
      <c r="B576" s="10"/>
      <c r="C576" s="22"/>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c r="A577" s="10"/>
      <c r="B577" s="10"/>
      <c r="C577" s="22"/>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c r="A578" s="10"/>
      <c r="B578" s="10"/>
      <c r="C578" s="22"/>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c r="A579" s="10"/>
      <c r="B579" s="10"/>
      <c r="C579" s="22"/>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c r="A580" s="10"/>
      <c r="B580" s="10"/>
      <c r="C580" s="22"/>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c r="A581" s="10"/>
      <c r="B581" s="10"/>
      <c r="C581" s="22"/>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c r="A582" s="10"/>
      <c r="B582" s="10"/>
      <c r="C582" s="22"/>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c r="A583" s="10"/>
      <c r="B583" s="10"/>
      <c r="C583" s="22"/>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c r="A584" s="10"/>
      <c r="B584" s="10"/>
      <c r="C584" s="22"/>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c r="A585" s="10"/>
      <c r="B585" s="10"/>
      <c r="C585" s="22"/>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c r="A586" s="10"/>
      <c r="B586" s="10"/>
      <c r="C586" s="22"/>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c r="A587" s="10"/>
      <c r="B587" s="10"/>
      <c r="C587" s="22"/>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c r="A588" s="10"/>
      <c r="B588" s="10"/>
      <c r="C588" s="22"/>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c r="A589" s="10"/>
      <c r="B589" s="10"/>
      <c r="C589" s="22"/>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c r="A590" s="10"/>
      <c r="B590" s="10"/>
      <c r="C590" s="22"/>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c r="A591" s="10"/>
      <c r="B591" s="10"/>
      <c r="C591" s="22"/>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c r="A592" s="10"/>
      <c r="B592" s="10"/>
      <c r="C592" s="22"/>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c r="A593" s="10"/>
      <c r="B593" s="10"/>
      <c r="C593" s="22"/>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c r="A594" s="10"/>
      <c r="B594" s="10"/>
      <c r="C594" s="22"/>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c r="A595" s="10"/>
      <c r="B595" s="10"/>
      <c r="C595" s="22"/>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c r="A596" s="10"/>
      <c r="B596" s="10"/>
      <c r="C596" s="22"/>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c r="A597" s="10"/>
      <c r="B597" s="10"/>
      <c r="C597" s="22"/>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c r="A598" s="10"/>
      <c r="B598" s="10"/>
      <c r="C598" s="22"/>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c r="A599" s="10"/>
      <c r="B599" s="10"/>
      <c r="C599" s="22"/>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c r="A600" s="10"/>
      <c r="B600" s="10"/>
      <c r="C600" s="22"/>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c r="A601" s="10"/>
      <c r="B601" s="10"/>
      <c r="C601" s="22"/>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c r="A602" s="10"/>
      <c r="B602" s="10"/>
      <c r="C602" s="22"/>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c r="A603" s="10"/>
      <c r="B603" s="10"/>
      <c r="C603" s="22"/>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c r="A604" s="10"/>
      <c r="B604" s="10"/>
      <c r="C604" s="22"/>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c r="A605" s="10"/>
      <c r="B605" s="10"/>
      <c r="C605" s="22"/>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c r="A606" s="10"/>
      <c r="B606" s="10"/>
      <c r="C606" s="22"/>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c r="A607" s="10"/>
      <c r="B607" s="10"/>
      <c r="C607" s="22"/>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c r="A608" s="10"/>
      <c r="B608" s="10"/>
      <c r="C608" s="22"/>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c r="A609" s="10"/>
      <c r="B609" s="10"/>
      <c r="C609" s="22"/>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c r="A610" s="10"/>
      <c r="B610" s="10"/>
      <c r="C610" s="22"/>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c r="A611" s="10"/>
      <c r="B611" s="10"/>
      <c r="C611" s="22"/>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c r="A612" s="10"/>
      <c r="B612" s="10"/>
      <c r="C612" s="22"/>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c r="A613" s="10"/>
      <c r="B613" s="10"/>
      <c r="C613" s="22"/>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c r="A614" s="10"/>
      <c r="B614" s="10"/>
      <c r="C614" s="22"/>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c r="A615" s="10"/>
      <c r="B615" s="10"/>
      <c r="C615" s="22"/>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c r="A616" s="10"/>
      <c r="B616" s="10"/>
      <c r="C616" s="22"/>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c r="A617" s="10"/>
      <c r="B617" s="10"/>
      <c r="C617" s="22"/>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c r="A618" s="10"/>
      <c r="B618" s="10"/>
      <c r="C618" s="22"/>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c r="A619" s="10"/>
      <c r="B619" s="10"/>
      <c r="C619" s="22"/>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c r="A620" s="10"/>
      <c r="B620" s="10"/>
      <c r="C620" s="22"/>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c r="A621" s="10"/>
      <c r="B621" s="10"/>
      <c r="C621" s="22"/>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c r="A622" s="10"/>
      <c r="B622" s="10"/>
      <c r="C622" s="22"/>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c r="A623" s="10"/>
      <c r="B623" s="10"/>
      <c r="C623" s="22"/>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c r="A624" s="10"/>
      <c r="B624" s="10"/>
      <c r="C624" s="22"/>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c r="A625" s="10"/>
      <c r="B625" s="10"/>
      <c r="C625" s="22"/>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c r="A626" s="10"/>
      <c r="B626" s="10"/>
      <c r="C626" s="22"/>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c r="A627" s="10"/>
      <c r="B627" s="10"/>
      <c r="C627" s="22"/>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c r="A628" s="10"/>
      <c r="B628" s="10"/>
      <c r="C628" s="22"/>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c r="A629" s="10"/>
      <c r="B629" s="10"/>
      <c r="C629" s="22"/>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c r="A630" s="10"/>
      <c r="B630" s="10"/>
      <c r="C630" s="22"/>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c r="A631" s="10"/>
      <c r="B631" s="10"/>
      <c r="C631" s="22"/>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c r="A632" s="10"/>
      <c r="B632" s="10"/>
      <c r="C632" s="22"/>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c r="A633" s="10"/>
      <c r="B633" s="10"/>
      <c r="C633" s="22"/>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c r="A634" s="10"/>
      <c r="B634" s="10"/>
      <c r="C634" s="22"/>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c r="A635" s="10"/>
      <c r="B635" s="10"/>
      <c r="C635" s="22"/>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c r="A636" s="10"/>
      <c r="B636" s="10"/>
      <c r="C636" s="22"/>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c r="A637" s="10"/>
      <c r="B637" s="10"/>
      <c r="C637" s="22"/>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c r="A638" s="10"/>
      <c r="B638" s="10"/>
      <c r="C638" s="22"/>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c r="A639" s="10"/>
      <c r="B639" s="10"/>
      <c r="C639" s="22"/>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c r="A640" s="10"/>
      <c r="B640" s="10"/>
      <c r="C640" s="22"/>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c r="A641" s="10"/>
      <c r="B641" s="10"/>
      <c r="C641" s="22"/>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c r="A642" s="10"/>
      <c r="B642" s="10"/>
      <c r="C642" s="22"/>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c r="A643" s="10"/>
      <c r="B643" s="10"/>
      <c r="C643" s="22"/>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c r="A644" s="10"/>
      <c r="B644" s="10"/>
      <c r="C644" s="22"/>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c r="A645" s="10"/>
      <c r="B645" s="10"/>
      <c r="C645" s="22"/>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c r="A646" s="10"/>
      <c r="B646" s="10"/>
      <c r="C646" s="22"/>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c r="A647" s="10"/>
      <c r="B647" s="10"/>
      <c r="C647" s="22"/>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c r="A648" s="10"/>
      <c r="B648" s="10"/>
      <c r="C648" s="22"/>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c r="A649" s="10"/>
      <c r="B649" s="10"/>
      <c r="C649" s="22"/>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c r="A650" s="10"/>
      <c r="B650" s="10"/>
      <c r="C650" s="22"/>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c r="A651" s="10"/>
      <c r="B651" s="10"/>
      <c r="C651" s="22"/>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c r="A652" s="10"/>
      <c r="B652" s="10"/>
      <c r="C652" s="22"/>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c r="A653" s="10"/>
      <c r="B653" s="10"/>
      <c r="C653" s="22"/>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c r="A654" s="10"/>
      <c r="B654" s="10"/>
      <c r="C654" s="22"/>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c r="A655" s="10"/>
      <c r="B655" s="10"/>
      <c r="C655" s="22"/>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c r="A656" s="10"/>
      <c r="B656" s="10"/>
      <c r="C656" s="22"/>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c r="A657" s="10"/>
      <c r="B657" s="10"/>
      <c r="C657" s="22"/>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c r="A658" s="10"/>
      <c r="B658" s="10"/>
      <c r="C658" s="22"/>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c r="A659" s="10"/>
      <c r="B659" s="10"/>
      <c r="C659" s="22"/>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c r="A660" s="10"/>
      <c r="B660" s="10"/>
      <c r="C660" s="22"/>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c r="A661" s="10"/>
      <c r="B661" s="10"/>
      <c r="C661" s="22"/>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c r="A662" s="10"/>
      <c r="B662" s="10"/>
      <c r="C662" s="22"/>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c r="A663" s="10"/>
      <c r="B663" s="10"/>
      <c r="C663" s="22"/>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c r="A664" s="10"/>
      <c r="B664" s="10"/>
      <c r="C664" s="22"/>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c r="A665" s="10"/>
      <c r="B665" s="10"/>
      <c r="C665" s="22"/>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c r="A666" s="10"/>
      <c r="B666" s="10"/>
      <c r="C666" s="22"/>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c r="A667" s="10"/>
      <c r="B667" s="10"/>
      <c r="C667" s="22"/>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c r="A668" s="10"/>
      <c r="B668" s="10"/>
      <c r="C668" s="22"/>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c r="A669" s="10"/>
      <c r="B669" s="10"/>
      <c r="C669" s="22"/>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c r="A670" s="10"/>
      <c r="B670" s="10"/>
      <c r="C670" s="22"/>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c r="A671" s="10"/>
      <c r="B671" s="10"/>
      <c r="C671" s="22"/>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c r="A672" s="10"/>
      <c r="B672" s="10"/>
      <c r="C672" s="22"/>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c r="A673" s="10"/>
      <c r="B673" s="10"/>
      <c r="C673" s="22"/>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c r="A674" s="10"/>
      <c r="B674" s="10"/>
      <c r="C674" s="22"/>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c r="A675" s="10"/>
      <c r="B675" s="10"/>
      <c r="C675" s="22"/>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c r="A676" s="10"/>
      <c r="B676" s="10"/>
      <c r="C676" s="22"/>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c r="A677" s="10"/>
      <c r="B677" s="10"/>
      <c r="C677" s="22"/>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c r="A678" s="10"/>
      <c r="B678" s="10"/>
      <c r="C678" s="22"/>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c r="A679" s="10"/>
      <c r="B679" s="10"/>
      <c r="C679" s="22"/>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c r="A680" s="10"/>
      <c r="B680" s="10"/>
      <c r="C680" s="22"/>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c r="A681" s="10"/>
      <c r="B681" s="10"/>
      <c r="C681" s="22"/>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c r="A682" s="10"/>
      <c r="B682" s="10"/>
      <c r="C682" s="22"/>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c r="A683" s="10"/>
      <c r="B683" s="10"/>
      <c r="C683" s="22"/>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c r="A684" s="10"/>
      <c r="B684" s="10"/>
      <c r="C684" s="22"/>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c r="A685" s="10"/>
      <c r="B685" s="10"/>
      <c r="C685" s="22"/>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c r="A686" s="10"/>
      <c r="B686" s="10"/>
      <c r="C686" s="22"/>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c r="A687" s="10"/>
      <c r="B687" s="10"/>
      <c r="C687" s="22"/>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c r="A688" s="10"/>
      <c r="B688" s="10"/>
      <c r="C688" s="22"/>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c r="A689" s="10"/>
      <c r="B689" s="10"/>
      <c r="C689" s="22"/>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c r="A690" s="10"/>
      <c r="B690" s="10"/>
      <c r="C690" s="22"/>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c r="A691" s="10"/>
      <c r="B691" s="10"/>
      <c r="C691" s="22"/>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c r="A692" s="10"/>
      <c r="B692" s="10"/>
      <c r="C692" s="22"/>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c r="A693" s="10"/>
      <c r="B693" s="10"/>
      <c r="C693" s="22"/>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c r="A694" s="10"/>
      <c r="B694" s="10"/>
      <c r="C694" s="22"/>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c r="A695" s="10"/>
      <c r="B695" s="10"/>
      <c r="C695" s="22"/>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c r="A696" s="10"/>
      <c r="B696" s="10"/>
      <c r="C696" s="22"/>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c r="A697" s="10"/>
      <c r="B697" s="10"/>
      <c r="C697" s="22"/>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c r="A698" s="10"/>
      <c r="B698" s="10"/>
      <c r="C698" s="22"/>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c r="A699" s="10"/>
      <c r="B699" s="10"/>
      <c r="C699" s="22"/>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c r="A700" s="10"/>
      <c r="B700" s="10"/>
      <c r="C700" s="22"/>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c r="A701" s="10"/>
      <c r="B701" s="10"/>
      <c r="C701" s="22"/>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c r="A702" s="10"/>
      <c r="B702" s="10"/>
      <c r="C702" s="22"/>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c r="A703" s="10"/>
      <c r="B703" s="10"/>
      <c r="C703" s="22"/>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c r="A704" s="10"/>
      <c r="B704" s="10"/>
      <c r="C704" s="22"/>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c r="A705" s="10"/>
      <c r="B705" s="10"/>
      <c r="C705" s="22"/>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c r="A706" s="10"/>
      <c r="B706" s="10"/>
      <c r="C706" s="22"/>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c r="A707" s="10"/>
      <c r="B707" s="10"/>
      <c r="C707" s="22"/>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c r="A708" s="10"/>
      <c r="B708" s="10"/>
      <c r="C708" s="22"/>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c r="A709" s="10"/>
      <c r="B709" s="10"/>
      <c r="C709" s="22"/>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c r="A710" s="10"/>
      <c r="B710" s="10"/>
      <c r="C710" s="22"/>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c r="A711" s="10"/>
      <c r="B711" s="10"/>
      <c r="C711" s="22"/>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c r="A712" s="10"/>
      <c r="B712" s="10"/>
      <c r="C712" s="22"/>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c r="A713" s="10"/>
      <c r="B713" s="10"/>
      <c r="C713" s="22"/>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c r="A714" s="10"/>
      <c r="B714" s="10"/>
      <c r="C714" s="22"/>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c r="A715" s="10"/>
      <c r="B715" s="10"/>
      <c r="C715" s="22"/>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c r="A716" s="10"/>
      <c r="B716" s="10"/>
      <c r="C716" s="22"/>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c r="A717" s="10"/>
      <c r="B717" s="10"/>
      <c r="C717" s="22"/>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c r="A718" s="10"/>
      <c r="B718" s="10"/>
      <c r="C718" s="22"/>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c r="A719" s="10"/>
      <c r="B719" s="10"/>
      <c r="C719" s="22"/>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c r="A720" s="10"/>
      <c r="B720" s="10"/>
      <c r="C720" s="22"/>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c r="A721" s="10"/>
      <c r="B721" s="10"/>
      <c r="C721" s="22"/>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c r="A722" s="10"/>
      <c r="B722" s="10"/>
      <c r="C722" s="22"/>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c r="A723" s="10"/>
      <c r="B723" s="10"/>
      <c r="C723" s="22"/>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c r="A724" s="10"/>
      <c r="B724" s="10"/>
      <c r="C724" s="22"/>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c r="A725" s="10"/>
      <c r="B725" s="10"/>
      <c r="C725" s="22"/>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c r="A726" s="10"/>
      <c r="B726" s="10"/>
      <c r="C726" s="22"/>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c r="A727" s="10"/>
      <c r="B727" s="10"/>
      <c r="C727" s="22"/>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c r="A728" s="10"/>
      <c r="B728" s="10"/>
      <c r="C728" s="22"/>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c r="A729" s="10"/>
      <c r="B729" s="10"/>
      <c r="C729" s="22"/>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c r="A730" s="10"/>
      <c r="B730" s="10"/>
      <c r="C730" s="22"/>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c r="A731" s="10"/>
      <c r="B731" s="10"/>
      <c r="C731" s="22"/>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c r="A732" s="10"/>
      <c r="B732" s="10"/>
      <c r="C732" s="22"/>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c r="A733" s="10"/>
      <c r="B733" s="10"/>
      <c r="C733" s="22"/>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c r="A734" s="10"/>
      <c r="B734" s="10"/>
      <c r="C734" s="22"/>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c r="A735" s="10"/>
      <c r="B735" s="10"/>
      <c r="C735" s="22"/>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c r="A736" s="10"/>
      <c r="B736" s="10"/>
      <c r="C736" s="22"/>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c r="A737" s="10"/>
      <c r="B737" s="10"/>
      <c r="C737" s="22"/>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c r="A738" s="10"/>
      <c r="B738" s="10"/>
      <c r="C738" s="22"/>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c r="A739" s="10"/>
      <c r="B739" s="10"/>
      <c r="C739" s="22"/>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c r="A740" s="10"/>
      <c r="B740" s="10"/>
      <c r="C740" s="22"/>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c r="A741" s="10"/>
      <c r="B741" s="10"/>
      <c r="C741" s="22"/>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c r="A742" s="10"/>
      <c r="B742" s="10"/>
      <c r="C742" s="22"/>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c r="A743" s="10"/>
      <c r="B743" s="10"/>
      <c r="C743" s="22"/>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c r="A744" s="10"/>
      <c r="B744" s="10"/>
      <c r="C744" s="22"/>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c r="A745" s="10"/>
      <c r="B745" s="10"/>
      <c r="C745" s="22"/>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c r="A746" s="10"/>
      <c r="B746" s="10"/>
      <c r="C746" s="22"/>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c r="A747" s="10"/>
      <c r="B747" s="10"/>
      <c r="C747" s="22"/>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c r="A748" s="10"/>
      <c r="B748" s="10"/>
      <c r="C748" s="22"/>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c r="A749" s="10"/>
      <c r="B749" s="10"/>
      <c r="C749" s="22"/>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c r="A750" s="10"/>
      <c r="B750" s="10"/>
      <c r="C750" s="22"/>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c r="A751" s="10"/>
      <c r="B751" s="10"/>
      <c r="C751" s="22"/>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c r="A752" s="10"/>
      <c r="B752" s="10"/>
      <c r="C752" s="22"/>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c r="A753" s="10"/>
      <c r="B753" s="10"/>
      <c r="C753" s="22"/>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c r="A754" s="10"/>
      <c r="B754" s="10"/>
      <c r="C754" s="22"/>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c r="A755" s="10"/>
      <c r="B755" s="10"/>
      <c r="C755" s="22"/>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c r="A756" s="10"/>
      <c r="B756" s="10"/>
      <c r="C756" s="22"/>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c r="A757" s="10"/>
      <c r="B757" s="10"/>
      <c r="C757" s="22"/>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c r="A758" s="10"/>
      <c r="B758" s="10"/>
      <c r="C758" s="22"/>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c r="A759" s="10"/>
      <c r="B759" s="10"/>
      <c r="C759" s="22"/>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c r="A760" s="10"/>
      <c r="B760" s="10"/>
      <c r="C760" s="22"/>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c r="A761" s="10"/>
      <c r="B761" s="10"/>
      <c r="C761" s="22"/>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c r="A762" s="10"/>
      <c r="B762" s="10"/>
      <c r="C762" s="22"/>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c r="A763" s="10"/>
      <c r="B763" s="10"/>
      <c r="C763" s="22"/>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c r="A764" s="10"/>
      <c r="B764" s="10"/>
      <c r="C764" s="22"/>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c r="A765" s="10"/>
      <c r="B765" s="10"/>
      <c r="C765" s="22"/>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c r="A766" s="10"/>
      <c r="B766" s="10"/>
      <c r="C766" s="22"/>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c r="A767" s="10"/>
      <c r="B767" s="10"/>
      <c r="C767" s="22"/>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c r="A768" s="10"/>
      <c r="B768" s="10"/>
      <c r="C768" s="22"/>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c r="A769" s="10"/>
      <c r="B769" s="10"/>
      <c r="C769" s="22"/>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c r="A770" s="10"/>
      <c r="B770" s="10"/>
      <c r="C770" s="22"/>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c r="A771" s="10"/>
      <c r="B771" s="10"/>
      <c r="C771" s="22"/>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c r="A772" s="10"/>
      <c r="B772" s="10"/>
      <c r="C772" s="22"/>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c r="A773" s="10"/>
      <c r="B773" s="10"/>
      <c r="C773" s="22"/>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c r="A774" s="10"/>
      <c r="B774" s="10"/>
      <c r="C774" s="22"/>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c r="A775" s="10"/>
      <c r="B775" s="10"/>
      <c r="C775" s="22"/>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c r="A776" s="10"/>
      <c r="B776" s="10"/>
      <c r="C776" s="22"/>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c r="A777" s="10"/>
      <c r="B777" s="10"/>
      <c r="C777" s="22"/>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c r="A778" s="10"/>
      <c r="B778" s="10"/>
      <c r="C778" s="22"/>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c r="A779" s="10"/>
      <c r="B779" s="10"/>
      <c r="C779" s="22"/>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c r="A780" s="10"/>
      <c r="B780" s="10"/>
      <c r="C780" s="22"/>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c r="A781" s="10"/>
      <c r="B781" s="10"/>
      <c r="C781" s="22"/>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c r="A782" s="10"/>
      <c r="B782" s="10"/>
      <c r="C782" s="22"/>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c r="A783" s="10"/>
      <c r="B783" s="10"/>
      <c r="C783" s="22"/>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c r="A784" s="10"/>
      <c r="B784" s="10"/>
      <c r="C784" s="22"/>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c r="A785" s="10"/>
      <c r="B785" s="10"/>
      <c r="C785" s="22"/>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c r="A786" s="10"/>
      <c r="B786" s="10"/>
      <c r="C786" s="22"/>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c r="A787" s="10"/>
      <c r="B787" s="10"/>
      <c r="C787" s="22"/>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c r="A788" s="10"/>
      <c r="B788" s="10"/>
      <c r="C788" s="22"/>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c r="A789" s="10"/>
      <c r="B789" s="10"/>
      <c r="C789" s="22"/>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c r="A790" s="10"/>
      <c r="B790" s="10"/>
      <c r="C790" s="22"/>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c r="A791" s="10"/>
      <c r="B791" s="10"/>
      <c r="C791" s="22"/>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c r="A792" s="10"/>
      <c r="B792" s="10"/>
      <c r="C792" s="22"/>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c r="A793" s="10"/>
      <c r="B793" s="10"/>
      <c r="C793" s="22"/>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c r="A794" s="10"/>
      <c r="B794" s="10"/>
      <c r="C794" s="22"/>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c r="A795" s="10"/>
      <c r="B795" s="10"/>
      <c r="C795" s="22"/>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c r="A796" s="10"/>
      <c r="B796" s="10"/>
      <c r="C796" s="22"/>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c r="A797" s="10"/>
      <c r="B797" s="10"/>
      <c r="C797" s="22"/>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c r="A798" s="10"/>
      <c r="B798" s="10"/>
      <c r="C798" s="22"/>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c r="A799" s="10"/>
      <c r="B799" s="10"/>
      <c r="C799" s="22"/>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c r="A800" s="10"/>
      <c r="B800" s="10"/>
      <c r="C800" s="22"/>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c r="A801" s="10"/>
      <c r="B801" s="10"/>
      <c r="C801" s="22"/>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c r="A802" s="10"/>
      <c r="B802" s="10"/>
      <c r="C802" s="22"/>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c r="A803" s="10"/>
      <c r="B803" s="10"/>
      <c r="C803" s="22"/>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c r="A804" s="10"/>
      <c r="B804" s="10"/>
      <c r="C804" s="22"/>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c r="A805" s="10"/>
      <c r="B805" s="10"/>
      <c r="C805" s="22"/>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c r="A806" s="10"/>
      <c r="B806" s="10"/>
      <c r="C806" s="22"/>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c r="A807" s="10"/>
      <c r="B807" s="10"/>
      <c r="C807" s="22"/>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c r="A808" s="10"/>
      <c r="B808" s="10"/>
      <c r="C808" s="22"/>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c r="A809" s="10"/>
      <c r="B809" s="10"/>
      <c r="C809" s="22"/>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c r="A810" s="10"/>
      <c r="B810" s="10"/>
      <c r="C810" s="22"/>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c r="A811" s="10"/>
      <c r="B811" s="10"/>
      <c r="C811" s="22"/>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c r="A812" s="10"/>
      <c r="B812" s="10"/>
      <c r="C812" s="22"/>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c r="A813" s="10"/>
      <c r="B813" s="10"/>
      <c r="C813" s="22"/>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c r="A814" s="10"/>
      <c r="B814" s="10"/>
      <c r="C814" s="22"/>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c r="A815" s="10"/>
      <c r="B815" s="10"/>
      <c r="C815" s="22"/>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c r="A816" s="10"/>
      <c r="B816" s="10"/>
      <c r="C816" s="22"/>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c r="A817" s="10"/>
      <c r="B817" s="10"/>
      <c r="C817" s="22"/>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c r="A818" s="10"/>
      <c r="B818" s="10"/>
      <c r="C818" s="22"/>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c r="A819" s="10"/>
      <c r="B819" s="10"/>
      <c r="C819" s="22"/>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c r="A820" s="10"/>
      <c r="B820" s="10"/>
      <c r="C820" s="22"/>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c r="A821" s="10"/>
      <c r="B821" s="10"/>
      <c r="C821" s="22"/>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c r="A822" s="10"/>
      <c r="B822" s="10"/>
      <c r="C822" s="22"/>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c r="A823" s="10"/>
      <c r="B823" s="10"/>
      <c r="C823" s="22"/>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c r="A824" s="10"/>
      <c r="B824" s="10"/>
      <c r="C824" s="22"/>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c r="A825" s="10"/>
      <c r="B825" s="10"/>
      <c r="C825" s="22"/>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c r="A826" s="10"/>
      <c r="B826" s="10"/>
      <c r="C826" s="22"/>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c r="A827" s="10"/>
      <c r="B827" s="10"/>
      <c r="C827" s="22"/>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c r="A828" s="10"/>
      <c r="B828" s="10"/>
      <c r="C828" s="22"/>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c r="A829" s="10"/>
      <c r="B829" s="10"/>
      <c r="C829" s="22"/>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c r="A830" s="10"/>
      <c r="B830" s="10"/>
      <c r="C830" s="22"/>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c r="A831" s="10"/>
      <c r="B831" s="10"/>
      <c r="C831" s="22"/>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c r="A832" s="10"/>
      <c r="B832" s="10"/>
      <c r="C832" s="22"/>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c r="A833" s="10"/>
      <c r="B833" s="10"/>
      <c r="C833" s="22"/>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c r="A834" s="10"/>
      <c r="B834" s="10"/>
      <c r="C834" s="22"/>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c r="A835" s="10"/>
      <c r="B835" s="10"/>
      <c r="C835" s="22"/>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c r="A836" s="10"/>
      <c r="B836" s="10"/>
      <c r="C836" s="22"/>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c r="A837" s="10"/>
      <c r="B837" s="10"/>
      <c r="C837" s="22"/>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c r="A838" s="10"/>
      <c r="B838" s="10"/>
      <c r="C838" s="22"/>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c r="A839" s="10"/>
      <c r="B839" s="10"/>
      <c r="C839" s="22"/>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c r="A840" s="10"/>
      <c r="B840" s="10"/>
      <c r="C840" s="22"/>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c r="A841" s="10"/>
      <c r="B841" s="10"/>
      <c r="C841" s="22"/>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c r="A842" s="10"/>
      <c r="B842" s="10"/>
      <c r="C842" s="22"/>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c r="A843" s="10"/>
      <c r="B843" s="10"/>
      <c r="C843" s="22"/>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c r="A844" s="10"/>
      <c r="B844" s="10"/>
      <c r="C844" s="22"/>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c r="A845" s="10"/>
      <c r="B845" s="10"/>
      <c r="C845" s="22"/>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c r="A846" s="10"/>
      <c r="B846" s="10"/>
      <c r="C846" s="22"/>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c r="A847" s="10"/>
      <c r="B847" s="10"/>
      <c r="C847" s="22"/>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c r="A848" s="10"/>
      <c r="B848" s="10"/>
      <c r="C848" s="22"/>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c r="A849" s="10"/>
      <c r="B849" s="10"/>
      <c r="C849" s="22"/>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c r="A850" s="10"/>
      <c r="B850" s="10"/>
      <c r="C850" s="22"/>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c r="A851" s="10"/>
      <c r="B851" s="10"/>
      <c r="C851" s="22"/>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c r="A852" s="10"/>
      <c r="B852" s="10"/>
      <c r="C852" s="22"/>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c r="A853" s="10"/>
      <c r="B853" s="10"/>
      <c r="C853" s="22"/>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c r="A854" s="10"/>
      <c r="B854" s="10"/>
      <c r="C854" s="22"/>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c r="A855" s="10"/>
      <c r="B855" s="10"/>
      <c r="C855" s="22"/>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c r="A856" s="10"/>
      <c r="B856" s="10"/>
      <c r="C856" s="22"/>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c r="A857" s="10"/>
      <c r="B857" s="10"/>
      <c r="C857" s="22"/>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c r="A858" s="10"/>
      <c r="B858" s="10"/>
      <c r="C858" s="22"/>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c r="A859" s="10"/>
      <c r="B859" s="10"/>
      <c r="C859" s="22"/>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c r="A860" s="10"/>
      <c r="B860" s="10"/>
      <c r="C860" s="22"/>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c r="A861" s="10"/>
      <c r="B861" s="10"/>
      <c r="C861" s="22"/>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c r="A862" s="10"/>
      <c r="B862" s="10"/>
      <c r="C862" s="22"/>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c r="A863" s="10"/>
      <c r="B863" s="10"/>
      <c r="C863" s="22"/>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c r="A864" s="10"/>
      <c r="B864" s="10"/>
      <c r="C864" s="22"/>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c r="A865" s="10"/>
      <c r="B865" s="10"/>
      <c r="C865" s="22"/>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c r="A866" s="10"/>
      <c r="B866" s="10"/>
      <c r="C866" s="22"/>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c r="A867" s="10"/>
      <c r="B867" s="10"/>
      <c r="C867" s="22"/>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c r="A868" s="10"/>
      <c r="B868" s="10"/>
      <c r="C868" s="22"/>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c r="A869" s="10"/>
      <c r="B869" s="10"/>
      <c r="C869" s="22"/>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c r="A870" s="10"/>
      <c r="B870" s="10"/>
      <c r="C870" s="22"/>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c r="A871" s="10"/>
      <c r="B871" s="10"/>
      <c r="C871" s="22"/>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c r="A872" s="10"/>
      <c r="B872" s="10"/>
      <c r="C872" s="22"/>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c r="A873" s="10"/>
      <c r="B873" s="10"/>
      <c r="C873" s="22"/>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c r="A874" s="10"/>
      <c r="B874" s="10"/>
      <c r="C874" s="22"/>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c r="A875" s="10"/>
      <c r="B875" s="10"/>
      <c r="C875" s="22"/>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c r="A876" s="10"/>
      <c r="B876" s="10"/>
      <c r="C876" s="22"/>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c r="A877" s="10"/>
      <c r="B877" s="10"/>
      <c r="C877" s="22"/>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c r="A878" s="10"/>
      <c r="B878" s="10"/>
      <c r="C878" s="22"/>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c r="A879" s="10"/>
      <c r="B879" s="10"/>
      <c r="C879" s="22"/>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c r="A880" s="10"/>
      <c r="B880" s="10"/>
      <c r="C880" s="22"/>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c r="A881" s="10"/>
      <c r="B881" s="10"/>
      <c r="C881" s="22"/>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c r="A882" s="10"/>
      <c r="B882" s="10"/>
      <c r="C882" s="22"/>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c r="A883" s="10"/>
      <c r="B883" s="10"/>
      <c r="C883" s="22"/>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c r="A884" s="10"/>
      <c r="B884" s="10"/>
      <c r="C884" s="22"/>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c r="A885" s="10"/>
      <c r="B885" s="10"/>
      <c r="C885" s="22"/>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c r="A886" s="10"/>
      <c r="B886" s="10"/>
      <c r="C886" s="22"/>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c r="A887" s="10"/>
      <c r="B887" s="10"/>
      <c r="C887" s="22"/>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c r="A888" s="10"/>
      <c r="B888" s="10"/>
      <c r="C888" s="22"/>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c r="A889" s="10"/>
      <c r="B889" s="10"/>
      <c r="C889" s="22"/>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c r="A890" s="10"/>
      <c r="B890" s="10"/>
      <c r="C890" s="22"/>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c r="A891" s="10"/>
      <c r="B891" s="10"/>
      <c r="C891" s="22"/>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c r="A892" s="10"/>
      <c r="B892" s="10"/>
      <c r="C892" s="22"/>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c r="A893" s="10"/>
      <c r="B893" s="10"/>
      <c r="C893" s="22"/>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c r="A894" s="10"/>
      <c r="B894" s="10"/>
      <c r="C894" s="22"/>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c r="A895" s="10"/>
      <c r="B895" s="10"/>
      <c r="C895" s="22"/>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c r="A896" s="10"/>
      <c r="B896" s="10"/>
      <c r="C896" s="22"/>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c r="A897" s="10"/>
      <c r="B897" s="10"/>
      <c r="C897" s="22"/>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c r="A898" s="10"/>
      <c r="B898" s="10"/>
      <c r="C898" s="22"/>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c r="A899" s="10"/>
      <c r="B899" s="10"/>
      <c r="C899" s="22"/>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c r="A900" s="10"/>
      <c r="B900" s="10"/>
      <c r="C900" s="22"/>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c r="A901" s="10"/>
      <c r="B901" s="10"/>
      <c r="C901" s="22"/>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c r="A902" s="10"/>
      <c r="B902" s="10"/>
      <c r="C902" s="22"/>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c r="A903" s="10"/>
      <c r="B903" s="10"/>
      <c r="C903" s="22"/>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c r="A904" s="10"/>
      <c r="B904" s="10"/>
      <c r="C904" s="22"/>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c r="A905" s="10"/>
      <c r="B905" s="10"/>
      <c r="C905" s="22"/>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c r="A906" s="10"/>
      <c r="B906" s="10"/>
      <c r="C906" s="22"/>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c r="A907" s="10"/>
      <c r="B907" s="10"/>
      <c r="C907" s="22"/>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c r="A908" s="10"/>
      <c r="B908" s="10"/>
      <c r="C908" s="22"/>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c r="A909" s="10"/>
      <c r="B909" s="10"/>
      <c r="C909" s="22"/>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c r="A910" s="10"/>
      <c r="B910" s="10"/>
      <c r="C910" s="22"/>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c r="A911" s="10"/>
      <c r="B911" s="10"/>
      <c r="C911" s="22"/>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c r="A912" s="10"/>
      <c r="B912" s="10"/>
      <c r="C912" s="22"/>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c r="A913" s="10"/>
      <c r="B913" s="10"/>
      <c r="C913" s="22"/>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c r="A914" s="10"/>
      <c r="B914" s="10"/>
      <c r="C914" s="22"/>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c r="A915" s="10"/>
      <c r="B915" s="10"/>
      <c r="C915" s="22"/>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c r="A916" s="10"/>
      <c r="B916" s="10"/>
      <c r="C916" s="22"/>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c r="A917" s="10"/>
      <c r="B917" s="10"/>
      <c r="C917" s="22"/>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c r="A918" s="10"/>
      <c r="B918" s="10"/>
      <c r="C918" s="22"/>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c r="A919" s="10"/>
      <c r="B919" s="10"/>
      <c r="C919" s="22"/>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c r="A920" s="10"/>
      <c r="B920" s="10"/>
      <c r="C920" s="22"/>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c r="A921" s="10"/>
      <c r="B921" s="10"/>
      <c r="C921" s="22"/>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c r="A922" s="10"/>
      <c r="B922" s="10"/>
      <c r="C922" s="22"/>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c r="A923" s="10"/>
      <c r="B923" s="10"/>
      <c r="C923" s="22"/>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c r="A924" s="10"/>
      <c r="B924" s="10"/>
      <c r="C924" s="22"/>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c r="A925" s="10"/>
      <c r="B925" s="10"/>
      <c r="C925" s="22"/>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c r="A926" s="10"/>
      <c r="B926" s="10"/>
      <c r="C926" s="22"/>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c r="A927" s="10"/>
      <c r="B927" s="10"/>
      <c r="C927" s="22"/>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c r="A928" s="10"/>
      <c r="B928" s="10"/>
      <c r="C928" s="22"/>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c r="A929" s="10"/>
      <c r="B929" s="10"/>
      <c r="C929" s="22"/>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c r="A930" s="10"/>
      <c r="B930" s="10"/>
      <c r="C930" s="22"/>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c r="A931" s="10"/>
      <c r="B931" s="10"/>
      <c r="C931" s="22"/>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c r="A932" s="10"/>
      <c r="B932" s="10"/>
      <c r="C932" s="22"/>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c r="A933" s="10"/>
      <c r="B933" s="10"/>
      <c r="C933" s="22"/>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c r="A934" s="10"/>
      <c r="B934" s="10"/>
      <c r="C934" s="22"/>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c r="A935" s="10"/>
      <c r="B935" s="10"/>
      <c r="C935" s="22"/>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c r="A936" s="10"/>
      <c r="B936" s="10"/>
      <c r="C936" s="22"/>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c r="A937" s="10"/>
      <c r="B937" s="10"/>
      <c r="C937" s="22"/>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c r="A938" s="10"/>
      <c r="B938" s="10"/>
      <c r="C938" s="22"/>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c r="A939" s="10"/>
      <c r="B939" s="10"/>
      <c r="C939" s="22"/>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c r="A940" s="10"/>
      <c r="B940" s="10"/>
      <c r="C940" s="22"/>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c r="A941" s="10"/>
      <c r="B941" s="10"/>
      <c r="C941" s="22"/>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c r="A942" s="10"/>
      <c r="B942" s="10"/>
      <c r="C942" s="22"/>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c r="A943" s="10"/>
      <c r="B943" s="10"/>
      <c r="C943" s="22"/>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c r="A944" s="10"/>
      <c r="B944" s="10"/>
      <c r="C944" s="22"/>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c r="A945" s="10"/>
      <c r="B945" s="10"/>
      <c r="C945" s="22"/>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c r="A946" s="10"/>
      <c r="B946" s="10"/>
      <c r="C946" s="22"/>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c r="A947" s="10"/>
      <c r="B947" s="10"/>
      <c r="C947" s="22"/>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c r="A948" s="10"/>
      <c r="B948" s="10"/>
      <c r="C948" s="22"/>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c r="A949" s="10"/>
      <c r="B949" s="10"/>
      <c r="C949" s="22"/>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c r="A950" s="10"/>
      <c r="B950" s="10"/>
      <c r="C950" s="22"/>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c r="A951" s="10"/>
      <c r="B951" s="10"/>
      <c r="C951" s="22"/>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c r="A952" s="10"/>
      <c r="B952" s="10"/>
      <c r="C952" s="22"/>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c r="A953" s="10"/>
      <c r="B953" s="10"/>
      <c r="C953" s="22"/>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c r="A954" s="10"/>
      <c r="B954" s="10"/>
      <c r="C954" s="22"/>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c r="A955" s="10"/>
      <c r="B955" s="10"/>
      <c r="C955" s="22"/>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c r="A956" s="10"/>
      <c r="B956" s="10"/>
      <c r="C956" s="22"/>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c r="A957" s="10"/>
      <c r="B957" s="10"/>
      <c r="C957" s="22"/>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c r="A958" s="10"/>
      <c r="B958" s="10"/>
      <c r="C958" s="22"/>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c r="A959" s="10"/>
      <c r="B959" s="10"/>
      <c r="C959" s="22"/>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c r="A960" s="10"/>
      <c r="B960" s="10"/>
      <c r="C960" s="22"/>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c r="A961" s="10"/>
      <c r="B961" s="10"/>
      <c r="C961" s="22"/>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c r="A962" s="10"/>
      <c r="B962" s="10"/>
      <c r="C962" s="22"/>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c r="A963" s="10"/>
      <c r="B963" s="10"/>
      <c r="C963" s="22"/>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c r="A964" s="10"/>
      <c r="B964" s="10"/>
      <c r="C964" s="22"/>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c r="A965" s="10"/>
      <c r="B965" s="10"/>
      <c r="C965" s="22"/>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c r="A966" s="10"/>
      <c r="B966" s="10"/>
      <c r="C966" s="22"/>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c r="A967" s="10"/>
      <c r="B967" s="10"/>
      <c r="C967" s="22"/>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c r="A968" s="10"/>
      <c r="B968" s="10"/>
      <c r="C968" s="22"/>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c r="A969" s="10"/>
      <c r="B969" s="10"/>
      <c r="C969" s="22"/>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c r="A970" s="10"/>
      <c r="B970" s="10"/>
      <c r="C970" s="22"/>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c r="A971" s="10"/>
      <c r="B971" s="10"/>
      <c r="C971" s="22"/>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c r="A972" s="10"/>
      <c r="B972" s="10"/>
      <c r="C972" s="22"/>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c r="A973" s="10"/>
      <c r="B973" s="10"/>
      <c r="C973" s="22"/>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c r="A974" s="10"/>
      <c r="B974" s="10"/>
      <c r="C974" s="22"/>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c r="A975" s="10"/>
      <c r="B975" s="10"/>
      <c r="C975" s="22"/>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c r="A976" s="10"/>
      <c r="B976" s="10"/>
      <c r="C976" s="22"/>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c r="A977" s="10"/>
      <c r="B977" s="10"/>
      <c r="C977" s="22"/>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c r="A978" s="10"/>
      <c r="B978" s="10"/>
      <c r="C978" s="22"/>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c r="A979" s="10"/>
      <c r="B979" s="10"/>
      <c r="C979" s="22"/>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c r="A980" s="10"/>
      <c r="B980" s="10"/>
      <c r="C980" s="22"/>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c r="A981" s="10"/>
      <c r="B981" s="10"/>
      <c r="C981" s="22"/>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c r="A982" s="10"/>
      <c r="B982" s="10"/>
      <c r="C982" s="22"/>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c r="A983" s="10"/>
      <c r="B983" s="10"/>
      <c r="C983" s="22"/>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c r="A984" s="10"/>
      <c r="B984" s="10"/>
      <c r="C984" s="22"/>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c r="A985" s="10"/>
      <c r="B985" s="10"/>
      <c r="C985" s="22"/>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c r="A986" s="10"/>
      <c r="B986" s="10"/>
      <c r="C986" s="22"/>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c r="A987" s="10"/>
      <c r="B987" s="10"/>
      <c r="C987" s="22"/>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c r="A988" s="10"/>
      <c r="B988" s="10"/>
      <c r="C988" s="22"/>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c r="A989" s="10"/>
      <c r="B989" s="10"/>
      <c r="C989" s="22"/>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c r="A990" s="10"/>
      <c r="B990" s="10"/>
      <c r="C990" s="22"/>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c r="A991" s="10"/>
      <c r="B991" s="10"/>
      <c r="C991" s="22"/>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c r="A992" s="10"/>
      <c r="B992" s="10"/>
      <c r="C992" s="22"/>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c r="A993" s="10"/>
      <c r="B993" s="10"/>
      <c r="C993" s="22"/>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c r="A994" s="10"/>
      <c r="B994" s="10"/>
      <c r="C994" s="22"/>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c r="A995" s="10"/>
      <c r="B995" s="10"/>
      <c r="C995" s="22"/>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c r="A996" s="10"/>
      <c r="B996" s="10"/>
      <c r="C996" s="22"/>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c r="A997" s="10"/>
      <c r="B997" s="10"/>
      <c r="C997" s="22"/>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c r="A998" s="10"/>
      <c r="B998" s="10"/>
      <c r="C998" s="22"/>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c r="A999" s="10"/>
      <c r="B999" s="10"/>
      <c r="C999" s="22"/>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c r="A1000" s="10"/>
      <c r="B1000" s="10"/>
      <c r="C1000" s="22"/>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c r="A1001" s="10"/>
      <c r="B1001" s="10"/>
      <c r="C1001" s="22"/>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row r="1002">
      <c r="A1002" s="10"/>
      <c r="B1002" s="10"/>
      <c r="C1002" s="22"/>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row>
    <row r="1003">
      <c r="A1003" s="10"/>
      <c r="B1003" s="10"/>
      <c r="C1003" s="22"/>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row>
    <row r="1004">
      <c r="A1004" s="10"/>
      <c r="B1004" s="10"/>
      <c r="C1004" s="22"/>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row>
    <row r="1005">
      <c r="A1005" s="10"/>
      <c r="B1005" s="10"/>
      <c r="C1005" s="22"/>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row>
    <row r="1006">
      <c r="A1006" s="10"/>
      <c r="B1006" s="10"/>
      <c r="C1006" s="22"/>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row>
    <row r="1007">
      <c r="A1007" s="10"/>
      <c r="B1007" s="10"/>
      <c r="C1007" s="22"/>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row>
    <row r="1008">
      <c r="A1008" s="10"/>
      <c r="B1008" s="10"/>
      <c r="C1008" s="22"/>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2.0"/>
    <col customWidth="1" min="3" max="3" width="26.63"/>
    <col customWidth="1" min="4" max="4" width="22.0"/>
    <col customWidth="1" min="5" max="5" width="30.25"/>
    <col customWidth="1" min="6" max="6" width="22.0"/>
  </cols>
  <sheetData>
    <row r="1">
      <c r="A1" s="32" t="s">
        <v>213</v>
      </c>
    </row>
    <row r="2">
      <c r="A2" s="49" t="s">
        <v>214</v>
      </c>
    </row>
    <row r="3">
      <c r="A3" s="31" t="s">
        <v>207</v>
      </c>
      <c r="B3" s="31" t="s">
        <v>215</v>
      </c>
      <c r="C3" s="31" t="s">
        <v>216</v>
      </c>
      <c r="D3" s="50" t="s">
        <v>187</v>
      </c>
      <c r="E3" s="31" t="s">
        <v>217</v>
      </c>
      <c r="F3" s="31" t="s">
        <v>218</v>
      </c>
    </row>
    <row r="4">
      <c r="A4" s="39" t="s">
        <v>210</v>
      </c>
      <c r="B4" s="34">
        <f>COUNTIFS(Insights_workings!H2:H116,A4,Insights_workings!G2:G116,"&lt;=15")</f>
        <v>9</v>
      </c>
      <c r="C4" s="35">
        <f>sumifs(Insights_workings!F2:F116,Insights_workings!H2:H116,A4,Insights_workings!G2:G116,"&lt;=15")</f>
        <v>137500</v>
      </c>
      <c r="D4" s="51">
        <f>'VIP Guest Overview'!B20</f>
        <v>6</v>
      </c>
      <c r="E4" s="35">
        <f t="shared" ref="E4:E5" si="1">C4/D4</f>
        <v>22916.66667</v>
      </c>
      <c r="F4" s="46">
        <f t="shared" ref="F4:F5" si="2">B4/D4</f>
        <v>1.5</v>
      </c>
    </row>
    <row r="5">
      <c r="A5" s="39" t="s">
        <v>211</v>
      </c>
      <c r="B5" s="34">
        <f>COUNTIFS(Insights_workings!H3:H117,A5,Insights_workings!G3:G117,"&lt;=15")</f>
        <v>15</v>
      </c>
      <c r="C5" s="35">
        <f>sumifs(Insights_workings!F3:F117,Insights_workings!H3:H117,A5,Insights_workings!G3:G117,"&lt;=15")</f>
        <v>237500</v>
      </c>
      <c r="D5" s="51">
        <f>'VIP Guest Overview'!B21</f>
        <v>35</v>
      </c>
      <c r="E5" s="35">
        <f t="shared" si="1"/>
        <v>6785.714286</v>
      </c>
      <c r="F5" s="35">
        <f t="shared" si="2"/>
        <v>0.4285714286</v>
      </c>
    </row>
    <row r="6">
      <c r="C6" s="52"/>
      <c r="F6" s="52"/>
    </row>
    <row r="7">
      <c r="A7" s="32" t="s">
        <v>219</v>
      </c>
    </row>
    <row r="8">
      <c r="A8" s="44" t="s">
        <v>220</v>
      </c>
    </row>
    <row r="9">
      <c r="A9" s="44" t="s">
        <v>221</v>
      </c>
    </row>
  </sheetData>
  <mergeCells count="5">
    <mergeCell ref="A1:F1"/>
    <mergeCell ref="A2:F2"/>
    <mergeCell ref="A7:F7"/>
    <mergeCell ref="A8:F8"/>
    <mergeCell ref="A9:F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2" max="2" width="20.63"/>
    <col customWidth="1" min="3" max="4" width="14.13"/>
    <col customWidth="1" min="5" max="5" width="20.5"/>
  </cols>
  <sheetData>
    <row r="1">
      <c r="A1" s="9" t="s">
        <v>9</v>
      </c>
      <c r="B1" s="9" t="s">
        <v>10</v>
      </c>
      <c r="C1" s="9" t="s">
        <v>11</v>
      </c>
      <c r="D1" s="9" t="s">
        <v>12</v>
      </c>
      <c r="E1" s="9" t="s">
        <v>13</v>
      </c>
      <c r="F1" s="9" t="s">
        <v>14</v>
      </c>
      <c r="G1" s="10"/>
      <c r="H1" s="10"/>
      <c r="I1" s="10"/>
      <c r="J1" s="10"/>
      <c r="K1" s="10"/>
      <c r="L1" s="10"/>
      <c r="M1" s="10"/>
      <c r="N1" s="10"/>
      <c r="O1" s="10"/>
      <c r="P1" s="10"/>
      <c r="Q1" s="10"/>
      <c r="R1" s="10"/>
      <c r="S1" s="10"/>
      <c r="T1" s="10"/>
      <c r="U1" s="10"/>
      <c r="V1" s="10"/>
      <c r="W1" s="10"/>
      <c r="X1" s="10"/>
      <c r="Y1" s="10"/>
      <c r="Z1" s="10"/>
      <c r="AA1" s="10"/>
    </row>
    <row r="2">
      <c r="A2" s="11" t="s">
        <v>15</v>
      </c>
      <c r="B2" s="12" t="s">
        <v>16</v>
      </c>
      <c r="C2" s="13" t="s">
        <v>17</v>
      </c>
      <c r="D2" s="11">
        <v>2.0</v>
      </c>
      <c r="E2" s="14">
        <v>45383.0</v>
      </c>
      <c r="F2" s="11">
        <v>15000.0</v>
      </c>
      <c r="G2" s="10"/>
      <c r="H2" s="10"/>
      <c r="I2" s="10"/>
      <c r="J2" s="15"/>
      <c r="K2" s="15"/>
      <c r="L2" s="10"/>
      <c r="M2" s="10"/>
      <c r="N2" s="10"/>
      <c r="O2" s="10"/>
      <c r="P2" s="10"/>
      <c r="Q2" s="10"/>
      <c r="R2" s="10"/>
      <c r="S2" s="10"/>
      <c r="T2" s="10"/>
      <c r="U2" s="10"/>
      <c r="V2" s="10"/>
      <c r="W2" s="10"/>
      <c r="X2" s="10"/>
      <c r="Y2" s="10"/>
      <c r="Z2" s="10"/>
      <c r="AA2" s="10"/>
    </row>
    <row r="3">
      <c r="A3" s="11" t="s">
        <v>18</v>
      </c>
      <c r="B3" s="12" t="s">
        <v>19</v>
      </c>
      <c r="C3" s="13" t="s">
        <v>17</v>
      </c>
      <c r="D3" s="11">
        <v>2.0</v>
      </c>
      <c r="E3" s="14">
        <v>45383.0</v>
      </c>
      <c r="F3" s="11">
        <v>15000.0</v>
      </c>
      <c r="G3" s="10"/>
      <c r="H3" s="10"/>
      <c r="I3" s="10"/>
      <c r="J3" s="15"/>
      <c r="K3" s="15"/>
      <c r="L3" s="10"/>
      <c r="M3" s="10"/>
      <c r="N3" s="10"/>
      <c r="O3" s="10"/>
      <c r="P3" s="10"/>
      <c r="Q3" s="10"/>
      <c r="R3" s="10"/>
      <c r="S3" s="10"/>
      <c r="T3" s="10"/>
      <c r="U3" s="10"/>
      <c r="V3" s="10"/>
      <c r="W3" s="10"/>
      <c r="X3" s="10"/>
      <c r="Y3" s="10"/>
      <c r="Z3" s="10"/>
      <c r="AA3" s="10"/>
    </row>
    <row r="4">
      <c r="A4" s="11" t="s">
        <v>15</v>
      </c>
      <c r="B4" s="12" t="s">
        <v>20</v>
      </c>
      <c r="C4" s="13" t="s">
        <v>17</v>
      </c>
      <c r="D4" s="11">
        <v>1.0</v>
      </c>
      <c r="E4" s="14">
        <v>45384.0</v>
      </c>
      <c r="F4" s="11">
        <v>7500.0</v>
      </c>
      <c r="G4" s="10"/>
      <c r="H4" s="10"/>
      <c r="I4" s="10"/>
      <c r="J4" s="15"/>
      <c r="K4" s="15"/>
      <c r="L4" s="10"/>
      <c r="M4" s="10"/>
      <c r="N4" s="10"/>
      <c r="O4" s="10"/>
      <c r="P4" s="10"/>
      <c r="Q4" s="10"/>
      <c r="R4" s="10"/>
      <c r="S4" s="10"/>
      <c r="T4" s="10"/>
      <c r="U4" s="10"/>
      <c r="V4" s="10"/>
      <c r="W4" s="10"/>
      <c r="X4" s="10"/>
      <c r="Y4" s="10"/>
      <c r="Z4" s="10"/>
      <c r="AA4" s="10"/>
    </row>
    <row r="5">
      <c r="A5" s="11" t="s">
        <v>21</v>
      </c>
      <c r="B5" s="12" t="s">
        <v>22</v>
      </c>
      <c r="C5" s="13" t="s">
        <v>17</v>
      </c>
      <c r="D5" s="11">
        <v>1.0</v>
      </c>
      <c r="E5" s="14">
        <v>45385.0</v>
      </c>
      <c r="F5" s="11">
        <v>7500.0</v>
      </c>
      <c r="G5" s="10"/>
      <c r="H5" s="10"/>
      <c r="I5" s="10"/>
      <c r="J5" s="15"/>
      <c r="K5" s="15"/>
      <c r="L5" s="10"/>
      <c r="M5" s="10"/>
      <c r="N5" s="10"/>
      <c r="O5" s="10"/>
      <c r="P5" s="10"/>
      <c r="Q5" s="10"/>
      <c r="R5" s="10"/>
      <c r="S5" s="10"/>
      <c r="T5" s="10"/>
      <c r="U5" s="10"/>
      <c r="V5" s="10"/>
      <c r="W5" s="10"/>
      <c r="X5" s="10"/>
      <c r="Y5" s="10"/>
      <c r="Z5" s="10"/>
      <c r="AA5" s="10"/>
    </row>
    <row r="6">
      <c r="A6" s="11" t="s">
        <v>23</v>
      </c>
      <c r="B6" s="12" t="s">
        <v>24</v>
      </c>
      <c r="C6" s="13" t="s">
        <v>17</v>
      </c>
      <c r="D6" s="11">
        <v>2.0</v>
      </c>
      <c r="E6" s="14">
        <v>45387.0</v>
      </c>
      <c r="F6" s="11">
        <v>15000.0</v>
      </c>
      <c r="G6" s="10"/>
      <c r="H6" s="10"/>
      <c r="I6" s="10"/>
      <c r="J6" s="15"/>
      <c r="K6" s="15"/>
      <c r="L6" s="10"/>
      <c r="M6" s="10"/>
      <c r="N6" s="10"/>
      <c r="O6" s="10"/>
      <c r="P6" s="10"/>
      <c r="Q6" s="10"/>
      <c r="R6" s="10"/>
      <c r="S6" s="10"/>
      <c r="T6" s="10"/>
      <c r="U6" s="10"/>
      <c r="V6" s="10"/>
      <c r="W6" s="10"/>
      <c r="X6" s="10"/>
      <c r="Y6" s="10"/>
      <c r="Z6" s="10"/>
      <c r="AA6" s="10"/>
    </row>
    <row r="7">
      <c r="A7" s="11" t="s">
        <v>25</v>
      </c>
      <c r="B7" s="12" t="s">
        <v>26</v>
      </c>
      <c r="C7" s="13" t="s">
        <v>27</v>
      </c>
      <c r="D7" s="11">
        <v>4.0</v>
      </c>
      <c r="E7" s="14">
        <v>45387.0</v>
      </c>
      <c r="F7" s="11">
        <v>20000.0</v>
      </c>
      <c r="G7" s="10"/>
      <c r="H7" s="10"/>
      <c r="I7" s="10"/>
      <c r="J7" s="15"/>
      <c r="K7" s="15"/>
      <c r="L7" s="10"/>
      <c r="M7" s="10"/>
      <c r="N7" s="10"/>
      <c r="O7" s="10"/>
      <c r="P7" s="10"/>
      <c r="Q7" s="10"/>
      <c r="R7" s="10"/>
      <c r="S7" s="10"/>
      <c r="T7" s="10"/>
      <c r="U7" s="10"/>
      <c r="V7" s="10"/>
      <c r="W7" s="10"/>
      <c r="X7" s="10"/>
      <c r="Y7" s="10"/>
      <c r="Z7" s="10"/>
      <c r="AA7" s="10"/>
    </row>
    <row r="8">
      <c r="A8" s="11" t="s">
        <v>28</v>
      </c>
      <c r="B8" s="12" t="s">
        <v>29</v>
      </c>
      <c r="C8" s="13" t="s">
        <v>30</v>
      </c>
      <c r="D8" s="11">
        <v>5.0</v>
      </c>
      <c r="E8" s="14">
        <v>45388.0</v>
      </c>
      <c r="F8" s="11">
        <v>12500.0</v>
      </c>
      <c r="G8" s="10"/>
      <c r="H8" s="10"/>
      <c r="I8" s="10"/>
      <c r="J8" s="10"/>
      <c r="K8" s="10"/>
      <c r="L8" s="10"/>
      <c r="M8" s="10"/>
      <c r="N8" s="10"/>
      <c r="O8" s="10"/>
      <c r="P8" s="10"/>
      <c r="Q8" s="10"/>
      <c r="R8" s="10"/>
      <c r="S8" s="10"/>
      <c r="T8" s="10"/>
      <c r="U8" s="10"/>
      <c r="V8" s="10"/>
      <c r="W8" s="10"/>
      <c r="X8" s="10"/>
      <c r="Y8" s="10"/>
      <c r="Z8" s="10"/>
      <c r="AA8" s="10"/>
    </row>
    <row r="9">
      <c r="A9" s="11" t="s">
        <v>31</v>
      </c>
      <c r="B9" s="12" t="s">
        <v>32</v>
      </c>
      <c r="C9" s="13" t="s">
        <v>17</v>
      </c>
      <c r="D9" s="11">
        <v>2.0</v>
      </c>
      <c r="E9" s="14">
        <v>45389.0</v>
      </c>
      <c r="F9" s="11">
        <v>15000.0</v>
      </c>
      <c r="G9" s="10"/>
      <c r="H9" s="10"/>
      <c r="I9" s="10"/>
      <c r="J9" s="10"/>
      <c r="K9" s="10"/>
      <c r="L9" s="10"/>
      <c r="M9" s="10"/>
      <c r="N9" s="10"/>
      <c r="O9" s="10"/>
      <c r="P9" s="10"/>
      <c r="Q9" s="10"/>
      <c r="R9" s="10"/>
      <c r="S9" s="10"/>
      <c r="T9" s="10"/>
      <c r="U9" s="10"/>
      <c r="V9" s="10"/>
      <c r="W9" s="10"/>
      <c r="X9" s="10"/>
      <c r="Y9" s="10"/>
      <c r="Z9" s="10"/>
      <c r="AA9" s="10"/>
    </row>
    <row r="10">
      <c r="A10" s="11" t="s">
        <v>33</v>
      </c>
      <c r="B10" s="12" t="s">
        <v>34</v>
      </c>
      <c r="C10" s="13" t="s">
        <v>17</v>
      </c>
      <c r="D10" s="11">
        <v>2.0</v>
      </c>
      <c r="E10" s="14">
        <v>45390.0</v>
      </c>
      <c r="F10" s="11">
        <v>15000.0</v>
      </c>
      <c r="G10" s="10"/>
      <c r="H10" s="10"/>
      <c r="I10" s="10"/>
      <c r="J10" s="10"/>
      <c r="K10" s="10"/>
      <c r="L10" s="10"/>
      <c r="M10" s="10"/>
      <c r="N10" s="10"/>
      <c r="O10" s="10"/>
      <c r="P10" s="10"/>
      <c r="Q10" s="10"/>
      <c r="R10" s="10"/>
      <c r="S10" s="10"/>
      <c r="T10" s="10"/>
      <c r="U10" s="10"/>
      <c r="V10" s="10"/>
      <c r="W10" s="10"/>
      <c r="X10" s="10"/>
      <c r="Y10" s="10"/>
      <c r="Z10" s="10"/>
      <c r="AA10" s="10"/>
    </row>
    <row r="11">
      <c r="A11" s="11" t="s">
        <v>35</v>
      </c>
      <c r="B11" s="12" t="s">
        <v>36</v>
      </c>
      <c r="C11" s="13" t="s">
        <v>27</v>
      </c>
      <c r="D11" s="11">
        <v>3.0</v>
      </c>
      <c r="E11" s="14">
        <v>45392.0</v>
      </c>
      <c r="F11" s="11">
        <v>15000.0</v>
      </c>
      <c r="G11" s="10"/>
      <c r="H11" s="10"/>
      <c r="I11" s="10"/>
      <c r="J11" s="10"/>
      <c r="K11" s="10"/>
      <c r="L11" s="10"/>
      <c r="M11" s="10"/>
      <c r="N11" s="10"/>
      <c r="O11" s="10"/>
      <c r="P11" s="10"/>
      <c r="Q11" s="10"/>
      <c r="R11" s="10"/>
      <c r="S11" s="10"/>
      <c r="T11" s="10"/>
      <c r="U11" s="10"/>
      <c r="V11" s="10"/>
      <c r="W11" s="10"/>
      <c r="X11" s="10"/>
      <c r="Y11" s="10"/>
      <c r="Z11" s="10"/>
      <c r="AA11" s="10"/>
    </row>
    <row r="12">
      <c r="A12" s="11" t="s">
        <v>37</v>
      </c>
      <c r="B12" s="12" t="s">
        <v>38</v>
      </c>
      <c r="C12" s="13" t="s">
        <v>27</v>
      </c>
      <c r="D12" s="11">
        <v>3.0</v>
      </c>
      <c r="E12" s="14">
        <v>45393.0</v>
      </c>
      <c r="F12" s="11">
        <v>15000.0</v>
      </c>
      <c r="G12" s="10"/>
      <c r="H12" s="10"/>
      <c r="I12" s="10"/>
      <c r="J12" s="10"/>
      <c r="K12" s="10"/>
      <c r="L12" s="10"/>
      <c r="M12" s="10"/>
      <c r="N12" s="10"/>
      <c r="O12" s="10"/>
      <c r="P12" s="10"/>
      <c r="Q12" s="10"/>
      <c r="R12" s="10"/>
      <c r="S12" s="10"/>
      <c r="T12" s="10"/>
      <c r="U12" s="10"/>
      <c r="V12" s="10"/>
      <c r="W12" s="10"/>
      <c r="X12" s="10"/>
      <c r="Y12" s="10"/>
      <c r="Z12" s="10"/>
      <c r="AA12" s="10"/>
    </row>
    <row r="13">
      <c r="A13" s="11" t="s">
        <v>39</v>
      </c>
      <c r="B13" s="12" t="s">
        <v>40</v>
      </c>
      <c r="C13" s="13" t="s">
        <v>27</v>
      </c>
      <c r="D13" s="11">
        <v>4.0</v>
      </c>
      <c r="E13" s="14">
        <v>45393.0</v>
      </c>
      <c r="F13" s="11">
        <v>20000.0</v>
      </c>
      <c r="G13" s="10"/>
      <c r="H13" s="10"/>
      <c r="I13" s="10"/>
      <c r="J13" s="10"/>
      <c r="K13" s="10"/>
      <c r="L13" s="10"/>
      <c r="M13" s="10"/>
      <c r="N13" s="10"/>
      <c r="O13" s="10"/>
      <c r="P13" s="10"/>
      <c r="Q13" s="10"/>
      <c r="R13" s="10"/>
      <c r="S13" s="10"/>
      <c r="T13" s="10"/>
      <c r="U13" s="10"/>
      <c r="V13" s="10"/>
      <c r="W13" s="10"/>
      <c r="X13" s="10"/>
      <c r="Y13" s="10"/>
      <c r="Z13" s="10"/>
      <c r="AA13" s="10"/>
    </row>
    <row r="14">
      <c r="A14" s="11" t="s">
        <v>15</v>
      </c>
      <c r="B14" s="12" t="s">
        <v>41</v>
      </c>
      <c r="C14" s="13" t="s">
        <v>30</v>
      </c>
      <c r="D14" s="11">
        <v>7.0</v>
      </c>
      <c r="E14" s="14">
        <v>45394.0</v>
      </c>
      <c r="F14" s="11">
        <v>17500.0</v>
      </c>
      <c r="G14" s="10"/>
      <c r="H14" s="10"/>
      <c r="I14" s="10"/>
      <c r="J14" s="10"/>
      <c r="K14" s="10"/>
      <c r="L14" s="10"/>
      <c r="M14" s="10"/>
      <c r="N14" s="10"/>
      <c r="O14" s="10"/>
      <c r="P14" s="10"/>
      <c r="Q14" s="10"/>
      <c r="R14" s="10"/>
      <c r="S14" s="10"/>
      <c r="T14" s="10"/>
      <c r="U14" s="10"/>
      <c r="V14" s="10"/>
      <c r="W14" s="10"/>
      <c r="X14" s="10"/>
      <c r="Y14" s="10"/>
      <c r="Z14" s="10"/>
      <c r="AA14" s="10"/>
    </row>
    <row r="15">
      <c r="A15" s="11" t="s">
        <v>42</v>
      </c>
      <c r="B15" s="12" t="s">
        <v>43</v>
      </c>
      <c r="C15" s="13" t="s">
        <v>17</v>
      </c>
      <c r="D15" s="11">
        <v>2.0</v>
      </c>
      <c r="E15" s="14">
        <v>45395.0</v>
      </c>
      <c r="F15" s="11">
        <v>15000.0</v>
      </c>
      <c r="G15" s="10"/>
      <c r="H15" s="10"/>
      <c r="I15" s="10"/>
      <c r="J15" s="10"/>
      <c r="K15" s="10"/>
      <c r="L15" s="10"/>
      <c r="M15" s="10"/>
      <c r="N15" s="10"/>
      <c r="O15" s="10"/>
      <c r="P15" s="10"/>
      <c r="Q15" s="10"/>
      <c r="R15" s="10"/>
      <c r="S15" s="10"/>
      <c r="T15" s="10"/>
      <c r="U15" s="10"/>
      <c r="V15" s="10"/>
      <c r="W15" s="10"/>
      <c r="X15" s="10"/>
      <c r="Y15" s="10"/>
      <c r="Z15" s="10"/>
      <c r="AA15" s="10"/>
    </row>
    <row r="16">
      <c r="A16" s="11" t="s">
        <v>42</v>
      </c>
      <c r="B16" s="12" t="s">
        <v>44</v>
      </c>
      <c r="C16" s="13" t="s">
        <v>30</v>
      </c>
      <c r="D16" s="11">
        <v>7.0</v>
      </c>
      <c r="E16" s="14">
        <v>45396.0</v>
      </c>
      <c r="F16" s="11">
        <v>17500.0</v>
      </c>
      <c r="G16" s="10"/>
      <c r="H16" s="10"/>
      <c r="I16" s="10"/>
      <c r="J16" s="10"/>
      <c r="K16" s="10"/>
      <c r="L16" s="10"/>
      <c r="M16" s="10"/>
      <c r="N16" s="10"/>
      <c r="O16" s="10"/>
      <c r="P16" s="10"/>
      <c r="Q16" s="10"/>
      <c r="R16" s="10"/>
      <c r="S16" s="10"/>
      <c r="T16" s="10"/>
      <c r="U16" s="10"/>
      <c r="V16" s="10"/>
      <c r="W16" s="10"/>
      <c r="X16" s="10"/>
      <c r="Y16" s="10"/>
      <c r="Z16" s="10"/>
      <c r="AA16" s="10"/>
    </row>
    <row r="17">
      <c r="A17" s="11" t="s">
        <v>45</v>
      </c>
      <c r="B17" s="12" t="s">
        <v>46</v>
      </c>
      <c r="C17" s="13" t="s">
        <v>30</v>
      </c>
      <c r="D17" s="11">
        <v>7.0</v>
      </c>
      <c r="E17" s="14">
        <v>45396.0</v>
      </c>
      <c r="F17" s="11">
        <v>17500.0</v>
      </c>
      <c r="G17" s="10"/>
      <c r="H17" s="10"/>
      <c r="I17" s="10"/>
      <c r="J17" s="10"/>
      <c r="K17" s="10"/>
      <c r="L17" s="10"/>
      <c r="M17" s="10"/>
      <c r="N17" s="10"/>
      <c r="O17" s="10"/>
      <c r="P17" s="10"/>
      <c r="Q17" s="10"/>
      <c r="R17" s="10"/>
      <c r="S17" s="10"/>
      <c r="T17" s="10"/>
      <c r="U17" s="10"/>
      <c r="V17" s="10"/>
      <c r="W17" s="10"/>
      <c r="X17" s="10"/>
      <c r="Y17" s="10"/>
      <c r="Z17" s="10"/>
      <c r="AA17" s="10"/>
    </row>
    <row r="18">
      <c r="A18" s="11" t="s">
        <v>47</v>
      </c>
      <c r="B18" s="12" t="s">
        <v>48</v>
      </c>
      <c r="C18" s="13" t="s">
        <v>17</v>
      </c>
      <c r="D18" s="11">
        <v>1.0</v>
      </c>
      <c r="E18" s="14">
        <v>45397.0</v>
      </c>
      <c r="F18" s="11">
        <v>7500.0</v>
      </c>
      <c r="G18" s="10"/>
      <c r="H18" s="10"/>
      <c r="I18" s="10"/>
      <c r="J18" s="10"/>
      <c r="K18" s="10"/>
      <c r="L18" s="10"/>
      <c r="M18" s="10"/>
      <c r="N18" s="10"/>
      <c r="O18" s="10"/>
      <c r="P18" s="10"/>
      <c r="Q18" s="10"/>
      <c r="R18" s="10"/>
      <c r="S18" s="10"/>
      <c r="T18" s="10"/>
      <c r="U18" s="10"/>
      <c r="V18" s="10"/>
      <c r="W18" s="10"/>
      <c r="X18" s="10"/>
      <c r="Y18" s="10"/>
      <c r="Z18" s="10"/>
      <c r="AA18" s="10"/>
    </row>
    <row r="19">
      <c r="A19" s="11" t="s">
        <v>21</v>
      </c>
      <c r="B19" s="12" t="s">
        <v>49</v>
      </c>
      <c r="C19" s="13" t="s">
        <v>27</v>
      </c>
      <c r="D19" s="11">
        <v>3.0</v>
      </c>
      <c r="E19" s="14">
        <v>45398.0</v>
      </c>
      <c r="F19" s="11">
        <v>15000.0</v>
      </c>
      <c r="G19" s="10"/>
      <c r="H19" s="10"/>
      <c r="I19" s="10"/>
      <c r="J19" s="10"/>
      <c r="K19" s="10"/>
      <c r="L19" s="10"/>
      <c r="M19" s="10"/>
      <c r="N19" s="10"/>
      <c r="O19" s="10"/>
      <c r="P19" s="10"/>
      <c r="Q19" s="10"/>
      <c r="R19" s="10"/>
      <c r="S19" s="10"/>
      <c r="T19" s="10"/>
      <c r="U19" s="10"/>
      <c r="V19" s="10"/>
      <c r="W19" s="10"/>
      <c r="X19" s="10"/>
      <c r="Y19" s="10"/>
      <c r="Z19" s="10"/>
      <c r="AA19" s="10"/>
    </row>
    <row r="20">
      <c r="A20" s="11" t="s">
        <v>45</v>
      </c>
      <c r="B20" s="12" t="s">
        <v>50</v>
      </c>
      <c r="C20" s="13" t="s">
        <v>27</v>
      </c>
      <c r="D20" s="11">
        <v>4.0</v>
      </c>
      <c r="E20" s="14">
        <v>45398.0</v>
      </c>
      <c r="F20" s="11">
        <v>20000.0</v>
      </c>
      <c r="G20" s="10"/>
      <c r="H20" s="10"/>
      <c r="I20" s="10"/>
      <c r="J20" s="10"/>
      <c r="K20" s="10"/>
      <c r="L20" s="10"/>
      <c r="M20" s="10"/>
      <c r="N20" s="10"/>
      <c r="O20" s="10"/>
      <c r="P20" s="10"/>
      <c r="Q20" s="10"/>
      <c r="R20" s="10"/>
      <c r="S20" s="10"/>
      <c r="T20" s="10"/>
      <c r="U20" s="10"/>
      <c r="V20" s="10"/>
      <c r="W20" s="10"/>
      <c r="X20" s="10"/>
      <c r="Y20" s="10"/>
      <c r="Z20" s="10"/>
      <c r="AA20" s="10"/>
    </row>
    <row r="21">
      <c r="A21" s="11" t="s">
        <v>51</v>
      </c>
      <c r="B21" s="12" t="s">
        <v>52</v>
      </c>
      <c r="C21" s="13" t="s">
        <v>27</v>
      </c>
      <c r="D21" s="11">
        <v>4.0</v>
      </c>
      <c r="E21" s="14">
        <v>45398.0</v>
      </c>
      <c r="F21" s="11">
        <v>20000.0</v>
      </c>
      <c r="G21" s="10"/>
      <c r="H21" s="10"/>
      <c r="I21" s="10"/>
      <c r="J21" s="10"/>
      <c r="K21" s="10"/>
      <c r="L21" s="10"/>
      <c r="M21" s="10"/>
      <c r="N21" s="10"/>
      <c r="O21" s="10"/>
      <c r="P21" s="10"/>
      <c r="Q21" s="10"/>
      <c r="R21" s="10"/>
      <c r="S21" s="10"/>
      <c r="T21" s="10"/>
      <c r="U21" s="10"/>
      <c r="V21" s="10"/>
      <c r="W21" s="10"/>
      <c r="X21" s="10"/>
      <c r="Y21" s="10"/>
      <c r="Z21" s="10"/>
      <c r="AA21" s="10"/>
    </row>
    <row r="22">
      <c r="A22" s="11" t="s">
        <v>53</v>
      </c>
      <c r="B22" s="12" t="s">
        <v>54</v>
      </c>
      <c r="C22" s="13" t="s">
        <v>17</v>
      </c>
      <c r="D22" s="11">
        <v>1.0</v>
      </c>
      <c r="E22" s="14">
        <v>45399.0</v>
      </c>
      <c r="F22" s="11">
        <v>7500.0</v>
      </c>
      <c r="G22" s="10"/>
      <c r="H22" s="10"/>
      <c r="I22" s="10"/>
      <c r="J22" s="10"/>
      <c r="K22" s="10"/>
      <c r="L22" s="10"/>
      <c r="M22" s="10"/>
      <c r="N22" s="10"/>
      <c r="O22" s="10"/>
      <c r="P22" s="10"/>
      <c r="Q22" s="10"/>
      <c r="R22" s="10"/>
      <c r="S22" s="10"/>
      <c r="T22" s="10"/>
      <c r="U22" s="10"/>
      <c r="V22" s="10"/>
      <c r="W22" s="10"/>
      <c r="X22" s="10"/>
      <c r="Y22" s="10"/>
      <c r="Z22" s="10"/>
      <c r="AA22" s="10"/>
    </row>
    <row r="23">
      <c r="A23" s="11" t="s">
        <v>35</v>
      </c>
      <c r="B23" s="12" t="s">
        <v>55</v>
      </c>
      <c r="C23" s="13" t="s">
        <v>30</v>
      </c>
      <c r="D23" s="11">
        <v>5.0</v>
      </c>
      <c r="E23" s="14">
        <v>45400.0</v>
      </c>
      <c r="F23" s="11">
        <v>12500.0</v>
      </c>
      <c r="G23" s="10"/>
      <c r="H23" s="10"/>
      <c r="I23" s="10"/>
      <c r="J23" s="10"/>
      <c r="K23" s="10"/>
      <c r="L23" s="10"/>
      <c r="M23" s="10"/>
      <c r="N23" s="10"/>
      <c r="O23" s="10"/>
      <c r="P23" s="10"/>
      <c r="Q23" s="10"/>
      <c r="R23" s="10"/>
      <c r="S23" s="10"/>
      <c r="T23" s="10"/>
      <c r="U23" s="10"/>
      <c r="V23" s="10"/>
      <c r="W23" s="10"/>
      <c r="X23" s="10"/>
      <c r="Y23" s="10"/>
      <c r="Z23" s="10"/>
      <c r="AA23" s="10"/>
    </row>
    <row r="24">
      <c r="A24" s="12" t="s">
        <v>56</v>
      </c>
      <c r="B24" s="12" t="s">
        <v>57</v>
      </c>
      <c r="C24" s="13" t="s">
        <v>30</v>
      </c>
      <c r="D24" s="12">
        <v>3.0</v>
      </c>
      <c r="E24" s="14">
        <v>45401.0</v>
      </c>
      <c r="F24" s="11">
        <v>7500.0</v>
      </c>
      <c r="G24" s="10"/>
      <c r="H24" s="10"/>
      <c r="I24" s="10"/>
      <c r="J24" s="10"/>
      <c r="K24" s="10"/>
      <c r="L24" s="10"/>
      <c r="M24" s="10"/>
      <c r="N24" s="10"/>
      <c r="O24" s="10"/>
      <c r="P24" s="10"/>
      <c r="Q24" s="10"/>
      <c r="R24" s="10"/>
      <c r="S24" s="10"/>
      <c r="T24" s="10"/>
      <c r="U24" s="10"/>
      <c r="V24" s="10"/>
      <c r="W24" s="10"/>
      <c r="X24" s="10"/>
      <c r="Y24" s="10"/>
      <c r="Z24" s="10"/>
      <c r="AA24" s="10"/>
    </row>
    <row r="25">
      <c r="A25" s="11" t="s">
        <v>31</v>
      </c>
      <c r="B25" s="12" t="s">
        <v>58</v>
      </c>
      <c r="C25" s="13" t="s">
        <v>30</v>
      </c>
      <c r="D25" s="11">
        <v>5.0</v>
      </c>
      <c r="E25" s="14">
        <v>45402.0</v>
      </c>
      <c r="F25" s="11">
        <v>12500.0</v>
      </c>
      <c r="G25" s="10"/>
      <c r="H25" s="10"/>
      <c r="I25" s="10"/>
      <c r="J25" s="10"/>
      <c r="K25" s="10"/>
      <c r="L25" s="10"/>
      <c r="M25" s="10"/>
      <c r="N25" s="10"/>
      <c r="O25" s="10"/>
      <c r="P25" s="10"/>
      <c r="Q25" s="10"/>
      <c r="R25" s="10"/>
      <c r="S25" s="10"/>
      <c r="T25" s="10"/>
      <c r="U25" s="10"/>
      <c r="V25" s="10"/>
      <c r="W25" s="10"/>
      <c r="X25" s="10"/>
      <c r="Y25" s="10"/>
      <c r="Z25" s="10"/>
      <c r="AA25" s="10"/>
    </row>
    <row r="26">
      <c r="A26" s="11" t="s">
        <v>42</v>
      </c>
      <c r="B26" s="12" t="s">
        <v>59</v>
      </c>
      <c r="C26" s="13" t="s">
        <v>27</v>
      </c>
      <c r="D26" s="11">
        <v>3.0</v>
      </c>
      <c r="E26" s="14">
        <v>45403.0</v>
      </c>
      <c r="F26" s="11">
        <v>15000.0</v>
      </c>
      <c r="G26" s="10"/>
      <c r="H26" s="10"/>
      <c r="I26" s="10"/>
      <c r="J26" s="10"/>
      <c r="K26" s="10"/>
      <c r="L26" s="10"/>
      <c r="M26" s="10"/>
      <c r="N26" s="10"/>
      <c r="O26" s="10"/>
      <c r="P26" s="10"/>
      <c r="Q26" s="10"/>
      <c r="R26" s="10"/>
      <c r="S26" s="10"/>
      <c r="T26" s="10"/>
      <c r="U26" s="10"/>
      <c r="V26" s="10"/>
      <c r="W26" s="10"/>
      <c r="X26" s="10"/>
      <c r="Y26" s="10"/>
      <c r="Z26" s="10"/>
      <c r="AA26" s="10"/>
    </row>
    <row r="27">
      <c r="A27" s="11" t="s">
        <v>39</v>
      </c>
      <c r="B27" s="12" t="s">
        <v>60</v>
      </c>
      <c r="C27" s="13" t="s">
        <v>30</v>
      </c>
      <c r="D27" s="11">
        <v>5.0</v>
      </c>
      <c r="E27" s="14">
        <v>45404.0</v>
      </c>
      <c r="F27" s="11">
        <v>12500.0</v>
      </c>
      <c r="G27" s="10"/>
      <c r="H27" s="10"/>
      <c r="I27" s="10"/>
      <c r="J27" s="10"/>
      <c r="K27" s="10"/>
      <c r="L27" s="10"/>
      <c r="M27" s="10"/>
      <c r="N27" s="10"/>
      <c r="O27" s="10"/>
      <c r="P27" s="10"/>
      <c r="Q27" s="10"/>
      <c r="R27" s="10"/>
      <c r="S27" s="10"/>
      <c r="T27" s="10"/>
      <c r="U27" s="10"/>
      <c r="V27" s="10"/>
      <c r="W27" s="10"/>
      <c r="X27" s="10"/>
      <c r="Y27" s="10"/>
      <c r="Z27" s="10"/>
      <c r="AA27" s="10"/>
    </row>
    <row r="28">
      <c r="A28" s="11" t="s">
        <v>37</v>
      </c>
      <c r="B28" s="12" t="s">
        <v>61</v>
      </c>
      <c r="C28" s="13" t="s">
        <v>17</v>
      </c>
      <c r="D28" s="11">
        <v>2.0</v>
      </c>
      <c r="E28" s="14">
        <v>45404.0</v>
      </c>
      <c r="F28" s="11">
        <v>15000.0</v>
      </c>
      <c r="G28" s="10"/>
      <c r="H28" s="10"/>
      <c r="I28" s="10"/>
      <c r="J28" s="10"/>
      <c r="K28" s="10"/>
      <c r="L28" s="10"/>
      <c r="M28" s="10"/>
      <c r="N28" s="10"/>
      <c r="O28" s="10"/>
      <c r="P28" s="10"/>
      <c r="Q28" s="10"/>
      <c r="R28" s="10"/>
      <c r="S28" s="10"/>
      <c r="T28" s="10"/>
      <c r="U28" s="10"/>
      <c r="V28" s="10"/>
      <c r="W28" s="10"/>
      <c r="X28" s="10"/>
      <c r="Y28" s="10"/>
      <c r="Z28" s="10"/>
      <c r="AA28" s="10"/>
    </row>
    <row r="29">
      <c r="A29" s="11" t="s">
        <v>62</v>
      </c>
      <c r="B29" s="12" t="s">
        <v>63</v>
      </c>
      <c r="C29" s="13" t="s">
        <v>27</v>
      </c>
      <c r="D29" s="11">
        <v>3.0</v>
      </c>
      <c r="E29" s="14">
        <v>45404.0</v>
      </c>
      <c r="F29" s="11">
        <v>15000.0</v>
      </c>
      <c r="G29" s="10"/>
      <c r="H29" s="10"/>
      <c r="I29" s="10"/>
      <c r="J29" s="10"/>
      <c r="K29" s="10"/>
      <c r="L29" s="10"/>
      <c r="M29" s="10"/>
      <c r="N29" s="10"/>
      <c r="O29" s="10"/>
      <c r="P29" s="10"/>
      <c r="Q29" s="10"/>
      <c r="R29" s="10"/>
      <c r="S29" s="10"/>
      <c r="T29" s="10"/>
      <c r="U29" s="10"/>
      <c r="V29" s="10"/>
      <c r="W29" s="10"/>
      <c r="X29" s="10"/>
      <c r="Y29" s="10"/>
      <c r="Z29" s="10"/>
      <c r="AA29" s="10"/>
    </row>
    <row r="30">
      <c r="A30" s="11" t="s">
        <v>25</v>
      </c>
      <c r="B30" s="12" t="s">
        <v>64</v>
      </c>
      <c r="C30" s="13" t="s">
        <v>17</v>
      </c>
      <c r="D30" s="11">
        <v>2.0</v>
      </c>
      <c r="E30" s="14">
        <v>45405.0</v>
      </c>
      <c r="F30" s="11">
        <v>15000.0</v>
      </c>
      <c r="G30" s="10"/>
      <c r="H30" s="10"/>
      <c r="I30" s="10"/>
      <c r="J30" s="10"/>
      <c r="K30" s="10"/>
      <c r="L30" s="10"/>
      <c r="M30" s="10"/>
      <c r="N30" s="10"/>
      <c r="O30" s="10"/>
      <c r="P30" s="10"/>
      <c r="Q30" s="10"/>
      <c r="R30" s="10"/>
      <c r="S30" s="10"/>
      <c r="T30" s="10"/>
      <c r="U30" s="10"/>
      <c r="V30" s="10"/>
      <c r="W30" s="10"/>
      <c r="X30" s="10"/>
      <c r="Y30" s="10"/>
      <c r="Z30" s="10"/>
      <c r="AA30" s="10"/>
    </row>
    <row r="31">
      <c r="A31" s="11" t="s">
        <v>65</v>
      </c>
      <c r="B31" s="12" t="s">
        <v>66</v>
      </c>
      <c r="C31" s="13" t="s">
        <v>30</v>
      </c>
      <c r="D31" s="11">
        <v>7.0</v>
      </c>
      <c r="E31" s="14">
        <v>45406.0</v>
      </c>
      <c r="F31" s="11">
        <v>17500.0</v>
      </c>
      <c r="G31" s="10"/>
      <c r="H31" s="10"/>
      <c r="I31" s="10"/>
      <c r="J31" s="10"/>
      <c r="K31" s="10"/>
      <c r="L31" s="10"/>
      <c r="M31" s="10"/>
      <c r="N31" s="10"/>
      <c r="O31" s="10"/>
      <c r="P31" s="10"/>
      <c r="Q31" s="10"/>
      <c r="R31" s="10"/>
      <c r="S31" s="10"/>
      <c r="T31" s="10"/>
      <c r="U31" s="10"/>
      <c r="V31" s="10"/>
      <c r="W31" s="10"/>
      <c r="X31" s="10"/>
      <c r="Y31" s="10"/>
      <c r="Z31" s="10"/>
      <c r="AA31" s="10"/>
    </row>
    <row r="32">
      <c r="A32" s="12" t="s">
        <v>67</v>
      </c>
      <c r="B32" s="12" t="s">
        <v>68</v>
      </c>
      <c r="C32" s="13" t="s">
        <v>30</v>
      </c>
      <c r="D32" s="12">
        <v>3.0</v>
      </c>
      <c r="E32" s="14">
        <v>45406.0</v>
      </c>
      <c r="F32" s="12">
        <v>7500.0</v>
      </c>
      <c r="G32" s="10"/>
      <c r="H32" s="10"/>
      <c r="I32" s="10"/>
      <c r="J32" s="10"/>
      <c r="K32" s="10"/>
      <c r="L32" s="10"/>
      <c r="M32" s="10"/>
      <c r="N32" s="10"/>
      <c r="O32" s="10"/>
      <c r="P32" s="10"/>
      <c r="Q32" s="10"/>
      <c r="R32" s="10"/>
      <c r="S32" s="10"/>
      <c r="T32" s="10"/>
      <c r="U32" s="10"/>
      <c r="V32" s="10"/>
      <c r="W32" s="10"/>
      <c r="X32" s="10"/>
      <c r="Y32" s="10"/>
      <c r="Z32" s="10"/>
      <c r="AA32" s="10"/>
    </row>
    <row r="33">
      <c r="A33" s="11" t="s">
        <v>69</v>
      </c>
      <c r="B33" s="12" t="s">
        <v>70</v>
      </c>
      <c r="C33" s="13" t="s">
        <v>27</v>
      </c>
      <c r="D33" s="11">
        <v>4.0</v>
      </c>
      <c r="E33" s="14">
        <v>45407.0</v>
      </c>
      <c r="F33" s="11">
        <v>20000.0</v>
      </c>
      <c r="G33" s="10"/>
      <c r="H33" s="10"/>
      <c r="I33" s="10"/>
      <c r="J33" s="10"/>
      <c r="K33" s="10"/>
      <c r="L33" s="10"/>
      <c r="M33" s="10"/>
      <c r="N33" s="10"/>
      <c r="O33" s="10"/>
      <c r="P33" s="10"/>
      <c r="Q33" s="10"/>
      <c r="R33" s="10"/>
      <c r="S33" s="10"/>
      <c r="T33" s="10"/>
      <c r="U33" s="10"/>
      <c r="V33" s="10"/>
      <c r="W33" s="10"/>
      <c r="X33" s="10"/>
      <c r="Y33" s="10"/>
      <c r="Z33" s="10"/>
      <c r="AA33" s="10"/>
    </row>
    <row r="34">
      <c r="A34" s="11" t="s">
        <v>71</v>
      </c>
      <c r="B34" s="12" t="s">
        <v>72</v>
      </c>
      <c r="C34" s="13" t="s">
        <v>27</v>
      </c>
      <c r="D34" s="11">
        <v>3.0</v>
      </c>
      <c r="E34" s="14">
        <v>45408.0</v>
      </c>
      <c r="F34" s="11">
        <v>15000.0</v>
      </c>
      <c r="G34" s="10"/>
      <c r="H34" s="10"/>
      <c r="I34" s="10"/>
      <c r="J34" s="10"/>
      <c r="K34" s="10"/>
      <c r="L34" s="10"/>
      <c r="M34" s="10"/>
      <c r="N34" s="10"/>
      <c r="O34" s="10"/>
      <c r="P34" s="10"/>
      <c r="Q34" s="10"/>
      <c r="R34" s="10"/>
      <c r="S34" s="10"/>
      <c r="T34" s="10"/>
      <c r="U34" s="10"/>
      <c r="V34" s="10"/>
      <c r="W34" s="10"/>
      <c r="X34" s="10"/>
      <c r="Y34" s="10"/>
      <c r="Z34" s="10"/>
      <c r="AA34" s="10"/>
    </row>
    <row r="35">
      <c r="A35" s="11" t="s">
        <v>73</v>
      </c>
      <c r="B35" s="12" t="s">
        <v>74</v>
      </c>
      <c r="C35" s="13" t="s">
        <v>17</v>
      </c>
      <c r="D35" s="11">
        <v>2.0</v>
      </c>
      <c r="E35" s="14">
        <v>45408.0</v>
      </c>
      <c r="F35" s="11">
        <v>15000.0</v>
      </c>
      <c r="G35" s="10"/>
      <c r="H35" s="10"/>
      <c r="I35" s="16"/>
      <c r="J35" s="10"/>
      <c r="K35" s="10"/>
      <c r="L35" s="10"/>
      <c r="M35" s="10"/>
      <c r="N35" s="10"/>
      <c r="O35" s="10"/>
      <c r="P35" s="10"/>
      <c r="Q35" s="10"/>
      <c r="R35" s="10"/>
      <c r="S35" s="10"/>
      <c r="T35" s="10"/>
      <c r="U35" s="10"/>
      <c r="V35" s="10"/>
      <c r="W35" s="10"/>
      <c r="X35" s="10"/>
      <c r="Y35" s="10"/>
      <c r="Z35" s="10"/>
      <c r="AA35" s="10"/>
    </row>
    <row r="36">
      <c r="A36" s="12" t="s">
        <v>35</v>
      </c>
      <c r="B36" s="12" t="s">
        <v>75</v>
      </c>
      <c r="C36" s="17" t="s">
        <v>30</v>
      </c>
      <c r="D36" s="18">
        <v>7.0</v>
      </c>
      <c r="E36" s="14">
        <v>45410.0</v>
      </c>
      <c r="F36" s="11">
        <v>17500.0</v>
      </c>
      <c r="G36" s="10"/>
      <c r="H36" s="10"/>
      <c r="I36" s="16"/>
      <c r="J36" s="10"/>
      <c r="K36" s="10"/>
      <c r="L36" s="10"/>
      <c r="M36" s="10"/>
      <c r="N36" s="10"/>
      <c r="O36" s="10"/>
      <c r="P36" s="10"/>
      <c r="Q36" s="10"/>
      <c r="R36" s="10"/>
      <c r="S36" s="10"/>
      <c r="T36" s="10"/>
      <c r="U36" s="10"/>
      <c r="V36" s="10"/>
      <c r="W36" s="10"/>
      <c r="X36" s="10"/>
      <c r="Y36" s="10"/>
      <c r="Z36" s="10"/>
      <c r="AA36" s="10"/>
    </row>
    <row r="37">
      <c r="A37" s="11" t="s">
        <v>15</v>
      </c>
      <c r="B37" s="12" t="s">
        <v>76</v>
      </c>
      <c r="C37" s="17" t="s">
        <v>27</v>
      </c>
      <c r="D37" s="18">
        <v>3.0</v>
      </c>
      <c r="E37" s="14">
        <v>45410.0</v>
      </c>
      <c r="F37" s="11">
        <v>15000.0</v>
      </c>
      <c r="G37" s="10"/>
      <c r="H37" s="10"/>
      <c r="I37" s="16"/>
      <c r="J37" s="10"/>
      <c r="K37" s="10"/>
      <c r="L37" s="10"/>
      <c r="M37" s="10"/>
      <c r="N37" s="10"/>
      <c r="O37" s="10"/>
      <c r="P37" s="10"/>
      <c r="Q37" s="10"/>
      <c r="R37" s="10"/>
      <c r="S37" s="10"/>
      <c r="T37" s="10"/>
      <c r="U37" s="10"/>
      <c r="V37" s="10"/>
      <c r="W37" s="10"/>
      <c r="X37" s="10"/>
      <c r="Y37" s="10"/>
      <c r="Z37" s="10"/>
      <c r="AA37" s="10"/>
    </row>
    <row r="38">
      <c r="A38" s="11" t="s">
        <v>23</v>
      </c>
      <c r="B38" s="12" t="s">
        <v>77</v>
      </c>
      <c r="C38" s="17" t="s">
        <v>17</v>
      </c>
      <c r="D38" s="18">
        <v>1.0</v>
      </c>
      <c r="E38" s="14">
        <v>45411.0</v>
      </c>
      <c r="F38" s="11">
        <v>7500.0</v>
      </c>
      <c r="G38" s="10"/>
      <c r="H38" s="10"/>
      <c r="I38" s="16"/>
      <c r="J38" s="10"/>
      <c r="K38" s="10"/>
      <c r="L38" s="10"/>
      <c r="M38" s="10"/>
      <c r="N38" s="10"/>
      <c r="O38" s="10"/>
      <c r="P38" s="10"/>
      <c r="Q38" s="10"/>
      <c r="R38" s="10"/>
      <c r="S38" s="10"/>
      <c r="T38" s="10"/>
      <c r="U38" s="10"/>
      <c r="V38" s="10"/>
      <c r="W38" s="10"/>
      <c r="X38" s="10"/>
      <c r="Y38" s="10"/>
      <c r="Z38" s="10"/>
      <c r="AA38" s="10"/>
    </row>
    <row r="39">
      <c r="A39" s="11" t="s">
        <v>73</v>
      </c>
      <c r="B39" s="12" t="s">
        <v>78</v>
      </c>
      <c r="C39" s="17" t="s">
        <v>27</v>
      </c>
      <c r="D39" s="18">
        <v>4.0</v>
      </c>
      <c r="E39" s="14">
        <v>45411.0</v>
      </c>
      <c r="F39" s="11">
        <v>20000.0</v>
      </c>
      <c r="G39" s="10"/>
      <c r="H39" s="10"/>
      <c r="I39" s="16"/>
      <c r="J39" s="10"/>
      <c r="K39" s="10"/>
      <c r="L39" s="10"/>
      <c r="M39" s="10"/>
      <c r="N39" s="10"/>
      <c r="O39" s="10"/>
      <c r="P39" s="10"/>
      <c r="Q39" s="10"/>
      <c r="R39" s="10"/>
      <c r="S39" s="10"/>
      <c r="T39" s="10"/>
      <c r="U39" s="10"/>
      <c r="V39" s="10"/>
      <c r="W39" s="10"/>
      <c r="X39" s="10"/>
      <c r="Y39" s="10"/>
      <c r="Z39" s="10"/>
      <c r="AA39" s="10"/>
    </row>
    <row r="40">
      <c r="A40" s="12" t="s">
        <v>79</v>
      </c>
      <c r="B40" s="12" t="s">
        <v>80</v>
      </c>
      <c r="C40" s="17" t="s">
        <v>30</v>
      </c>
      <c r="D40" s="19">
        <v>3.0</v>
      </c>
      <c r="E40" s="14">
        <v>45411.0</v>
      </c>
      <c r="F40" s="12">
        <v>7500.0</v>
      </c>
      <c r="G40" s="10"/>
      <c r="H40" s="10"/>
      <c r="I40" s="10"/>
      <c r="J40" s="10"/>
      <c r="K40" s="10"/>
      <c r="L40" s="10"/>
      <c r="M40" s="10"/>
      <c r="N40" s="10"/>
      <c r="O40" s="10"/>
      <c r="P40" s="10"/>
      <c r="Q40" s="10"/>
      <c r="R40" s="10"/>
      <c r="S40" s="10"/>
      <c r="T40" s="10"/>
      <c r="U40" s="10"/>
      <c r="V40" s="10"/>
      <c r="W40" s="10"/>
      <c r="X40" s="10"/>
      <c r="Y40" s="10"/>
      <c r="Z40" s="10"/>
      <c r="AA40" s="10"/>
    </row>
    <row r="41">
      <c r="A41" s="12" t="s">
        <v>67</v>
      </c>
      <c r="B41" s="12" t="s">
        <v>81</v>
      </c>
      <c r="C41" s="17" t="s">
        <v>30</v>
      </c>
      <c r="D41" s="19">
        <v>3.0</v>
      </c>
      <c r="E41" s="14">
        <v>45412.0</v>
      </c>
      <c r="F41" s="12">
        <v>7500.0</v>
      </c>
      <c r="G41" s="10"/>
      <c r="H41" s="10"/>
      <c r="I41" s="10"/>
      <c r="J41" s="10"/>
      <c r="K41" s="10"/>
      <c r="L41" s="10"/>
      <c r="M41" s="10"/>
      <c r="N41" s="10"/>
      <c r="O41" s="10"/>
      <c r="P41" s="10"/>
      <c r="Q41" s="10"/>
      <c r="R41" s="10"/>
      <c r="S41" s="10"/>
      <c r="T41" s="10"/>
      <c r="U41" s="10"/>
      <c r="V41" s="10"/>
      <c r="W41" s="10"/>
      <c r="X41" s="10"/>
      <c r="Y41" s="10"/>
      <c r="Z41" s="10"/>
      <c r="AA41" s="10"/>
    </row>
    <row r="42">
      <c r="A42" s="12" t="s">
        <v>82</v>
      </c>
      <c r="B42" s="12" t="s">
        <v>83</v>
      </c>
      <c r="C42" s="17" t="s">
        <v>30</v>
      </c>
      <c r="D42" s="19">
        <v>3.0</v>
      </c>
      <c r="E42" s="14">
        <v>45412.0</v>
      </c>
      <c r="F42" s="12">
        <v>7500.0</v>
      </c>
      <c r="G42" s="10"/>
      <c r="H42" s="10"/>
      <c r="I42" s="10"/>
      <c r="J42" s="10"/>
      <c r="K42" s="10"/>
      <c r="L42" s="10"/>
      <c r="M42" s="10"/>
      <c r="N42" s="10"/>
      <c r="O42" s="10"/>
      <c r="P42" s="10"/>
      <c r="Q42" s="10"/>
      <c r="R42" s="10"/>
      <c r="S42" s="10"/>
      <c r="T42" s="10"/>
      <c r="U42" s="10"/>
      <c r="V42" s="10"/>
      <c r="W42" s="10"/>
      <c r="X42" s="10"/>
      <c r="Y42" s="10"/>
      <c r="Z42" s="10"/>
      <c r="AA42" s="10"/>
    </row>
    <row r="43">
      <c r="A43" s="12" t="s">
        <v>84</v>
      </c>
      <c r="B43" s="12" t="s">
        <v>85</v>
      </c>
      <c r="C43" s="17" t="s">
        <v>17</v>
      </c>
      <c r="D43" s="18">
        <v>1.0</v>
      </c>
      <c r="E43" s="14">
        <v>45413.0</v>
      </c>
      <c r="F43" s="12">
        <v>7500.0</v>
      </c>
      <c r="G43" s="10"/>
      <c r="H43" s="10"/>
      <c r="I43" s="10"/>
      <c r="J43" s="10"/>
      <c r="K43" s="10"/>
      <c r="L43" s="10"/>
      <c r="M43" s="10"/>
      <c r="N43" s="10"/>
      <c r="O43" s="10"/>
      <c r="P43" s="10"/>
      <c r="Q43" s="10"/>
      <c r="R43" s="10"/>
      <c r="S43" s="10"/>
      <c r="T43" s="10"/>
      <c r="U43" s="10"/>
      <c r="V43" s="10"/>
      <c r="W43" s="10"/>
      <c r="X43" s="10"/>
      <c r="Y43" s="10"/>
      <c r="Z43" s="10"/>
      <c r="AA43" s="10"/>
    </row>
    <row r="44">
      <c r="A44" s="12" t="s">
        <v>86</v>
      </c>
      <c r="B44" s="12" t="s">
        <v>87</v>
      </c>
      <c r="C44" s="17" t="s">
        <v>27</v>
      </c>
      <c r="D44" s="19">
        <v>2.0</v>
      </c>
      <c r="E44" s="14">
        <v>45413.0</v>
      </c>
      <c r="F44" s="12">
        <v>10000.0</v>
      </c>
      <c r="G44" s="10"/>
      <c r="H44" s="10"/>
      <c r="I44" s="10"/>
      <c r="J44" s="10"/>
      <c r="K44" s="10"/>
      <c r="L44" s="10"/>
      <c r="M44" s="10"/>
      <c r="N44" s="10"/>
      <c r="O44" s="10"/>
      <c r="P44" s="10"/>
      <c r="Q44" s="10"/>
      <c r="R44" s="10"/>
      <c r="S44" s="10"/>
      <c r="T44" s="10"/>
      <c r="U44" s="10"/>
      <c r="V44" s="10"/>
      <c r="W44" s="10"/>
      <c r="X44" s="10"/>
      <c r="Y44" s="10"/>
      <c r="Z44" s="10"/>
      <c r="AA44" s="10"/>
    </row>
    <row r="45">
      <c r="A45" s="12" t="s">
        <v>88</v>
      </c>
      <c r="B45" s="12" t="s">
        <v>89</v>
      </c>
      <c r="C45" s="17" t="s">
        <v>30</v>
      </c>
      <c r="D45" s="19">
        <v>3.0</v>
      </c>
      <c r="E45" s="14">
        <v>45413.0</v>
      </c>
      <c r="F45" s="12">
        <v>7500.0</v>
      </c>
      <c r="G45" s="10"/>
      <c r="H45" s="10"/>
      <c r="I45" s="10"/>
      <c r="J45" s="10"/>
      <c r="K45" s="10"/>
      <c r="L45" s="10"/>
      <c r="M45" s="10"/>
      <c r="N45" s="10"/>
      <c r="O45" s="10"/>
      <c r="P45" s="10"/>
      <c r="Q45" s="10"/>
      <c r="R45" s="10"/>
      <c r="S45" s="10"/>
      <c r="T45" s="10"/>
      <c r="U45" s="10"/>
      <c r="V45" s="10"/>
      <c r="W45" s="10"/>
      <c r="X45" s="10"/>
      <c r="Y45" s="10"/>
      <c r="Z45" s="10"/>
      <c r="AA45" s="10"/>
    </row>
    <row r="46">
      <c r="A46" s="11" t="s">
        <v>90</v>
      </c>
      <c r="B46" s="12" t="s">
        <v>91</v>
      </c>
      <c r="C46" s="17" t="s">
        <v>17</v>
      </c>
      <c r="D46" s="18">
        <v>1.0</v>
      </c>
      <c r="E46" s="14">
        <v>45414.0</v>
      </c>
      <c r="F46" s="11">
        <v>7500.0</v>
      </c>
      <c r="G46" s="10"/>
      <c r="H46" s="10"/>
      <c r="I46" s="10"/>
      <c r="J46" s="10"/>
      <c r="K46" s="10"/>
      <c r="L46" s="10"/>
      <c r="M46" s="10"/>
      <c r="N46" s="10"/>
      <c r="O46" s="10"/>
      <c r="P46" s="10"/>
      <c r="Q46" s="10"/>
      <c r="R46" s="10"/>
      <c r="S46" s="10"/>
      <c r="T46" s="10"/>
      <c r="U46" s="10"/>
      <c r="V46" s="10"/>
      <c r="W46" s="10"/>
      <c r="X46" s="10"/>
      <c r="Y46" s="10"/>
      <c r="Z46" s="10"/>
      <c r="AA46" s="10"/>
    </row>
    <row r="47">
      <c r="A47" s="11" t="s">
        <v>37</v>
      </c>
      <c r="B47" s="12" t="s">
        <v>92</v>
      </c>
      <c r="C47" s="17" t="s">
        <v>27</v>
      </c>
      <c r="D47" s="18">
        <v>4.0</v>
      </c>
      <c r="E47" s="14">
        <v>45415.0</v>
      </c>
      <c r="F47" s="11">
        <v>20000.0</v>
      </c>
      <c r="G47" s="10"/>
      <c r="H47" s="10"/>
      <c r="I47" s="10"/>
      <c r="J47" s="10"/>
      <c r="K47" s="10"/>
      <c r="L47" s="10"/>
      <c r="M47" s="10"/>
      <c r="N47" s="10"/>
      <c r="O47" s="10"/>
      <c r="P47" s="10"/>
      <c r="Q47" s="10"/>
      <c r="R47" s="10"/>
      <c r="S47" s="10"/>
      <c r="T47" s="10"/>
      <c r="U47" s="10"/>
      <c r="V47" s="10"/>
      <c r="W47" s="10"/>
      <c r="X47" s="10"/>
      <c r="Y47" s="10"/>
      <c r="Z47" s="10"/>
      <c r="AA47" s="10"/>
    </row>
    <row r="48">
      <c r="A48" s="11" t="s">
        <v>45</v>
      </c>
      <c r="B48" s="12" t="s">
        <v>93</v>
      </c>
      <c r="C48" s="17" t="s">
        <v>17</v>
      </c>
      <c r="D48" s="18">
        <v>2.0</v>
      </c>
      <c r="E48" s="14">
        <v>45416.0</v>
      </c>
      <c r="F48" s="11">
        <v>15000.0</v>
      </c>
      <c r="G48" s="10"/>
      <c r="H48" s="10"/>
      <c r="I48" s="10"/>
      <c r="J48" s="10"/>
      <c r="K48" s="10"/>
      <c r="L48" s="10"/>
      <c r="M48" s="10"/>
      <c r="N48" s="10"/>
      <c r="O48" s="10"/>
      <c r="P48" s="10"/>
      <c r="Q48" s="10"/>
      <c r="R48" s="10"/>
      <c r="S48" s="10"/>
      <c r="T48" s="10"/>
      <c r="U48" s="10"/>
      <c r="V48" s="10"/>
      <c r="W48" s="10"/>
      <c r="X48" s="10"/>
      <c r="Y48" s="10"/>
      <c r="Z48" s="10"/>
      <c r="AA48" s="10"/>
    </row>
    <row r="49">
      <c r="A49" s="11" t="s">
        <v>21</v>
      </c>
      <c r="B49" s="12" t="s">
        <v>94</v>
      </c>
      <c r="C49" s="17" t="s">
        <v>27</v>
      </c>
      <c r="D49" s="18">
        <v>3.0</v>
      </c>
      <c r="E49" s="14">
        <v>45418.0</v>
      </c>
      <c r="F49" s="11">
        <v>15000.0</v>
      </c>
      <c r="G49" s="10"/>
      <c r="H49" s="10"/>
      <c r="I49" s="10"/>
      <c r="J49" s="10"/>
      <c r="K49" s="10"/>
      <c r="L49" s="10"/>
      <c r="M49" s="10"/>
      <c r="N49" s="10"/>
      <c r="O49" s="10"/>
      <c r="P49" s="10"/>
      <c r="Q49" s="10"/>
      <c r="R49" s="10"/>
      <c r="S49" s="10"/>
      <c r="T49" s="10"/>
      <c r="U49" s="10"/>
      <c r="V49" s="10"/>
      <c r="W49" s="10"/>
      <c r="X49" s="10"/>
      <c r="Y49" s="10"/>
      <c r="Z49" s="10"/>
      <c r="AA49" s="10"/>
    </row>
    <row r="50">
      <c r="A50" s="12" t="s">
        <v>42</v>
      </c>
      <c r="B50" s="12" t="s">
        <v>95</v>
      </c>
      <c r="C50" s="17" t="s">
        <v>17</v>
      </c>
      <c r="D50" s="18">
        <v>2.0</v>
      </c>
      <c r="E50" s="14">
        <v>45418.0</v>
      </c>
      <c r="F50" s="11">
        <v>15000.0</v>
      </c>
      <c r="G50" s="10"/>
      <c r="H50" s="10"/>
      <c r="I50" s="16"/>
      <c r="J50" s="10"/>
      <c r="K50" s="10"/>
      <c r="L50" s="10"/>
      <c r="M50" s="10"/>
      <c r="N50" s="10"/>
      <c r="O50" s="10"/>
      <c r="P50" s="10"/>
      <c r="Q50" s="10"/>
      <c r="R50" s="10"/>
      <c r="S50" s="10"/>
      <c r="T50" s="10"/>
      <c r="U50" s="10"/>
      <c r="V50" s="10"/>
      <c r="W50" s="10"/>
      <c r="X50" s="10"/>
      <c r="Y50" s="10"/>
      <c r="Z50" s="10"/>
      <c r="AA50" s="10"/>
    </row>
    <row r="51">
      <c r="A51" s="11" t="s">
        <v>39</v>
      </c>
      <c r="B51" s="12" t="s">
        <v>96</v>
      </c>
      <c r="C51" s="17" t="s">
        <v>17</v>
      </c>
      <c r="D51" s="18">
        <v>2.0</v>
      </c>
      <c r="E51" s="14">
        <v>45419.0</v>
      </c>
      <c r="F51" s="11">
        <v>15000.0</v>
      </c>
      <c r="G51" s="10"/>
      <c r="H51" s="10"/>
      <c r="I51" s="16"/>
      <c r="J51" s="10"/>
      <c r="K51" s="10"/>
      <c r="L51" s="10"/>
      <c r="M51" s="10"/>
      <c r="N51" s="10"/>
      <c r="O51" s="10"/>
      <c r="P51" s="10"/>
      <c r="Q51" s="10"/>
      <c r="R51" s="10"/>
      <c r="S51" s="10"/>
      <c r="T51" s="10"/>
      <c r="U51" s="10"/>
      <c r="V51" s="10"/>
      <c r="W51" s="10"/>
      <c r="X51" s="10"/>
      <c r="Y51" s="10"/>
      <c r="Z51" s="10"/>
      <c r="AA51" s="10"/>
    </row>
    <row r="52">
      <c r="A52" s="11" t="s">
        <v>62</v>
      </c>
      <c r="B52" s="12" t="s">
        <v>97</v>
      </c>
      <c r="C52" s="17" t="s">
        <v>27</v>
      </c>
      <c r="D52" s="18">
        <v>4.0</v>
      </c>
      <c r="E52" s="14">
        <v>45420.0</v>
      </c>
      <c r="F52" s="11">
        <v>20000.0</v>
      </c>
      <c r="G52" s="10"/>
      <c r="H52" s="10"/>
      <c r="I52" s="16"/>
      <c r="J52" s="10"/>
      <c r="K52" s="10"/>
      <c r="L52" s="10"/>
      <c r="M52" s="10"/>
      <c r="N52" s="10"/>
      <c r="O52" s="10"/>
      <c r="P52" s="10"/>
      <c r="Q52" s="10"/>
      <c r="R52" s="10"/>
      <c r="S52" s="10"/>
      <c r="T52" s="10"/>
      <c r="U52" s="10"/>
      <c r="V52" s="10"/>
      <c r="W52" s="10"/>
      <c r="X52" s="10"/>
      <c r="Y52" s="10"/>
      <c r="Z52" s="10"/>
      <c r="AA52" s="10"/>
    </row>
    <row r="53">
      <c r="A53" s="11" t="s">
        <v>90</v>
      </c>
      <c r="B53" s="12" t="s">
        <v>98</v>
      </c>
      <c r="C53" s="17" t="s">
        <v>27</v>
      </c>
      <c r="D53" s="18">
        <v>3.0</v>
      </c>
      <c r="E53" s="14">
        <v>45422.0</v>
      </c>
      <c r="F53" s="11">
        <v>15000.0</v>
      </c>
      <c r="G53" s="10"/>
      <c r="H53" s="10"/>
      <c r="I53" s="16"/>
      <c r="J53" s="10"/>
      <c r="K53" s="10"/>
      <c r="L53" s="10"/>
      <c r="M53" s="10"/>
      <c r="N53" s="10"/>
      <c r="O53" s="10"/>
      <c r="P53" s="10"/>
      <c r="Q53" s="10"/>
      <c r="R53" s="10"/>
      <c r="S53" s="10"/>
      <c r="T53" s="10"/>
      <c r="U53" s="10"/>
      <c r="V53" s="10"/>
      <c r="W53" s="10"/>
      <c r="X53" s="10"/>
      <c r="Y53" s="10"/>
      <c r="Z53" s="10"/>
      <c r="AA53" s="10"/>
    </row>
    <row r="54">
      <c r="A54" s="11" t="s">
        <v>45</v>
      </c>
      <c r="B54" s="12" t="s">
        <v>99</v>
      </c>
      <c r="C54" s="17" t="s">
        <v>27</v>
      </c>
      <c r="D54" s="18">
        <v>3.0</v>
      </c>
      <c r="E54" s="14">
        <v>45422.0</v>
      </c>
      <c r="F54" s="11">
        <v>15000.0</v>
      </c>
      <c r="G54" s="10"/>
      <c r="H54" s="10"/>
      <c r="I54" s="16"/>
      <c r="J54" s="10"/>
      <c r="K54" s="10"/>
      <c r="L54" s="10"/>
      <c r="M54" s="10"/>
      <c r="N54" s="10"/>
      <c r="O54" s="10"/>
      <c r="P54" s="10"/>
      <c r="Q54" s="10"/>
      <c r="R54" s="10"/>
      <c r="S54" s="10"/>
      <c r="T54" s="10"/>
      <c r="U54" s="10"/>
      <c r="V54" s="10"/>
      <c r="W54" s="10"/>
      <c r="X54" s="10"/>
      <c r="Y54" s="10"/>
      <c r="Z54" s="10"/>
      <c r="AA54" s="10"/>
    </row>
    <row r="55">
      <c r="A55" s="11" t="s">
        <v>90</v>
      </c>
      <c r="B55" s="12" t="s">
        <v>100</v>
      </c>
      <c r="C55" s="17" t="s">
        <v>30</v>
      </c>
      <c r="D55" s="18">
        <v>5.0</v>
      </c>
      <c r="E55" s="14">
        <v>45423.0</v>
      </c>
      <c r="F55" s="11">
        <v>12500.0</v>
      </c>
      <c r="G55" s="10"/>
      <c r="H55" s="10"/>
      <c r="I55" s="10"/>
      <c r="J55" s="10"/>
      <c r="K55" s="10"/>
      <c r="L55" s="10"/>
      <c r="M55" s="10"/>
      <c r="N55" s="10"/>
      <c r="O55" s="10"/>
      <c r="P55" s="10"/>
      <c r="Q55" s="10"/>
      <c r="R55" s="10"/>
      <c r="S55" s="10"/>
      <c r="T55" s="10"/>
      <c r="U55" s="10"/>
      <c r="V55" s="10"/>
      <c r="W55" s="10"/>
      <c r="X55" s="10"/>
      <c r="Y55" s="10"/>
      <c r="Z55" s="10"/>
      <c r="AA55" s="10"/>
    </row>
    <row r="56">
      <c r="A56" s="11" t="s">
        <v>101</v>
      </c>
      <c r="B56" s="12" t="s">
        <v>102</v>
      </c>
      <c r="C56" s="17" t="s">
        <v>30</v>
      </c>
      <c r="D56" s="18">
        <v>7.0</v>
      </c>
      <c r="E56" s="14">
        <v>45423.0</v>
      </c>
      <c r="F56" s="11">
        <v>17500.0</v>
      </c>
      <c r="G56" s="10"/>
      <c r="H56" s="10"/>
      <c r="I56" s="10"/>
      <c r="J56" s="10"/>
      <c r="K56" s="10"/>
      <c r="L56" s="10"/>
      <c r="M56" s="10"/>
      <c r="N56" s="10"/>
      <c r="O56" s="10"/>
      <c r="P56" s="10"/>
      <c r="Q56" s="10"/>
      <c r="R56" s="10"/>
      <c r="S56" s="10"/>
      <c r="T56" s="10"/>
      <c r="U56" s="10"/>
      <c r="V56" s="10"/>
      <c r="W56" s="10"/>
      <c r="X56" s="10"/>
      <c r="Y56" s="10"/>
      <c r="Z56" s="10"/>
      <c r="AA56" s="10"/>
    </row>
    <row r="57">
      <c r="A57" s="11" t="s">
        <v>37</v>
      </c>
      <c r="B57" s="12" t="s">
        <v>103</v>
      </c>
      <c r="C57" s="17" t="s">
        <v>27</v>
      </c>
      <c r="D57" s="18">
        <v>4.0</v>
      </c>
      <c r="E57" s="14">
        <v>45423.0</v>
      </c>
      <c r="F57" s="11">
        <v>20000.0</v>
      </c>
      <c r="G57" s="10"/>
      <c r="H57" s="10"/>
      <c r="I57" s="10"/>
      <c r="J57" s="10"/>
      <c r="K57" s="10"/>
      <c r="L57" s="10"/>
      <c r="M57" s="10"/>
      <c r="N57" s="10"/>
      <c r="O57" s="10"/>
      <c r="P57" s="10"/>
      <c r="Q57" s="10"/>
      <c r="R57" s="10"/>
      <c r="S57" s="10"/>
      <c r="T57" s="10"/>
      <c r="U57" s="10"/>
      <c r="V57" s="10"/>
      <c r="W57" s="10"/>
      <c r="X57" s="10"/>
      <c r="Y57" s="10"/>
      <c r="Z57" s="10"/>
      <c r="AA57" s="10"/>
    </row>
    <row r="58">
      <c r="A58" s="11" t="s">
        <v>56</v>
      </c>
      <c r="B58" s="12" t="s">
        <v>104</v>
      </c>
      <c r="C58" s="17" t="s">
        <v>17</v>
      </c>
      <c r="D58" s="18">
        <v>2.0</v>
      </c>
      <c r="E58" s="14">
        <v>45424.0</v>
      </c>
      <c r="F58" s="11">
        <v>15000.0</v>
      </c>
      <c r="G58" s="10"/>
      <c r="H58" s="10"/>
      <c r="I58" s="10"/>
      <c r="J58" s="10"/>
      <c r="K58" s="10"/>
      <c r="L58" s="10"/>
      <c r="M58" s="10"/>
      <c r="N58" s="10"/>
      <c r="O58" s="10"/>
      <c r="P58" s="10"/>
      <c r="Q58" s="10"/>
      <c r="R58" s="10"/>
      <c r="S58" s="10"/>
      <c r="T58" s="10"/>
      <c r="U58" s="10"/>
      <c r="V58" s="10"/>
      <c r="W58" s="10"/>
      <c r="X58" s="10"/>
      <c r="Y58" s="10"/>
      <c r="Z58" s="10"/>
      <c r="AA58" s="10"/>
    </row>
    <row r="59">
      <c r="A59" s="11" t="s">
        <v>23</v>
      </c>
      <c r="B59" s="12" t="s">
        <v>105</v>
      </c>
      <c r="C59" s="17" t="s">
        <v>30</v>
      </c>
      <c r="D59" s="18">
        <v>7.0</v>
      </c>
      <c r="E59" s="14">
        <v>45426.0</v>
      </c>
      <c r="F59" s="11">
        <v>17500.0</v>
      </c>
      <c r="G59" s="10"/>
      <c r="H59" s="10"/>
      <c r="I59" s="10"/>
      <c r="J59" s="10"/>
      <c r="K59" s="10"/>
      <c r="L59" s="10"/>
      <c r="M59" s="10"/>
      <c r="N59" s="10"/>
      <c r="O59" s="10"/>
      <c r="P59" s="10"/>
      <c r="Q59" s="10"/>
      <c r="R59" s="10"/>
      <c r="S59" s="10"/>
      <c r="T59" s="10"/>
      <c r="U59" s="10"/>
      <c r="V59" s="10"/>
      <c r="W59" s="10"/>
      <c r="X59" s="10"/>
      <c r="Y59" s="10"/>
      <c r="Z59" s="10"/>
      <c r="AA59" s="10"/>
    </row>
    <row r="60">
      <c r="A60" s="12" t="s">
        <v>35</v>
      </c>
      <c r="B60" s="12" t="s">
        <v>106</v>
      </c>
      <c r="C60" s="17" t="s">
        <v>27</v>
      </c>
      <c r="D60" s="18">
        <v>4.0</v>
      </c>
      <c r="E60" s="14">
        <v>45428.0</v>
      </c>
      <c r="F60" s="11">
        <v>20000.0</v>
      </c>
      <c r="G60" s="10"/>
      <c r="H60" s="10"/>
      <c r="I60" s="10"/>
      <c r="J60" s="10"/>
      <c r="K60" s="10"/>
      <c r="L60" s="10"/>
      <c r="M60" s="10"/>
      <c r="N60" s="10"/>
      <c r="O60" s="10"/>
      <c r="P60" s="10"/>
      <c r="Q60" s="10"/>
      <c r="R60" s="10"/>
      <c r="S60" s="10"/>
      <c r="T60" s="10"/>
      <c r="U60" s="10"/>
      <c r="V60" s="10"/>
      <c r="W60" s="10"/>
      <c r="X60" s="10"/>
      <c r="Y60" s="10"/>
      <c r="Z60" s="10"/>
      <c r="AA60" s="10"/>
    </row>
    <row r="61">
      <c r="A61" s="11" t="s">
        <v>107</v>
      </c>
      <c r="B61" s="12" t="s">
        <v>108</v>
      </c>
      <c r="C61" s="17" t="s">
        <v>27</v>
      </c>
      <c r="D61" s="18">
        <v>3.0</v>
      </c>
      <c r="E61" s="14">
        <v>45429.0</v>
      </c>
      <c r="F61" s="11">
        <v>15000.0</v>
      </c>
      <c r="G61" s="10"/>
      <c r="H61" s="10"/>
      <c r="I61" s="10"/>
      <c r="J61" s="10"/>
      <c r="K61" s="10"/>
      <c r="L61" s="10"/>
      <c r="M61" s="10"/>
      <c r="N61" s="10"/>
      <c r="O61" s="10"/>
      <c r="P61" s="10"/>
      <c r="Q61" s="10"/>
      <c r="R61" s="10"/>
      <c r="S61" s="10"/>
      <c r="T61" s="10"/>
      <c r="U61" s="10"/>
      <c r="V61" s="10"/>
      <c r="W61" s="10"/>
      <c r="X61" s="10"/>
      <c r="Y61" s="10"/>
      <c r="Z61" s="10"/>
      <c r="AA61" s="10"/>
    </row>
    <row r="62">
      <c r="A62" s="11" t="s">
        <v>109</v>
      </c>
      <c r="B62" s="12" t="s">
        <v>110</v>
      </c>
      <c r="C62" s="17" t="s">
        <v>17</v>
      </c>
      <c r="D62" s="18">
        <v>1.0</v>
      </c>
      <c r="E62" s="14">
        <v>45429.0</v>
      </c>
      <c r="F62" s="11">
        <v>7500.0</v>
      </c>
      <c r="G62" s="10"/>
      <c r="H62" s="10"/>
      <c r="I62" s="10"/>
      <c r="J62" s="10"/>
      <c r="K62" s="10"/>
      <c r="L62" s="10"/>
      <c r="M62" s="10"/>
      <c r="N62" s="10"/>
      <c r="O62" s="10"/>
      <c r="P62" s="10"/>
      <c r="Q62" s="10"/>
      <c r="R62" s="10"/>
      <c r="S62" s="10"/>
      <c r="T62" s="10"/>
      <c r="U62" s="10"/>
      <c r="V62" s="10"/>
      <c r="W62" s="10"/>
      <c r="X62" s="10"/>
      <c r="Y62" s="10"/>
      <c r="Z62" s="10"/>
      <c r="AA62" s="10"/>
    </row>
    <row r="63">
      <c r="A63" s="11" t="s">
        <v>33</v>
      </c>
      <c r="B63" s="12" t="s">
        <v>111</v>
      </c>
      <c r="C63" s="17" t="s">
        <v>27</v>
      </c>
      <c r="D63" s="18">
        <v>3.0</v>
      </c>
      <c r="E63" s="14">
        <v>45429.0</v>
      </c>
      <c r="F63" s="11">
        <v>15000.0</v>
      </c>
      <c r="G63" s="10"/>
      <c r="H63" s="10"/>
      <c r="I63" s="10"/>
      <c r="J63" s="10"/>
      <c r="K63" s="10"/>
      <c r="L63" s="10"/>
      <c r="M63" s="10"/>
      <c r="N63" s="10"/>
      <c r="O63" s="10"/>
      <c r="P63" s="10"/>
      <c r="Q63" s="10"/>
      <c r="R63" s="10"/>
      <c r="S63" s="10"/>
      <c r="T63" s="10"/>
      <c r="U63" s="10"/>
      <c r="V63" s="10"/>
      <c r="W63" s="10"/>
      <c r="X63" s="10"/>
      <c r="Y63" s="10"/>
      <c r="Z63" s="10"/>
      <c r="AA63" s="10"/>
    </row>
    <row r="64">
      <c r="A64" s="11" t="s">
        <v>112</v>
      </c>
      <c r="B64" s="12" t="s">
        <v>113</v>
      </c>
      <c r="C64" s="17" t="s">
        <v>17</v>
      </c>
      <c r="D64" s="18">
        <v>2.0</v>
      </c>
      <c r="E64" s="14">
        <v>45429.0</v>
      </c>
      <c r="F64" s="11">
        <v>15000.0</v>
      </c>
      <c r="G64" s="10"/>
      <c r="H64" s="10"/>
      <c r="I64" s="10"/>
      <c r="J64" s="10"/>
      <c r="K64" s="10"/>
      <c r="L64" s="10"/>
      <c r="M64" s="10"/>
      <c r="N64" s="10"/>
      <c r="O64" s="10"/>
      <c r="P64" s="10"/>
      <c r="Q64" s="10"/>
      <c r="R64" s="10"/>
      <c r="S64" s="10"/>
      <c r="T64" s="10"/>
      <c r="U64" s="10"/>
      <c r="V64" s="10"/>
      <c r="W64" s="10"/>
      <c r="X64" s="10"/>
      <c r="Y64" s="10"/>
      <c r="Z64" s="10"/>
      <c r="AA64" s="10"/>
    </row>
    <row r="65">
      <c r="A65" s="11" t="s">
        <v>21</v>
      </c>
      <c r="B65" s="12" t="s">
        <v>114</v>
      </c>
      <c r="C65" s="17" t="s">
        <v>27</v>
      </c>
      <c r="D65" s="18">
        <v>3.0</v>
      </c>
      <c r="E65" s="14">
        <v>45434.0</v>
      </c>
      <c r="F65" s="11">
        <v>15000.0</v>
      </c>
      <c r="G65" s="10"/>
      <c r="H65" s="10"/>
      <c r="I65" s="10"/>
      <c r="J65" s="10"/>
      <c r="K65" s="10"/>
      <c r="L65" s="10"/>
      <c r="M65" s="10"/>
      <c r="N65" s="10"/>
      <c r="O65" s="10"/>
      <c r="P65" s="10"/>
      <c r="Q65" s="10"/>
      <c r="R65" s="10"/>
      <c r="S65" s="10"/>
      <c r="T65" s="10"/>
      <c r="U65" s="10"/>
      <c r="V65" s="10"/>
      <c r="W65" s="10"/>
      <c r="X65" s="10"/>
      <c r="Y65" s="10"/>
      <c r="Z65" s="10"/>
      <c r="AA65" s="10"/>
    </row>
    <row r="66">
      <c r="A66" s="11" t="s">
        <v>39</v>
      </c>
      <c r="B66" s="12" t="s">
        <v>115</v>
      </c>
      <c r="C66" s="17" t="s">
        <v>17</v>
      </c>
      <c r="D66" s="18">
        <v>2.0</v>
      </c>
      <c r="E66" s="14">
        <v>45434.0</v>
      </c>
      <c r="F66" s="11">
        <v>15000.0</v>
      </c>
      <c r="G66" s="10"/>
      <c r="H66" s="10"/>
      <c r="I66" s="10"/>
      <c r="J66" s="10"/>
      <c r="K66" s="10"/>
      <c r="L66" s="10"/>
      <c r="M66" s="10"/>
      <c r="N66" s="10"/>
      <c r="O66" s="10"/>
      <c r="P66" s="10"/>
      <c r="Q66" s="10"/>
      <c r="R66" s="10"/>
      <c r="S66" s="10"/>
      <c r="T66" s="10"/>
      <c r="U66" s="10"/>
      <c r="V66" s="10"/>
      <c r="W66" s="10"/>
      <c r="X66" s="10"/>
      <c r="Y66" s="10"/>
      <c r="Z66" s="10"/>
      <c r="AA66" s="10"/>
    </row>
    <row r="67">
      <c r="A67" s="11" t="s">
        <v>109</v>
      </c>
      <c r="B67" s="12" t="s">
        <v>116</v>
      </c>
      <c r="C67" s="17" t="s">
        <v>17</v>
      </c>
      <c r="D67" s="18">
        <v>1.0</v>
      </c>
      <c r="E67" s="14">
        <v>45434.0</v>
      </c>
      <c r="F67" s="11">
        <v>7500.0</v>
      </c>
      <c r="G67" s="10"/>
      <c r="H67" s="10"/>
      <c r="I67" s="10"/>
      <c r="J67" s="10"/>
      <c r="K67" s="10"/>
      <c r="L67" s="10"/>
      <c r="M67" s="10"/>
      <c r="N67" s="10"/>
      <c r="O67" s="10"/>
      <c r="P67" s="10"/>
      <c r="Q67" s="10"/>
      <c r="R67" s="10"/>
      <c r="S67" s="10"/>
      <c r="T67" s="10"/>
      <c r="U67" s="10"/>
      <c r="V67" s="10"/>
      <c r="W67" s="10"/>
      <c r="X67" s="10"/>
      <c r="Y67" s="10"/>
      <c r="Z67" s="10"/>
      <c r="AA67" s="10"/>
    </row>
    <row r="68">
      <c r="A68" s="11" t="s">
        <v>21</v>
      </c>
      <c r="B68" s="12" t="s">
        <v>117</v>
      </c>
      <c r="C68" s="17" t="s">
        <v>30</v>
      </c>
      <c r="D68" s="18">
        <v>5.0</v>
      </c>
      <c r="E68" s="14">
        <v>45434.0</v>
      </c>
      <c r="F68" s="11">
        <v>12500.0</v>
      </c>
      <c r="G68" s="10"/>
      <c r="H68" s="10"/>
      <c r="I68" s="10"/>
      <c r="J68" s="10"/>
      <c r="K68" s="10"/>
      <c r="L68" s="10"/>
      <c r="M68" s="10"/>
      <c r="N68" s="10"/>
      <c r="O68" s="10"/>
      <c r="P68" s="10"/>
      <c r="Q68" s="10"/>
      <c r="R68" s="10"/>
      <c r="S68" s="10"/>
      <c r="T68" s="10"/>
      <c r="U68" s="10"/>
      <c r="V68" s="10"/>
      <c r="W68" s="10"/>
      <c r="X68" s="10"/>
      <c r="Y68" s="10"/>
      <c r="Z68" s="10"/>
      <c r="AA68" s="10"/>
    </row>
    <row r="69">
      <c r="A69" s="20" t="s">
        <v>118</v>
      </c>
      <c r="B69" s="12" t="s">
        <v>119</v>
      </c>
      <c r="C69" s="17" t="s">
        <v>17</v>
      </c>
      <c r="D69" s="18">
        <v>2.0</v>
      </c>
      <c r="E69" s="14">
        <v>45435.0</v>
      </c>
      <c r="F69" s="11">
        <v>15000.0</v>
      </c>
      <c r="G69" s="10"/>
      <c r="H69" s="10"/>
      <c r="I69" s="10"/>
      <c r="J69" s="10"/>
      <c r="K69" s="10"/>
      <c r="L69" s="10"/>
      <c r="M69" s="10"/>
      <c r="N69" s="10"/>
      <c r="O69" s="10"/>
      <c r="P69" s="10"/>
      <c r="Q69" s="10"/>
      <c r="R69" s="10"/>
      <c r="S69" s="10"/>
      <c r="T69" s="10"/>
      <c r="U69" s="10"/>
      <c r="V69" s="10"/>
      <c r="W69" s="10"/>
      <c r="X69" s="10"/>
      <c r="Y69" s="10"/>
      <c r="Z69" s="10"/>
      <c r="AA69" s="10"/>
    </row>
    <row r="70">
      <c r="A70" s="20" t="s">
        <v>42</v>
      </c>
      <c r="B70" s="12" t="s">
        <v>120</v>
      </c>
      <c r="C70" s="17" t="s">
        <v>27</v>
      </c>
      <c r="D70" s="18">
        <v>3.0</v>
      </c>
      <c r="E70" s="14">
        <v>45436.0</v>
      </c>
      <c r="F70" s="11">
        <v>15000.0</v>
      </c>
      <c r="G70" s="10"/>
      <c r="H70" s="10"/>
      <c r="I70" s="10"/>
      <c r="J70" s="10"/>
      <c r="K70" s="10"/>
      <c r="L70" s="10"/>
      <c r="M70" s="10"/>
      <c r="N70" s="10"/>
      <c r="O70" s="10"/>
      <c r="P70" s="10"/>
      <c r="Q70" s="10"/>
      <c r="R70" s="10"/>
      <c r="S70" s="10"/>
      <c r="T70" s="10"/>
      <c r="U70" s="10"/>
      <c r="V70" s="10"/>
      <c r="W70" s="10"/>
      <c r="X70" s="10"/>
      <c r="Y70" s="10"/>
      <c r="Z70" s="10"/>
      <c r="AA70" s="10"/>
    </row>
    <row r="71">
      <c r="A71" s="20" t="s">
        <v>90</v>
      </c>
      <c r="B71" s="12" t="s">
        <v>121</v>
      </c>
      <c r="C71" s="17" t="s">
        <v>30</v>
      </c>
      <c r="D71" s="18">
        <v>5.0</v>
      </c>
      <c r="E71" s="14">
        <v>45437.0</v>
      </c>
      <c r="F71" s="11">
        <v>12500.0</v>
      </c>
      <c r="G71" s="10"/>
      <c r="H71" s="10"/>
      <c r="I71" s="10"/>
      <c r="J71" s="10"/>
      <c r="K71" s="10"/>
      <c r="L71" s="10"/>
      <c r="M71" s="10"/>
      <c r="N71" s="10"/>
      <c r="O71" s="10"/>
      <c r="P71" s="10"/>
      <c r="Q71" s="10"/>
      <c r="R71" s="10"/>
      <c r="S71" s="10"/>
      <c r="T71" s="10"/>
      <c r="U71" s="10"/>
      <c r="V71" s="10"/>
      <c r="W71" s="10"/>
      <c r="X71" s="10"/>
      <c r="Y71" s="10"/>
      <c r="Z71" s="10"/>
      <c r="AA71" s="10"/>
    </row>
    <row r="72">
      <c r="A72" s="20" t="s">
        <v>122</v>
      </c>
      <c r="B72" s="12" t="s">
        <v>123</v>
      </c>
      <c r="C72" s="17" t="s">
        <v>30</v>
      </c>
      <c r="D72" s="18">
        <v>5.0</v>
      </c>
      <c r="E72" s="14">
        <v>45437.0</v>
      </c>
      <c r="F72" s="11">
        <v>12500.0</v>
      </c>
      <c r="G72" s="10"/>
      <c r="H72" s="10"/>
      <c r="I72" s="10"/>
      <c r="J72" s="10"/>
      <c r="K72" s="10"/>
      <c r="L72" s="10"/>
      <c r="M72" s="10"/>
      <c r="N72" s="10"/>
      <c r="O72" s="10"/>
      <c r="P72" s="10"/>
      <c r="Q72" s="10"/>
      <c r="R72" s="10"/>
      <c r="S72" s="10"/>
      <c r="T72" s="10"/>
      <c r="U72" s="10"/>
      <c r="V72" s="10"/>
      <c r="W72" s="10"/>
      <c r="X72" s="10"/>
      <c r="Y72" s="10"/>
      <c r="Z72" s="10"/>
      <c r="AA72" s="10"/>
    </row>
    <row r="73">
      <c r="A73" s="20" t="s">
        <v>39</v>
      </c>
      <c r="B73" s="12" t="s">
        <v>124</v>
      </c>
      <c r="C73" s="17" t="s">
        <v>30</v>
      </c>
      <c r="D73" s="18">
        <v>5.0</v>
      </c>
      <c r="E73" s="14">
        <v>45438.0</v>
      </c>
      <c r="F73" s="11">
        <v>12500.0</v>
      </c>
      <c r="G73" s="10"/>
      <c r="H73" s="10"/>
      <c r="I73" s="10"/>
      <c r="J73" s="10"/>
      <c r="K73" s="10"/>
      <c r="L73" s="10"/>
      <c r="M73" s="10"/>
      <c r="N73" s="10"/>
      <c r="O73" s="10"/>
      <c r="P73" s="10"/>
      <c r="Q73" s="10"/>
      <c r="R73" s="10"/>
      <c r="S73" s="10"/>
      <c r="T73" s="10"/>
      <c r="U73" s="10"/>
      <c r="V73" s="10"/>
      <c r="W73" s="10"/>
      <c r="X73" s="10"/>
      <c r="Y73" s="10"/>
      <c r="Z73" s="10"/>
      <c r="AA73" s="10"/>
    </row>
    <row r="74">
      <c r="A74" s="11" t="s">
        <v>28</v>
      </c>
      <c r="B74" s="12" t="s">
        <v>125</v>
      </c>
      <c r="C74" s="17" t="s">
        <v>27</v>
      </c>
      <c r="D74" s="18">
        <v>3.0</v>
      </c>
      <c r="E74" s="14">
        <v>45444.0</v>
      </c>
      <c r="F74" s="11">
        <v>15000.0</v>
      </c>
      <c r="G74" s="10"/>
      <c r="H74" s="10"/>
      <c r="I74" s="10"/>
      <c r="J74" s="10"/>
      <c r="K74" s="10"/>
      <c r="L74" s="10"/>
      <c r="M74" s="10"/>
      <c r="N74" s="10"/>
      <c r="O74" s="10"/>
      <c r="P74" s="10"/>
      <c r="Q74" s="10"/>
      <c r="R74" s="10"/>
      <c r="S74" s="10"/>
      <c r="T74" s="10"/>
      <c r="U74" s="10"/>
      <c r="V74" s="10"/>
      <c r="W74" s="10"/>
      <c r="X74" s="10"/>
      <c r="Y74" s="10"/>
      <c r="Z74" s="10"/>
      <c r="AA74" s="10"/>
    </row>
    <row r="75">
      <c r="A75" s="11" t="s">
        <v>126</v>
      </c>
      <c r="B75" s="12" t="s">
        <v>127</v>
      </c>
      <c r="C75" s="17" t="s">
        <v>17</v>
      </c>
      <c r="D75" s="18">
        <v>1.0</v>
      </c>
      <c r="E75" s="14">
        <v>45445.0</v>
      </c>
      <c r="F75" s="11">
        <v>7500.0</v>
      </c>
      <c r="G75" s="10"/>
      <c r="H75" s="10"/>
      <c r="I75" s="10"/>
      <c r="J75" s="10"/>
      <c r="K75" s="10"/>
      <c r="L75" s="10"/>
      <c r="M75" s="10"/>
      <c r="N75" s="10"/>
      <c r="O75" s="10"/>
      <c r="P75" s="10"/>
      <c r="Q75" s="10"/>
      <c r="R75" s="10"/>
      <c r="S75" s="10"/>
      <c r="T75" s="10"/>
      <c r="U75" s="10"/>
      <c r="V75" s="10"/>
      <c r="W75" s="10"/>
      <c r="X75" s="10"/>
      <c r="Y75" s="10"/>
      <c r="Z75" s="10"/>
      <c r="AA75" s="10"/>
    </row>
    <row r="76">
      <c r="A76" s="20" t="s">
        <v>47</v>
      </c>
      <c r="B76" s="12" t="s">
        <v>128</v>
      </c>
      <c r="C76" s="17" t="s">
        <v>17</v>
      </c>
      <c r="D76" s="18">
        <v>2.0</v>
      </c>
      <c r="E76" s="14">
        <v>45449.0</v>
      </c>
      <c r="F76" s="11">
        <v>15000.0</v>
      </c>
      <c r="G76" s="10"/>
      <c r="H76" s="10"/>
      <c r="I76" s="10"/>
      <c r="J76" s="10"/>
      <c r="K76" s="10"/>
      <c r="L76" s="10"/>
      <c r="M76" s="10"/>
      <c r="N76" s="10"/>
      <c r="O76" s="10"/>
      <c r="P76" s="10"/>
      <c r="Q76" s="10"/>
      <c r="R76" s="10"/>
      <c r="S76" s="10"/>
      <c r="T76" s="10"/>
      <c r="U76" s="10"/>
      <c r="V76" s="10"/>
      <c r="W76" s="10"/>
      <c r="X76" s="10"/>
      <c r="Y76" s="10"/>
      <c r="Z76" s="10"/>
      <c r="AA76" s="10"/>
    </row>
    <row r="77">
      <c r="A77" s="20" t="s">
        <v>35</v>
      </c>
      <c r="B77" s="12" t="s">
        <v>129</v>
      </c>
      <c r="C77" s="17" t="s">
        <v>30</v>
      </c>
      <c r="D77" s="18">
        <v>5.0</v>
      </c>
      <c r="E77" s="14">
        <v>45450.0</v>
      </c>
      <c r="F77" s="11">
        <v>12500.0</v>
      </c>
      <c r="G77" s="10"/>
      <c r="H77" s="10"/>
      <c r="I77" s="10"/>
      <c r="J77" s="10"/>
      <c r="K77" s="10"/>
      <c r="L77" s="10"/>
      <c r="M77" s="10"/>
      <c r="N77" s="10"/>
      <c r="O77" s="10"/>
      <c r="P77" s="10"/>
      <c r="Q77" s="10"/>
      <c r="R77" s="10"/>
      <c r="S77" s="10"/>
      <c r="T77" s="10"/>
      <c r="U77" s="10"/>
      <c r="V77" s="10"/>
      <c r="W77" s="10"/>
      <c r="X77" s="10"/>
      <c r="Y77" s="10"/>
      <c r="Z77" s="10"/>
      <c r="AA77" s="10"/>
    </row>
    <row r="78">
      <c r="A78" s="20" t="s">
        <v>31</v>
      </c>
      <c r="B78" s="12" t="s">
        <v>130</v>
      </c>
      <c r="C78" s="17" t="s">
        <v>17</v>
      </c>
      <c r="D78" s="18">
        <v>2.0</v>
      </c>
      <c r="E78" s="14">
        <v>45450.0</v>
      </c>
      <c r="F78" s="11">
        <v>15000.0</v>
      </c>
      <c r="G78" s="10"/>
      <c r="H78" s="10"/>
      <c r="I78" s="10"/>
      <c r="J78" s="10"/>
      <c r="K78" s="10"/>
      <c r="L78" s="10"/>
      <c r="M78" s="10"/>
      <c r="N78" s="10"/>
      <c r="O78" s="10"/>
      <c r="P78" s="10"/>
      <c r="Q78" s="10"/>
      <c r="R78" s="10"/>
      <c r="S78" s="10"/>
      <c r="T78" s="10"/>
      <c r="U78" s="10"/>
      <c r="V78" s="10"/>
      <c r="W78" s="10"/>
      <c r="X78" s="10"/>
      <c r="Y78" s="10"/>
      <c r="Z78" s="10"/>
      <c r="AA78" s="10"/>
    </row>
    <row r="79">
      <c r="A79" s="20" t="s">
        <v>21</v>
      </c>
      <c r="B79" s="12" t="s">
        <v>131</v>
      </c>
      <c r="C79" s="17" t="s">
        <v>27</v>
      </c>
      <c r="D79" s="18">
        <v>3.0</v>
      </c>
      <c r="E79" s="14">
        <v>45450.0</v>
      </c>
      <c r="F79" s="11">
        <v>15000.0</v>
      </c>
      <c r="G79" s="10"/>
      <c r="H79" s="10"/>
      <c r="I79" s="10"/>
      <c r="J79" s="10"/>
      <c r="K79" s="10"/>
      <c r="L79" s="10"/>
      <c r="M79" s="10"/>
      <c r="N79" s="10"/>
      <c r="O79" s="10"/>
      <c r="P79" s="10"/>
      <c r="Q79" s="10"/>
      <c r="R79" s="10"/>
      <c r="S79" s="10"/>
      <c r="T79" s="10"/>
      <c r="U79" s="10"/>
      <c r="V79" s="10"/>
      <c r="W79" s="10"/>
      <c r="X79" s="10"/>
      <c r="Y79" s="10"/>
      <c r="Z79" s="10"/>
      <c r="AA79" s="10"/>
    </row>
    <row r="80">
      <c r="A80" s="20" t="s">
        <v>51</v>
      </c>
      <c r="B80" s="12" t="s">
        <v>132</v>
      </c>
      <c r="C80" s="17" t="s">
        <v>30</v>
      </c>
      <c r="D80" s="18">
        <v>5.0</v>
      </c>
      <c r="E80" s="14">
        <v>45453.0</v>
      </c>
      <c r="F80" s="11">
        <v>12500.0</v>
      </c>
      <c r="G80" s="10"/>
      <c r="H80" s="10"/>
      <c r="I80" s="10"/>
      <c r="J80" s="10"/>
      <c r="K80" s="10"/>
      <c r="L80" s="10"/>
      <c r="M80" s="10"/>
      <c r="N80" s="10"/>
      <c r="O80" s="10"/>
      <c r="P80" s="10"/>
      <c r="Q80" s="10"/>
      <c r="R80" s="10"/>
      <c r="S80" s="10"/>
      <c r="T80" s="10"/>
      <c r="U80" s="10"/>
      <c r="V80" s="10"/>
      <c r="W80" s="10"/>
      <c r="X80" s="10"/>
      <c r="Y80" s="10"/>
      <c r="Z80" s="10"/>
      <c r="AA80" s="10"/>
    </row>
    <row r="81">
      <c r="A81" s="20" t="s">
        <v>28</v>
      </c>
      <c r="B81" s="12" t="s">
        <v>133</v>
      </c>
      <c r="C81" s="17" t="s">
        <v>30</v>
      </c>
      <c r="D81" s="18">
        <v>7.0</v>
      </c>
      <c r="E81" s="14">
        <v>45453.0</v>
      </c>
      <c r="F81" s="11">
        <v>17500.0</v>
      </c>
      <c r="G81" s="10"/>
      <c r="H81" s="10"/>
      <c r="I81" s="10"/>
      <c r="J81" s="10"/>
      <c r="K81" s="10"/>
      <c r="L81" s="10"/>
      <c r="M81" s="10"/>
      <c r="N81" s="10"/>
      <c r="O81" s="10"/>
      <c r="P81" s="10"/>
      <c r="Q81" s="10"/>
      <c r="R81" s="10"/>
      <c r="S81" s="10"/>
      <c r="T81" s="10"/>
      <c r="U81" s="10"/>
      <c r="V81" s="10"/>
      <c r="W81" s="10"/>
      <c r="X81" s="10"/>
      <c r="Y81" s="10"/>
      <c r="Z81" s="10"/>
      <c r="AA81" s="10"/>
    </row>
    <row r="82">
      <c r="A82" s="20" t="s">
        <v>42</v>
      </c>
      <c r="B82" s="12" t="s">
        <v>134</v>
      </c>
      <c r="C82" s="17" t="s">
        <v>17</v>
      </c>
      <c r="D82" s="18">
        <v>2.0</v>
      </c>
      <c r="E82" s="14">
        <v>45454.0</v>
      </c>
      <c r="F82" s="11">
        <v>15000.0</v>
      </c>
      <c r="G82" s="10"/>
      <c r="H82" s="10"/>
      <c r="I82" s="10"/>
      <c r="J82" s="10"/>
      <c r="K82" s="10"/>
      <c r="L82" s="10"/>
      <c r="M82" s="10"/>
      <c r="N82" s="10"/>
      <c r="O82" s="10"/>
      <c r="P82" s="10"/>
      <c r="Q82" s="10"/>
      <c r="R82" s="10"/>
      <c r="S82" s="10"/>
      <c r="T82" s="10"/>
      <c r="U82" s="10"/>
      <c r="V82" s="10"/>
      <c r="W82" s="10"/>
      <c r="X82" s="10"/>
      <c r="Y82" s="10"/>
      <c r="Z82" s="10"/>
      <c r="AA82" s="10"/>
    </row>
    <row r="83">
      <c r="A83" s="20" t="s">
        <v>135</v>
      </c>
      <c r="B83" s="12" t="s">
        <v>136</v>
      </c>
      <c r="C83" s="17" t="s">
        <v>30</v>
      </c>
      <c r="D83" s="18">
        <v>5.0</v>
      </c>
      <c r="E83" s="21">
        <v>45455.0</v>
      </c>
      <c r="F83" s="11">
        <v>12500.0</v>
      </c>
      <c r="G83" s="10"/>
      <c r="H83" s="10"/>
      <c r="I83" s="10"/>
      <c r="J83" s="10"/>
      <c r="K83" s="10"/>
      <c r="L83" s="10"/>
      <c r="M83" s="10"/>
      <c r="N83" s="10"/>
      <c r="O83" s="10"/>
      <c r="P83" s="10"/>
      <c r="Q83" s="10"/>
      <c r="R83" s="10"/>
      <c r="S83" s="10"/>
      <c r="T83" s="10"/>
      <c r="U83" s="10"/>
      <c r="V83" s="10"/>
      <c r="W83" s="10"/>
      <c r="X83" s="10"/>
      <c r="Y83" s="10"/>
      <c r="Z83" s="10"/>
      <c r="AA83" s="10"/>
    </row>
    <row r="84">
      <c r="A84" s="20" t="s">
        <v>137</v>
      </c>
      <c r="B84" s="12" t="s">
        <v>138</v>
      </c>
      <c r="C84" s="17" t="s">
        <v>17</v>
      </c>
      <c r="D84" s="18">
        <v>2.0</v>
      </c>
      <c r="E84" s="21">
        <v>45455.0</v>
      </c>
      <c r="F84" s="11">
        <v>15000.0</v>
      </c>
      <c r="G84" s="10"/>
      <c r="H84" s="10"/>
      <c r="I84" s="10"/>
      <c r="J84" s="10"/>
      <c r="K84" s="10"/>
      <c r="L84" s="10"/>
      <c r="M84" s="10"/>
      <c r="N84" s="10"/>
      <c r="O84" s="10"/>
      <c r="P84" s="10"/>
      <c r="Q84" s="10"/>
      <c r="R84" s="10"/>
      <c r="S84" s="10"/>
      <c r="T84" s="10"/>
      <c r="U84" s="10"/>
      <c r="V84" s="10"/>
      <c r="W84" s="10"/>
      <c r="X84" s="10"/>
      <c r="Y84" s="10"/>
      <c r="Z84" s="10"/>
      <c r="AA84" s="10"/>
    </row>
    <row r="85">
      <c r="A85" s="20" t="s">
        <v>45</v>
      </c>
      <c r="B85" s="12" t="s">
        <v>139</v>
      </c>
      <c r="C85" s="17" t="s">
        <v>30</v>
      </c>
      <c r="D85" s="18">
        <v>7.0</v>
      </c>
      <c r="E85" s="21">
        <v>45455.0</v>
      </c>
      <c r="F85" s="11">
        <v>17500.0</v>
      </c>
      <c r="G85" s="10"/>
      <c r="H85" s="10"/>
      <c r="I85" s="10"/>
      <c r="J85" s="10"/>
      <c r="K85" s="10"/>
      <c r="L85" s="10"/>
      <c r="M85" s="10"/>
      <c r="N85" s="10"/>
      <c r="O85" s="10"/>
      <c r="P85" s="10"/>
      <c r="Q85" s="10"/>
      <c r="R85" s="10"/>
      <c r="S85" s="10"/>
      <c r="T85" s="10"/>
      <c r="U85" s="10"/>
      <c r="V85" s="10"/>
      <c r="W85" s="10"/>
      <c r="X85" s="10"/>
      <c r="Y85" s="10"/>
      <c r="Z85" s="10"/>
      <c r="AA85" s="10"/>
    </row>
    <row r="86">
      <c r="A86" s="20" t="s">
        <v>51</v>
      </c>
      <c r="B86" s="12" t="s">
        <v>140</v>
      </c>
      <c r="C86" s="17" t="s">
        <v>27</v>
      </c>
      <c r="D86" s="18">
        <v>4.0</v>
      </c>
      <c r="E86" s="21">
        <v>45456.0</v>
      </c>
      <c r="F86" s="11">
        <v>20000.0</v>
      </c>
      <c r="G86" s="10"/>
      <c r="H86" s="10"/>
      <c r="I86" s="10"/>
      <c r="J86" s="10"/>
      <c r="K86" s="10"/>
      <c r="L86" s="10"/>
      <c r="M86" s="10"/>
      <c r="N86" s="10"/>
      <c r="O86" s="10"/>
      <c r="P86" s="10"/>
      <c r="Q86" s="10"/>
      <c r="R86" s="10"/>
      <c r="S86" s="10"/>
      <c r="T86" s="10"/>
      <c r="U86" s="10"/>
      <c r="V86" s="10"/>
      <c r="W86" s="10"/>
      <c r="X86" s="10"/>
      <c r="Y86" s="10"/>
      <c r="Z86" s="10"/>
      <c r="AA86" s="10"/>
    </row>
    <row r="87">
      <c r="A87" s="20" t="s">
        <v>141</v>
      </c>
      <c r="B87" s="12" t="s">
        <v>142</v>
      </c>
      <c r="C87" s="17" t="s">
        <v>17</v>
      </c>
      <c r="D87" s="18">
        <v>1.0</v>
      </c>
      <c r="E87" s="21">
        <v>45456.0</v>
      </c>
      <c r="F87" s="11">
        <v>7500.0</v>
      </c>
      <c r="G87" s="10"/>
      <c r="H87" s="10"/>
      <c r="I87" s="10"/>
      <c r="J87" s="10"/>
      <c r="K87" s="10"/>
      <c r="L87" s="10"/>
      <c r="M87" s="10"/>
      <c r="N87" s="10"/>
      <c r="O87" s="10"/>
      <c r="P87" s="10"/>
      <c r="Q87" s="10"/>
      <c r="R87" s="10"/>
      <c r="S87" s="10"/>
      <c r="T87" s="10"/>
      <c r="U87" s="10"/>
      <c r="V87" s="10"/>
      <c r="W87" s="10"/>
      <c r="X87" s="10"/>
      <c r="Y87" s="10"/>
      <c r="Z87" s="10"/>
      <c r="AA87" s="10"/>
    </row>
    <row r="88">
      <c r="A88" s="20" t="s">
        <v>69</v>
      </c>
      <c r="B88" s="12" t="s">
        <v>143</v>
      </c>
      <c r="C88" s="17" t="s">
        <v>30</v>
      </c>
      <c r="D88" s="18">
        <v>5.0</v>
      </c>
      <c r="E88" s="21">
        <v>45457.0</v>
      </c>
      <c r="F88" s="11">
        <v>12500.0</v>
      </c>
      <c r="G88" s="10"/>
      <c r="H88" s="10"/>
      <c r="I88" s="10"/>
      <c r="J88" s="10"/>
      <c r="K88" s="10"/>
      <c r="L88" s="10"/>
      <c r="M88" s="10"/>
      <c r="N88" s="10"/>
      <c r="O88" s="10"/>
      <c r="P88" s="10"/>
      <c r="Q88" s="10"/>
      <c r="R88" s="10"/>
      <c r="S88" s="10"/>
      <c r="T88" s="10"/>
      <c r="U88" s="10"/>
      <c r="V88" s="10"/>
      <c r="W88" s="10"/>
      <c r="X88" s="10"/>
      <c r="Y88" s="10"/>
      <c r="Z88" s="10"/>
      <c r="AA88" s="10"/>
    </row>
    <row r="89">
      <c r="A89" s="20" t="s">
        <v>107</v>
      </c>
      <c r="B89" s="12" t="s">
        <v>144</v>
      </c>
      <c r="C89" s="17" t="s">
        <v>17</v>
      </c>
      <c r="D89" s="18">
        <v>2.0</v>
      </c>
      <c r="E89" s="21">
        <v>45457.0</v>
      </c>
      <c r="F89" s="11">
        <v>15000.0</v>
      </c>
      <c r="G89" s="10"/>
      <c r="H89" s="10"/>
      <c r="I89" s="10"/>
      <c r="J89" s="10"/>
      <c r="K89" s="10"/>
      <c r="L89" s="10"/>
      <c r="M89" s="10"/>
      <c r="N89" s="10"/>
      <c r="O89" s="10"/>
      <c r="P89" s="10"/>
      <c r="Q89" s="10"/>
      <c r="R89" s="10"/>
      <c r="S89" s="10"/>
      <c r="T89" s="10"/>
      <c r="U89" s="10"/>
      <c r="V89" s="10"/>
      <c r="W89" s="10"/>
      <c r="X89" s="10"/>
      <c r="Y89" s="10"/>
      <c r="Z89" s="10"/>
      <c r="AA89" s="10"/>
    </row>
    <row r="90">
      <c r="A90" s="20" t="s">
        <v>135</v>
      </c>
      <c r="B90" s="12" t="s">
        <v>145</v>
      </c>
      <c r="C90" s="17" t="s">
        <v>17</v>
      </c>
      <c r="D90" s="18">
        <v>2.0</v>
      </c>
      <c r="E90" s="21">
        <v>45457.0</v>
      </c>
      <c r="F90" s="11">
        <v>15000.0</v>
      </c>
      <c r="G90" s="10"/>
      <c r="H90" s="10"/>
      <c r="I90" s="10"/>
      <c r="J90" s="10"/>
      <c r="K90" s="10"/>
      <c r="L90" s="10"/>
      <c r="M90" s="10"/>
      <c r="N90" s="10"/>
      <c r="O90" s="10"/>
      <c r="P90" s="10"/>
      <c r="Q90" s="10"/>
      <c r="R90" s="10"/>
      <c r="S90" s="10"/>
      <c r="T90" s="10"/>
      <c r="U90" s="10"/>
      <c r="V90" s="10"/>
      <c r="W90" s="10"/>
      <c r="X90" s="10"/>
      <c r="Y90" s="10"/>
      <c r="Z90" s="10"/>
      <c r="AA90" s="10"/>
    </row>
    <row r="91">
      <c r="A91" s="20" t="s">
        <v>107</v>
      </c>
      <c r="B91" s="12" t="s">
        <v>146</v>
      </c>
      <c r="C91" s="17" t="s">
        <v>17</v>
      </c>
      <c r="D91" s="18">
        <v>1.0</v>
      </c>
      <c r="E91" s="21">
        <v>45457.0</v>
      </c>
      <c r="F91" s="11">
        <v>7500.0</v>
      </c>
      <c r="G91" s="10"/>
      <c r="H91" s="10"/>
      <c r="I91" s="10"/>
      <c r="J91" s="10"/>
      <c r="K91" s="10"/>
      <c r="L91" s="10"/>
      <c r="M91" s="10"/>
      <c r="N91" s="10"/>
      <c r="O91" s="10"/>
      <c r="P91" s="10"/>
      <c r="Q91" s="10"/>
      <c r="R91" s="10"/>
      <c r="S91" s="10"/>
      <c r="T91" s="10"/>
      <c r="U91" s="10"/>
      <c r="V91" s="10"/>
      <c r="W91" s="10"/>
      <c r="X91" s="10"/>
      <c r="Y91" s="10"/>
      <c r="Z91" s="10"/>
      <c r="AA91" s="10"/>
    </row>
    <row r="92">
      <c r="A92" s="20" t="s">
        <v>45</v>
      </c>
      <c r="B92" s="12" t="s">
        <v>147</v>
      </c>
      <c r="C92" s="17" t="s">
        <v>30</v>
      </c>
      <c r="D92" s="18">
        <v>5.0</v>
      </c>
      <c r="E92" s="21">
        <v>45458.0</v>
      </c>
      <c r="F92" s="11">
        <v>12500.0</v>
      </c>
      <c r="G92" s="10"/>
      <c r="H92" s="10"/>
      <c r="I92" s="10"/>
      <c r="J92" s="10"/>
      <c r="K92" s="10"/>
      <c r="L92" s="10"/>
      <c r="M92" s="10"/>
      <c r="N92" s="10"/>
      <c r="O92" s="10"/>
      <c r="P92" s="10"/>
      <c r="Q92" s="10"/>
      <c r="R92" s="10"/>
      <c r="S92" s="10"/>
      <c r="T92" s="10"/>
      <c r="U92" s="10"/>
      <c r="V92" s="10"/>
      <c r="W92" s="10"/>
      <c r="X92" s="10"/>
      <c r="Y92" s="10"/>
      <c r="Z92" s="10"/>
      <c r="AA92" s="10"/>
    </row>
    <row r="93">
      <c r="A93" s="20" t="s">
        <v>45</v>
      </c>
      <c r="B93" s="12" t="s">
        <v>148</v>
      </c>
      <c r="C93" s="17" t="s">
        <v>17</v>
      </c>
      <c r="D93" s="18">
        <v>2.0</v>
      </c>
      <c r="E93" s="21">
        <v>45459.0</v>
      </c>
      <c r="F93" s="11">
        <v>15000.0</v>
      </c>
      <c r="G93" s="10"/>
      <c r="H93" s="10"/>
      <c r="I93" s="10"/>
      <c r="J93" s="10"/>
      <c r="K93" s="10"/>
      <c r="L93" s="10"/>
      <c r="M93" s="10"/>
      <c r="N93" s="10"/>
      <c r="O93" s="10"/>
      <c r="P93" s="10"/>
      <c r="Q93" s="10"/>
      <c r="R93" s="10"/>
      <c r="S93" s="10"/>
      <c r="T93" s="10"/>
      <c r="U93" s="10"/>
      <c r="V93" s="10"/>
      <c r="W93" s="10"/>
      <c r="X93" s="10"/>
      <c r="Y93" s="10"/>
      <c r="Z93" s="10"/>
      <c r="AA93" s="10"/>
    </row>
    <row r="94">
      <c r="A94" s="20" t="s">
        <v>21</v>
      </c>
      <c r="B94" s="12" t="s">
        <v>149</v>
      </c>
      <c r="C94" s="17" t="s">
        <v>17</v>
      </c>
      <c r="D94" s="18">
        <v>2.0</v>
      </c>
      <c r="E94" s="21">
        <v>45460.0</v>
      </c>
      <c r="F94" s="11">
        <v>15000.0</v>
      </c>
      <c r="G94" s="10"/>
      <c r="H94" s="10"/>
      <c r="I94" s="10"/>
      <c r="J94" s="10"/>
      <c r="K94" s="10"/>
      <c r="L94" s="10"/>
      <c r="M94" s="10"/>
      <c r="N94" s="10"/>
      <c r="O94" s="10"/>
      <c r="P94" s="10"/>
      <c r="Q94" s="10"/>
      <c r="R94" s="10"/>
      <c r="S94" s="10"/>
      <c r="T94" s="10"/>
      <c r="U94" s="10"/>
      <c r="V94" s="10"/>
      <c r="W94" s="10"/>
      <c r="X94" s="10"/>
      <c r="Y94" s="10"/>
      <c r="Z94" s="10"/>
      <c r="AA94" s="10"/>
    </row>
    <row r="95">
      <c r="A95" s="20" t="s">
        <v>150</v>
      </c>
      <c r="B95" s="12" t="s">
        <v>151</v>
      </c>
      <c r="C95" s="17" t="s">
        <v>30</v>
      </c>
      <c r="D95" s="18">
        <v>7.0</v>
      </c>
      <c r="E95" s="21">
        <v>45461.0</v>
      </c>
      <c r="F95" s="11">
        <v>17500.0</v>
      </c>
      <c r="G95" s="10"/>
      <c r="H95" s="10"/>
      <c r="I95" s="10"/>
      <c r="J95" s="10"/>
      <c r="K95" s="10"/>
      <c r="L95" s="10"/>
      <c r="M95" s="10"/>
      <c r="N95" s="10"/>
      <c r="O95" s="10"/>
      <c r="P95" s="10"/>
      <c r="Q95" s="10"/>
      <c r="R95" s="10"/>
      <c r="S95" s="10"/>
      <c r="T95" s="10"/>
      <c r="U95" s="10"/>
      <c r="V95" s="10"/>
      <c r="W95" s="10"/>
      <c r="X95" s="10"/>
      <c r="Y95" s="10"/>
      <c r="Z95" s="10"/>
      <c r="AA95" s="10"/>
    </row>
    <row r="96">
      <c r="A96" s="20" t="s">
        <v>18</v>
      </c>
      <c r="B96" s="12" t="s">
        <v>152</v>
      </c>
      <c r="C96" s="17" t="s">
        <v>27</v>
      </c>
      <c r="D96" s="18">
        <v>4.0</v>
      </c>
      <c r="E96" s="21">
        <v>45462.0</v>
      </c>
      <c r="F96" s="11">
        <v>20000.0</v>
      </c>
      <c r="G96" s="10"/>
      <c r="H96" s="10"/>
      <c r="I96" s="10"/>
      <c r="J96" s="10"/>
      <c r="K96" s="10"/>
      <c r="L96" s="10"/>
      <c r="M96" s="10"/>
      <c r="N96" s="10"/>
      <c r="O96" s="10"/>
      <c r="P96" s="10"/>
      <c r="Q96" s="10"/>
      <c r="R96" s="10"/>
      <c r="S96" s="10"/>
      <c r="T96" s="10"/>
      <c r="U96" s="10"/>
      <c r="V96" s="10"/>
      <c r="W96" s="10"/>
      <c r="X96" s="10"/>
      <c r="Y96" s="10"/>
      <c r="Z96" s="10"/>
      <c r="AA96" s="10"/>
    </row>
    <row r="97">
      <c r="A97" s="20" t="s">
        <v>33</v>
      </c>
      <c r="B97" s="12" t="s">
        <v>153</v>
      </c>
      <c r="C97" s="17" t="s">
        <v>30</v>
      </c>
      <c r="D97" s="18">
        <v>7.0</v>
      </c>
      <c r="E97" s="21">
        <v>45463.0</v>
      </c>
      <c r="F97" s="11">
        <v>17500.0</v>
      </c>
      <c r="G97" s="10"/>
      <c r="H97" s="10"/>
      <c r="I97" s="10"/>
      <c r="J97" s="10"/>
      <c r="K97" s="10"/>
      <c r="L97" s="10"/>
      <c r="M97" s="10"/>
      <c r="N97" s="10"/>
      <c r="O97" s="10"/>
      <c r="P97" s="10"/>
      <c r="Q97" s="10"/>
      <c r="R97" s="10"/>
      <c r="S97" s="10"/>
      <c r="T97" s="10"/>
      <c r="U97" s="10"/>
      <c r="V97" s="10"/>
      <c r="W97" s="10"/>
      <c r="X97" s="10"/>
      <c r="Y97" s="10"/>
      <c r="Z97" s="10"/>
      <c r="AA97" s="10"/>
    </row>
    <row r="98">
      <c r="A98" s="20" t="s">
        <v>154</v>
      </c>
      <c r="B98" s="12" t="s">
        <v>155</v>
      </c>
      <c r="C98" s="17" t="s">
        <v>17</v>
      </c>
      <c r="D98" s="18">
        <v>2.0</v>
      </c>
      <c r="E98" s="21">
        <v>45464.0</v>
      </c>
      <c r="F98" s="11">
        <v>15000.0</v>
      </c>
      <c r="G98" s="10"/>
      <c r="H98" s="10"/>
      <c r="I98" s="10"/>
      <c r="J98" s="10"/>
      <c r="K98" s="10"/>
      <c r="L98" s="10"/>
      <c r="M98" s="10"/>
      <c r="N98" s="10"/>
      <c r="O98" s="10"/>
      <c r="P98" s="10"/>
      <c r="Q98" s="10"/>
      <c r="R98" s="10"/>
      <c r="S98" s="10"/>
      <c r="T98" s="10"/>
      <c r="U98" s="10"/>
      <c r="V98" s="10"/>
      <c r="W98" s="10"/>
      <c r="X98" s="10"/>
      <c r="Y98" s="10"/>
      <c r="Z98" s="10"/>
      <c r="AA98" s="10"/>
    </row>
    <row r="99">
      <c r="A99" s="20" t="s">
        <v>39</v>
      </c>
      <c r="B99" s="12" t="s">
        <v>156</v>
      </c>
      <c r="C99" s="17" t="s">
        <v>17</v>
      </c>
      <c r="D99" s="18">
        <v>2.0</v>
      </c>
      <c r="E99" s="21">
        <v>45464.0</v>
      </c>
      <c r="F99" s="11">
        <v>15000.0</v>
      </c>
      <c r="G99" s="10"/>
      <c r="H99" s="10"/>
      <c r="I99" s="10"/>
      <c r="J99" s="10"/>
      <c r="K99" s="10"/>
      <c r="L99" s="10"/>
      <c r="M99" s="10"/>
      <c r="N99" s="10"/>
      <c r="O99" s="10"/>
      <c r="P99" s="10"/>
      <c r="Q99" s="10"/>
      <c r="R99" s="10"/>
      <c r="S99" s="10"/>
      <c r="T99" s="10"/>
      <c r="U99" s="10"/>
      <c r="V99" s="10"/>
      <c r="W99" s="10"/>
      <c r="X99" s="10"/>
      <c r="Y99" s="10"/>
      <c r="Z99" s="10"/>
      <c r="AA99" s="10"/>
    </row>
    <row r="100">
      <c r="A100" s="20" t="s">
        <v>101</v>
      </c>
      <c r="B100" s="12" t="s">
        <v>157</v>
      </c>
      <c r="C100" s="17" t="s">
        <v>17</v>
      </c>
      <c r="D100" s="18">
        <v>2.0</v>
      </c>
      <c r="E100" s="21">
        <v>45464.0</v>
      </c>
      <c r="F100" s="11">
        <v>15000.0</v>
      </c>
      <c r="G100" s="10"/>
      <c r="H100" s="10"/>
      <c r="I100" s="10"/>
      <c r="J100" s="10"/>
      <c r="K100" s="10"/>
      <c r="L100" s="10"/>
      <c r="M100" s="10"/>
      <c r="N100" s="10"/>
      <c r="O100" s="10"/>
      <c r="P100" s="10"/>
      <c r="Q100" s="10"/>
      <c r="R100" s="10"/>
      <c r="S100" s="10"/>
      <c r="T100" s="10"/>
      <c r="U100" s="10"/>
      <c r="V100" s="10"/>
      <c r="W100" s="10"/>
      <c r="X100" s="10"/>
      <c r="Y100" s="10"/>
      <c r="Z100" s="10"/>
      <c r="AA100" s="10"/>
    </row>
    <row r="101">
      <c r="A101" s="20" t="s">
        <v>101</v>
      </c>
      <c r="B101" s="12" t="s">
        <v>158</v>
      </c>
      <c r="C101" s="17" t="s">
        <v>27</v>
      </c>
      <c r="D101" s="18">
        <v>3.0</v>
      </c>
      <c r="E101" s="21">
        <v>45465.0</v>
      </c>
      <c r="F101" s="11">
        <v>15000.0</v>
      </c>
      <c r="G101" s="10"/>
      <c r="H101" s="10"/>
      <c r="I101" s="10"/>
      <c r="J101" s="10"/>
      <c r="K101" s="10"/>
      <c r="L101" s="10"/>
      <c r="M101" s="10"/>
      <c r="N101" s="10"/>
      <c r="O101" s="10"/>
      <c r="P101" s="10"/>
      <c r="Q101" s="10"/>
      <c r="R101" s="10"/>
      <c r="S101" s="10"/>
      <c r="T101" s="10"/>
      <c r="U101" s="10"/>
      <c r="V101" s="10"/>
      <c r="W101" s="10"/>
      <c r="X101" s="10"/>
      <c r="Y101" s="10"/>
      <c r="Z101" s="10"/>
      <c r="AA101" s="10"/>
    </row>
    <row r="102">
      <c r="A102" s="20" t="s">
        <v>122</v>
      </c>
      <c r="B102" s="12" t="s">
        <v>159</v>
      </c>
      <c r="C102" s="17" t="s">
        <v>17</v>
      </c>
      <c r="D102" s="18">
        <v>2.0</v>
      </c>
      <c r="E102" s="21">
        <v>45466.0</v>
      </c>
      <c r="F102" s="11">
        <v>15000.0</v>
      </c>
      <c r="G102" s="10"/>
      <c r="H102" s="10"/>
      <c r="I102" s="10"/>
      <c r="J102" s="10"/>
      <c r="K102" s="10"/>
      <c r="L102" s="10"/>
      <c r="M102" s="10"/>
      <c r="N102" s="10"/>
      <c r="O102" s="10"/>
      <c r="P102" s="10"/>
      <c r="Q102" s="10"/>
      <c r="R102" s="10"/>
      <c r="S102" s="10"/>
      <c r="T102" s="10"/>
      <c r="U102" s="10"/>
      <c r="V102" s="10"/>
      <c r="W102" s="10"/>
      <c r="X102" s="10"/>
      <c r="Y102" s="10"/>
      <c r="Z102" s="10"/>
      <c r="AA102" s="10"/>
    </row>
    <row r="103">
      <c r="A103" s="20" t="s">
        <v>51</v>
      </c>
      <c r="B103" s="12" t="s">
        <v>160</v>
      </c>
      <c r="C103" s="17" t="s">
        <v>30</v>
      </c>
      <c r="D103" s="18">
        <v>7.0</v>
      </c>
      <c r="E103" s="21">
        <v>45466.0</v>
      </c>
      <c r="F103" s="11">
        <v>17500.0</v>
      </c>
      <c r="G103" s="10"/>
      <c r="H103" s="10"/>
      <c r="I103" s="10"/>
      <c r="J103" s="10"/>
      <c r="K103" s="10"/>
      <c r="L103" s="10"/>
      <c r="M103" s="10"/>
      <c r="N103" s="10"/>
      <c r="O103" s="10"/>
      <c r="P103" s="10"/>
      <c r="Q103" s="10"/>
      <c r="R103" s="10"/>
      <c r="S103" s="10"/>
      <c r="T103" s="10"/>
      <c r="U103" s="10"/>
      <c r="V103" s="10"/>
      <c r="W103" s="10"/>
      <c r="X103" s="10"/>
      <c r="Y103" s="10"/>
      <c r="Z103" s="10"/>
      <c r="AA103" s="10"/>
    </row>
    <row r="104">
      <c r="A104" s="20" t="s">
        <v>45</v>
      </c>
      <c r="B104" s="12" t="s">
        <v>161</v>
      </c>
      <c r="C104" s="17" t="s">
        <v>27</v>
      </c>
      <c r="D104" s="18">
        <v>3.0</v>
      </c>
      <c r="E104" s="21">
        <v>45466.0</v>
      </c>
      <c r="F104" s="11">
        <v>15000.0</v>
      </c>
      <c r="G104" s="10"/>
      <c r="H104" s="10"/>
      <c r="I104" s="10"/>
      <c r="J104" s="10"/>
      <c r="K104" s="10"/>
      <c r="L104" s="10"/>
      <c r="M104" s="10"/>
      <c r="N104" s="10"/>
      <c r="O104" s="10"/>
      <c r="P104" s="10"/>
      <c r="Q104" s="10"/>
      <c r="R104" s="10"/>
      <c r="S104" s="10"/>
      <c r="T104" s="10"/>
      <c r="U104" s="10"/>
      <c r="V104" s="10"/>
      <c r="W104" s="10"/>
      <c r="X104" s="10"/>
      <c r="Y104" s="10"/>
      <c r="Z104" s="10"/>
      <c r="AA104" s="10"/>
    </row>
    <row r="105">
      <c r="A105" s="20" t="s">
        <v>51</v>
      </c>
      <c r="B105" s="12" t="s">
        <v>162</v>
      </c>
      <c r="C105" s="17" t="s">
        <v>17</v>
      </c>
      <c r="D105" s="18">
        <v>2.0</v>
      </c>
      <c r="E105" s="21">
        <v>45467.0</v>
      </c>
      <c r="F105" s="11">
        <v>15000.0</v>
      </c>
      <c r="G105" s="10"/>
      <c r="H105" s="10"/>
      <c r="I105" s="10"/>
      <c r="J105" s="10"/>
      <c r="K105" s="10"/>
      <c r="L105" s="10"/>
      <c r="M105" s="10"/>
      <c r="N105" s="10"/>
      <c r="O105" s="10"/>
      <c r="P105" s="10"/>
      <c r="Q105" s="10"/>
      <c r="R105" s="10"/>
      <c r="S105" s="10"/>
      <c r="T105" s="10"/>
      <c r="U105" s="10"/>
      <c r="V105" s="10"/>
      <c r="W105" s="10"/>
      <c r="X105" s="10"/>
      <c r="Y105" s="10"/>
      <c r="Z105" s="10"/>
      <c r="AA105" s="10"/>
    </row>
    <row r="106">
      <c r="A106" s="20" t="s">
        <v>150</v>
      </c>
      <c r="B106" s="12" t="s">
        <v>163</v>
      </c>
      <c r="C106" s="17" t="s">
        <v>27</v>
      </c>
      <c r="D106" s="18">
        <v>3.0</v>
      </c>
      <c r="E106" s="21">
        <v>45467.0</v>
      </c>
      <c r="F106" s="11">
        <v>15000.0</v>
      </c>
      <c r="G106" s="10"/>
      <c r="H106" s="10"/>
      <c r="I106" s="10"/>
      <c r="J106" s="10"/>
      <c r="K106" s="10"/>
      <c r="L106" s="10"/>
      <c r="M106" s="10"/>
      <c r="N106" s="10"/>
      <c r="O106" s="10"/>
      <c r="P106" s="10"/>
      <c r="Q106" s="10"/>
      <c r="R106" s="10"/>
      <c r="S106" s="10"/>
      <c r="T106" s="10"/>
      <c r="U106" s="10"/>
      <c r="V106" s="10"/>
      <c r="W106" s="10"/>
      <c r="X106" s="10"/>
      <c r="Y106" s="10"/>
      <c r="Z106" s="10"/>
      <c r="AA106" s="10"/>
    </row>
    <row r="107">
      <c r="A107" s="20" t="s">
        <v>150</v>
      </c>
      <c r="B107" s="12" t="s">
        <v>164</v>
      </c>
      <c r="C107" s="17" t="s">
        <v>27</v>
      </c>
      <c r="D107" s="18">
        <v>4.0</v>
      </c>
      <c r="E107" s="21">
        <v>45468.0</v>
      </c>
      <c r="F107" s="11">
        <v>20000.0</v>
      </c>
      <c r="G107" s="10"/>
      <c r="H107" s="10"/>
      <c r="I107" s="10"/>
      <c r="J107" s="10"/>
      <c r="K107" s="10"/>
      <c r="L107" s="10"/>
      <c r="M107" s="10"/>
      <c r="N107" s="10"/>
      <c r="O107" s="10"/>
      <c r="P107" s="10"/>
      <c r="Q107" s="10"/>
      <c r="R107" s="10"/>
      <c r="S107" s="10"/>
      <c r="T107" s="10"/>
      <c r="U107" s="10"/>
      <c r="V107" s="10"/>
      <c r="W107" s="10"/>
      <c r="X107" s="10"/>
      <c r="Y107" s="10"/>
      <c r="Z107" s="10"/>
      <c r="AA107" s="10"/>
    </row>
    <row r="108">
      <c r="A108" s="20" t="s">
        <v>101</v>
      </c>
      <c r="B108" s="12" t="s">
        <v>165</v>
      </c>
      <c r="C108" s="17" t="s">
        <v>27</v>
      </c>
      <c r="D108" s="18">
        <v>3.0</v>
      </c>
      <c r="E108" s="21">
        <v>45468.0</v>
      </c>
      <c r="F108" s="11">
        <v>15000.0</v>
      </c>
      <c r="G108" s="10"/>
      <c r="H108" s="10"/>
      <c r="I108" s="10"/>
      <c r="J108" s="10"/>
      <c r="K108" s="10"/>
      <c r="L108" s="10"/>
      <c r="M108" s="10"/>
      <c r="N108" s="10"/>
      <c r="O108" s="10"/>
      <c r="P108" s="10"/>
      <c r="Q108" s="10"/>
      <c r="R108" s="10"/>
      <c r="S108" s="10"/>
      <c r="T108" s="10"/>
      <c r="U108" s="10"/>
      <c r="V108" s="10"/>
      <c r="W108" s="10"/>
      <c r="X108" s="10"/>
      <c r="Y108" s="10"/>
      <c r="Z108" s="10"/>
      <c r="AA108" s="10"/>
    </row>
    <row r="109">
      <c r="A109" s="20" t="s">
        <v>118</v>
      </c>
      <c r="B109" s="12" t="s">
        <v>166</v>
      </c>
      <c r="C109" s="17" t="s">
        <v>30</v>
      </c>
      <c r="D109" s="18">
        <v>5.0</v>
      </c>
      <c r="E109" s="21">
        <v>45469.0</v>
      </c>
      <c r="F109" s="11">
        <v>12500.0</v>
      </c>
      <c r="G109" s="10"/>
      <c r="H109" s="10"/>
      <c r="I109" s="10"/>
      <c r="J109" s="10"/>
      <c r="K109" s="10"/>
      <c r="L109" s="10"/>
      <c r="M109" s="10"/>
      <c r="N109" s="10"/>
      <c r="O109" s="10"/>
      <c r="P109" s="10"/>
      <c r="Q109" s="10"/>
      <c r="R109" s="10"/>
      <c r="S109" s="10"/>
      <c r="T109" s="10"/>
      <c r="U109" s="10"/>
      <c r="V109" s="10"/>
      <c r="W109" s="10"/>
      <c r="X109" s="10"/>
      <c r="Y109" s="10"/>
      <c r="Z109" s="10"/>
      <c r="AA109" s="10"/>
    </row>
    <row r="110">
      <c r="A110" s="20" t="s">
        <v>35</v>
      </c>
      <c r="B110" s="12" t="s">
        <v>167</v>
      </c>
      <c r="C110" s="17" t="s">
        <v>27</v>
      </c>
      <c r="D110" s="18">
        <v>3.0</v>
      </c>
      <c r="E110" s="21">
        <v>45469.0</v>
      </c>
      <c r="F110" s="11">
        <v>15000.0</v>
      </c>
      <c r="G110" s="10"/>
      <c r="H110" s="10"/>
      <c r="I110" s="10"/>
      <c r="J110" s="10"/>
      <c r="K110" s="10"/>
      <c r="L110" s="10"/>
      <c r="M110" s="10"/>
      <c r="N110" s="10"/>
      <c r="O110" s="10"/>
      <c r="P110" s="10"/>
      <c r="Q110" s="10"/>
      <c r="R110" s="10"/>
      <c r="S110" s="10"/>
      <c r="T110" s="10"/>
      <c r="U110" s="10"/>
      <c r="V110" s="10"/>
      <c r="W110" s="10"/>
      <c r="X110" s="10"/>
      <c r="Y110" s="10"/>
      <c r="Z110" s="10"/>
      <c r="AA110" s="10"/>
    </row>
    <row r="111">
      <c r="A111" s="20" t="s">
        <v>31</v>
      </c>
      <c r="B111" s="12" t="s">
        <v>168</v>
      </c>
      <c r="C111" s="17" t="s">
        <v>17</v>
      </c>
      <c r="D111" s="18">
        <v>2.0</v>
      </c>
      <c r="E111" s="21">
        <v>45470.0</v>
      </c>
      <c r="F111" s="11">
        <v>15000.0</v>
      </c>
      <c r="G111" s="10"/>
      <c r="H111" s="10"/>
      <c r="I111" s="10"/>
      <c r="J111" s="10"/>
      <c r="K111" s="10"/>
      <c r="L111" s="10"/>
      <c r="M111" s="10"/>
      <c r="N111" s="10"/>
      <c r="O111" s="10"/>
      <c r="P111" s="10"/>
      <c r="Q111" s="10"/>
      <c r="R111" s="10"/>
      <c r="S111" s="10"/>
      <c r="T111" s="10"/>
      <c r="U111" s="10"/>
      <c r="V111" s="10"/>
      <c r="W111" s="10"/>
      <c r="X111" s="10"/>
      <c r="Y111" s="10"/>
      <c r="Z111" s="10"/>
      <c r="AA111" s="10"/>
    </row>
    <row r="112">
      <c r="A112" s="20" t="s">
        <v>51</v>
      </c>
      <c r="B112" s="12" t="s">
        <v>169</v>
      </c>
      <c r="C112" s="17" t="s">
        <v>27</v>
      </c>
      <c r="D112" s="18">
        <v>3.0</v>
      </c>
      <c r="E112" s="21">
        <v>45470.0</v>
      </c>
      <c r="F112" s="11">
        <v>15000.0</v>
      </c>
      <c r="G112" s="10"/>
      <c r="H112" s="10"/>
      <c r="I112" s="10"/>
      <c r="J112" s="10"/>
      <c r="K112" s="10"/>
      <c r="L112" s="10"/>
      <c r="M112" s="10"/>
      <c r="N112" s="10"/>
      <c r="O112" s="10"/>
      <c r="P112" s="10"/>
      <c r="Q112" s="10"/>
      <c r="R112" s="10"/>
      <c r="S112" s="10"/>
      <c r="T112" s="10"/>
      <c r="U112" s="10"/>
      <c r="V112" s="10"/>
      <c r="W112" s="10"/>
      <c r="X112" s="10"/>
      <c r="Y112" s="10"/>
      <c r="Z112" s="10"/>
      <c r="AA112" s="10"/>
    </row>
    <row r="113">
      <c r="A113" s="20" t="s">
        <v>126</v>
      </c>
      <c r="B113" s="12" t="s">
        <v>170</v>
      </c>
      <c r="C113" s="17" t="s">
        <v>17</v>
      </c>
      <c r="D113" s="18">
        <v>1.0</v>
      </c>
      <c r="E113" s="21">
        <v>45471.0</v>
      </c>
      <c r="F113" s="11">
        <v>7500.0</v>
      </c>
      <c r="G113" s="10"/>
      <c r="H113" s="10"/>
      <c r="I113" s="10"/>
      <c r="J113" s="10"/>
      <c r="K113" s="10"/>
      <c r="L113" s="10"/>
      <c r="M113" s="10"/>
      <c r="N113" s="10"/>
      <c r="O113" s="10"/>
      <c r="P113" s="10"/>
      <c r="Q113" s="10"/>
      <c r="R113" s="10"/>
      <c r="S113" s="10"/>
      <c r="T113" s="10"/>
      <c r="U113" s="10"/>
      <c r="V113" s="10"/>
      <c r="W113" s="10"/>
      <c r="X113" s="10"/>
      <c r="Y113" s="10"/>
      <c r="Z113" s="10"/>
      <c r="AA113" s="10"/>
    </row>
    <row r="114">
      <c r="A114" s="20" t="s">
        <v>135</v>
      </c>
      <c r="B114" s="12" t="s">
        <v>171</v>
      </c>
      <c r="C114" s="17" t="s">
        <v>27</v>
      </c>
      <c r="D114" s="18">
        <v>3.0</v>
      </c>
      <c r="E114" s="21">
        <v>45471.0</v>
      </c>
      <c r="F114" s="11">
        <v>15000.0</v>
      </c>
      <c r="G114" s="10"/>
      <c r="H114" s="10"/>
      <c r="I114" s="10"/>
      <c r="J114" s="10"/>
      <c r="K114" s="10"/>
      <c r="L114" s="10"/>
      <c r="M114" s="10"/>
      <c r="N114" s="10"/>
      <c r="O114" s="10"/>
      <c r="P114" s="10"/>
      <c r="Q114" s="10"/>
      <c r="R114" s="10"/>
      <c r="S114" s="10"/>
      <c r="T114" s="10"/>
      <c r="U114" s="10"/>
      <c r="V114" s="10"/>
      <c r="W114" s="10"/>
      <c r="X114" s="10"/>
      <c r="Y114" s="10"/>
      <c r="Z114" s="10"/>
      <c r="AA114" s="10"/>
    </row>
    <row r="115">
      <c r="A115" s="20" t="s">
        <v>118</v>
      </c>
      <c r="B115" s="12" t="s">
        <v>172</v>
      </c>
      <c r="C115" s="17" t="s">
        <v>30</v>
      </c>
      <c r="D115" s="18">
        <v>7.0</v>
      </c>
      <c r="E115" s="14">
        <v>45473.0</v>
      </c>
      <c r="F115" s="11">
        <v>17500.0</v>
      </c>
      <c r="G115" s="10"/>
      <c r="H115" s="10"/>
      <c r="I115" s="10"/>
      <c r="J115" s="10"/>
      <c r="K115" s="10"/>
      <c r="L115" s="10"/>
      <c r="M115" s="10"/>
      <c r="N115" s="10"/>
      <c r="O115" s="10"/>
      <c r="P115" s="10"/>
      <c r="Q115" s="10"/>
      <c r="R115" s="10"/>
      <c r="S115" s="10"/>
      <c r="T115" s="10"/>
      <c r="U115" s="10"/>
      <c r="V115" s="10"/>
      <c r="W115" s="10"/>
      <c r="X115" s="10"/>
      <c r="Y115" s="10"/>
      <c r="Z115" s="10"/>
      <c r="AA115" s="10"/>
    </row>
    <row r="116">
      <c r="A116" s="20" t="s">
        <v>73</v>
      </c>
      <c r="B116" s="12" t="s">
        <v>173</v>
      </c>
      <c r="C116" s="17" t="s">
        <v>27</v>
      </c>
      <c r="D116" s="18">
        <v>4.0</v>
      </c>
      <c r="E116" s="14">
        <v>45473.0</v>
      </c>
      <c r="F116" s="11">
        <v>20000.0</v>
      </c>
      <c r="G116" s="10"/>
      <c r="H116" s="10"/>
      <c r="I116" s="10"/>
      <c r="J116" s="10"/>
      <c r="K116" s="10"/>
      <c r="L116" s="10"/>
      <c r="M116" s="10"/>
      <c r="N116" s="10"/>
      <c r="O116" s="10"/>
      <c r="P116" s="10"/>
      <c r="Q116" s="10"/>
      <c r="R116" s="10"/>
      <c r="S116" s="10"/>
      <c r="T116" s="10"/>
      <c r="U116" s="10"/>
      <c r="V116" s="10"/>
      <c r="W116" s="10"/>
      <c r="X116" s="10"/>
      <c r="Y116" s="10"/>
      <c r="Z116" s="10"/>
      <c r="AA116" s="10"/>
    </row>
    <row r="117">
      <c r="A117" s="10"/>
      <c r="B117" s="10"/>
      <c r="C117" s="22"/>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c r="A118" s="10"/>
      <c r="B118" s="10"/>
      <c r="C118" s="22"/>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c r="A119" s="10"/>
      <c r="B119" s="10"/>
      <c r="C119" s="22"/>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c r="A120" s="10"/>
      <c r="B120" s="10"/>
      <c r="C120" s="22"/>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c r="A121" s="10"/>
      <c r="B121" s="10"/>
      <c r="C121" s="22"/>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c r="A122" s="10"/>
      <c r="B122" s="10"/>
      <c r="C122" s="22"/>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c r="A123" s="10"/>
      <c r="B123" s="10"/>
      <c r="C123" s="22"/>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c r="A124" s="10"/>
      <c r="B124" s="10"/>
      <c r="C124" s="22"/>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c r="A125" s="10"/>
      <c r="B125" s="10"/>
      <c r="C125" s="22"/>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c r="A126" s="10"/>
      <c r="B126" s="10"/>
      <c r="C126" s="22"/>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c r="A127" s="10"/>
      <c r="B127" s="10"/>
      <c r="C127" s="22"/>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c r="A128" s="10"/>
      <c r="B128" s="10"/>
      <c r="C128" s="22"/>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c r="A129" s="10"/>
      <c r="B129" s="10"/>
      <c r="C129" s="22"/>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c r="A130" s="10"/>
      <c r="B130" s="10"/>
      <c r="C130" s="22"/>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c r="A131" s="10"/>
      <c r="B131" s="10"/>
      <c r="C131" s="22"/>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c r="A132" s="10"/>
      <c r="B132" s="10"/>
      <c r="C132" s="22"/>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c r="A133" s="10"/>
      <c r="B133" s="10"/>
      <c r="C133" s="22"/>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c r="A134" s="10"/>
      <c r="B134" s="10"/>
      <c r="C134" s="22"/>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c r="A135" s="10"/>
      <c r="B135" s="10"/>
      <c r="C135" s="22"/>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c r="A136" s="10"/>
      <c r="B136" s="10"/>
      <c r="C136" s="22"/>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c r="A137" s="10"/>
      <c r="B137" s="10"/>
      <c r="C137" s="22"/>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c r="A138" s="10"/>
      <c r="B138" s="10"/>
      <c r="C138" s="22"/>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c r="A139" s="10"/>
      <c r="B139" s="10"/>
      <c r="C139" s="22"/>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c r="A140" s="10"/>
      <c r="B140" s="10"/>
      <c r="C140" s="22"/>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c r="A141" s="10"/>
      <c r="B141" s="10"/>
      <c r="C141" s="22"/>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c r="A142" s="10"/>
      <c r="B142" s="10"/>
      <c r="C142" s="22"/>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c r="A143" s="10"/>
      <c r="B143" s="10"/>
      <c r="C143" s="22"/>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c r="A144" s="10"/>
      <c r="B144" s="10"/>
      <c r="C144" s="22"/>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c r="A145" s="10"/>
      <c r="B145" s="10"/>
      <c r="C145" s="22"/>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c r="A146" s="10"/>
      <c r="B146" s="10"/>
      <c r="C146" s="22"/>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c r="A147" s="10"/>
      <c r="B147" s="10"/>
      <c r="C147" s="22"/>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c r="A148" s="10"/>
      <c r="B148" s="10"/>
      <c r="C148" s="22"/>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c r="A149" s="10"/>
      <c r="B149" s="10"/>
      <c r="C149" s="22"/>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c r="A150" s="10"/>
      <c r="B150" s="10"/>
      <c r="C150" s="22"/>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c r="A151" s="10"/>
      <c r="B151" s="10"/>
      <c r="C151" s="22"/>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c r="A152" s="10"/>
      <c r="B152" s="10"/>
      <c r="C152" s="22"/>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c r="A153" s="10"/>
      <c r="B153" s="10"/>
      <c r="C153" s="22"/>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c r="A154" s="10"/>
      <c r="B154" s="10"/>
      <c r="C154" s="22"/>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c r="A155" s="10"/>
      <c r="B155" s="10"/>
      <c r="C155" s="22"/>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c r="A156" s="10"/>
      <c r="B156" s="10"/>
      <c r="C156" s="22"/>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c r="A157" s="10"/>
      <c r="B157" s="10"/>
      <c r="C157" s="22"/>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c r="A158" s="10"/>
      <c r="B158" s="10"/>
      <c r="C158" s="22"/>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c r="A159" s="10"/>
      <c r="B159" s="10"/>
      <c r="C159" s="22"/>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c r="A160" s="10"/>
      <c r="B160" s="10"/>
      <c r="C160" s="22"/>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c r="A161" s="10"/>
      <c r="B161" s="10"/>
      <c r="C161" s="22"/>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c r="A162" s="10"/>
      <c r="B162" s="10"/>
      <c r="C162" s="22"/>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c r="A163" s="10"/>
      <c r="B163" s="10"/>
      <c r="C163" s="22"/>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c r="A164" s="10"/>
      <c r="B164" s="10"/>
      <c r="C164" s="22"/>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c r="A165" s="10"/>
      <c r="B165" s="10"/>
      <c r="C165" s="22"/>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c r="A166" s="10"/>
      <c r="B166" s="10"/>
      <c r="C166" s="22"/>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c r="A167" s="10"/>
      <c r="B167" s="10"/>
      <c r="C167" s="22"/>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c r="A168" s="10"/>
      <c r="B168" s="10"/>
      <c r="C168" s="22"/>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c r="A169" s="10"/>
      <c r="B169" s="10"/>
      <c r="C169" s="22"/>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c r="A170" s="10"/>
      <c r="B170" s="10"/>
      <c r="C170" s="22"/>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c r="A171" s="10"/>
      <c r="B171" s="10"/>
      <c r="C171" s="22"/>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c r="A172" s="10"/>
      <c r="B172" s="10"/>
      <c r="C172" s="22"/>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c r="A173" s="10"/>
      <c r="B173" s="10"/>
      <c r="C173" s="22"/>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c r="A174" s="10"/>
      <c r="B174" s="10"/>
      <c r="C174" s="22"/>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c r="A175" s="10"/>
      <c r="B175" s="10"/>
      <c r="C175" s="22"/>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c r="A176" s="10"/>
      <c r="B176" s="10"/>
      <c r="C176" s="22"/>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c r="A177" s="10"/>
      <c r="B177" s="10"/>
      <c r="C177" s="22"/>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c r="A178" s="10"/>
      <c r="B178" s="10"/>
      <c r="C178" s="22"/>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c r="A179" s="10"/>
      <c r="B179" s="10"/>
      <c r="C179" s="22"/>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c r="A180" s="10"/>
      <c r="B180" s="10"/>
      <c r="C180" s="22"/>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c r="A181" s="10"/>
      <c r="B181" s="10"/>
      <c r="C181" s="22"/>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c r="A182" s="10"/>
      <c r="B182" s="10"/>
      <c r="C182" s="22"/>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c r="A183" s="10"/>
      <c r="B183" s="10"/>
      <c r="C183" s="22"/>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c r="A184" s="10"/>
      <c r="B184" s="10"/>
      <c r="C184" s="22"/>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c r="A185" s="10"/>
      <c r="B185" s="10"/>
      <c r="C185" s="22"/>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c r="A186" s="10"/>
      <c r="B186" s="10"/>
      <c r="C186" s="22"/>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c r="A187" s="10"/>
      <c r="B187" s="10"/>
      <c r="C187" s="22"/>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c r="A188" s="10"/>
      <c r="B188" s="10"/>
      <c r="C188" s="22"/>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c r="A189" s="10"/>
      <c r="B189" s="10"/>
      <c r="C189" s="22"/>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c r="A190" s="10"/>
      <c r="B190" s="10"/>
      <c r="C190" s="22"/>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c r="A191" s="10"/>
      <c r="B191" s="10"/>
      <c r="C191" s="22"/>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c r="A192" s="10"/>
      <c r="B192" s="10"/>
      <c r="C192" s="22"/>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c r="A193" s="10"/>
      <c r="B193" s="10"/>
      <c r="C193" s="22"/>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c r="A194" s="10"/>
      <c r="B194" s="10"/>
      <c r="C194" s="22"/>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c r="A195" s="10"/>
      <c r="B195" s="10"/>
      <c r="C195" s="22"/>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c r="A196" s="10"/>
      <c r="B196" s="10"/>
      <c r="C196" s="22"/>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c r="A197" s="10"/>
      <c r="B197" s="10"/>
      <c r="C197" s="22"/>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c r="A198" s="10"/>
      <c r="B198" s="10"/>
      <c r="C198" s="22"/>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c r="A199" s="10"/>
      <c r="B199" s="10"/>
      <c r="C199" s="22"/>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c r="A200" s="10"/>
      <c r="B200" s="10"/>
      <c r="C200" s="22"/>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c r="A201" s="10"/>
      <c r="B201" s="10"/>
      <c r="C201" s="22"/>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c r="A202" s="10"/>
      <c r="B202" s="10"/>
      <c r="C202" s="22"/>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c r="A203" s="10"/>
      <c r="B203" s="10"/>
      <c r="C203" s="22"/>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c r="A204" s="10"/>
      <c r="B204" s="10"/>
      <c r="C204" s="22"/>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c r="A205" s="10"/>
      <c r="B205" s="10"/>
      <c r="C205" s="22"/>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c r="A206" s="10"/>
      <c r="B206" s="10"/>
      <c r="C206" s="22"/>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c r="A207" s="10"/>
      <c r="B207" s="10"/>
      <c r="C207" s="22"/>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c r="A208" s="10"/>
      <c r="B208" s="10"/>
      <c r="C208" s="22"/>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c r="A209" s="10"/>
      <c r="B209" s="10"/>
      <c r="C209" s="22"/>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c r="A210" s="10"/>
      <c r="B210" s="10"/>
      <c r="C210" s="22"/>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c r="A211" s="10"/>
      <c r="B211" s="10"/>
      <c r="C211" s="22"/>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c r="A212" s="10"/>
      <c r="B212" s="10"/>
      <c r="C212" s="22"/>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c r="A213" s="10"/>
      <c r="B213" s="10"/>
      <c r="C213" s="22"/>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c r="A214" s="10"/>
      <c r="B214" s="10"/>
      <c r="C214" s="22"/>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c r="A215" s="10"/>
      <c r="B215" s="10"/>
      <c r="C215" s="22"/>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c r="A216" s="10"/>
      <c r="B216" s="10"/>
      <c r="C216" s="22"/>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c r="A217" s="10"/>
      <c r="B217" s="10"/>
      <c r="C217" s="22"/>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c r="A218" s="10"/>
      <c r="B218" s="10"/>
      <c r="C218" s="22"/>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c r="A219" s="10"/>
      <c r="B219" s="10"/>
      <c r="C219" s="22"/>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c r="A220" s="10"/>
      <c r="B220" s="10"/>
      <c r="C220" s="22"/>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c r="A221" s="10"/>
      <c r="B221" s="10"/>
      <c r="C221" s="22"/>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c r="A222" s="10"/>
      <c r="B222" s="10"/>
      <c r="C222" s="22"/>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c r="A223" s="10"/>
      <c r="B223" s="10"/>
      <c r="C223" s="22"/>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c r="A224" s="10"/>
      <c r="B224" s="10"/>
      <c r="C224" s="22"/>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c r="A225" s="10"/>
      <c r="B225" s="10"/>
      <c r="C225" s="22"/>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c r="A226" s="10"/>
      <c r="B226" s="10"/>
      <c r="C226" s="22"/>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c r="A227" s="10"/>
      <c r="B227" s="10"/>
      <c r="C227" s="22"/>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c r="A228" s="10"/>
      <c r="B228" s="10"/>
      <c r="C228" s="22"/>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c r="A229" s="10"/>
      <c r="B229" s="10"/>
      <c r="C229" s="22"/>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c r="A230" s="10"/>
      <c r="B230" s="10"/>
      <c r="C230" s="22"/>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c r="A231" s="10"/>
      <c r="B231" s="10"/>
      <c r="C231" s="22"/>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c r="A232" s="10"/>
      <c r="B232" s="10"/>
      <c r="C232" s="22"/>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c r="A233" s="10"/>
      <c r="B233" s="10"/>
      <c r="C233" s="22"/>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c r="A234" s="10"/>
      <c r="B234" s="10"/>
      <c r="C234" s="22"/>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c r="A235" s="10"/>
      <c r="B235" s="10"/>
      <c r="C235" s="22"/>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c r="A236" s="10"/>
      <c r="B236" s="10"/>
      <c r="C236" s="22"/>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c r="A237" s="10"/>
      <c r="B237" s="10"/>
      <c r="C237" s="22"/>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c r="A238" s="10"/>
      <c r="B238" s="10"/>
      <c r="C238" s="22"/>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c r="A239" s="10"/>
      <c r="B239" s="10"/>
      <c r="C239" s="22"/>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c r="A240" s="10"/>
      <c r="B240" s="10"/>
      <c r="C240" s="22"/>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c r="A241" s="10"/>
      <c r="B241" s="10"/>
      <c r="C241" s="22"/>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c r="A242" s="10"/>
      <c r="B242" s="10"/>
      <c r="C242" s="22"/>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c r="A243" s="10"/>
      <c r="B243" s="10"/>
      <c r="C243" s="22"/>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c r="A244" s="10"/>
      <c r="B244" s="10"/>
      <c r="C244" s="22"/>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c r="A245" s="10"/>
      <c r="B245" s="10"/>
      <c r="C245" s="22"/>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c r="A246" s="10"/>
      <c r="B246" s="10"/>
      <c r="C246" s="22"/>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c r="A247" s="10"/>
      <c r="B247" s="10"/>
      <c r="C247" s="22"/>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c r="A248" s="10"/>
      <c r="B248" s="10"/>
      <c r="C248" s="22"/>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c r="A249" s="10"/>
      <c r="B249" s="10"/>
      <c r="C249" s="22"/>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c r="A250" s="10"/>
      <c r="B250" s="10"/>
      <c r="C250" s="22"/>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c r="A251" s="10"/>
      <c r="B251" s="10"/>
      <c r="C251" s="22"/>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c r="A252" s="10"/>
      <c r="B252" s="10"/>
      <c r="C252" s="22"/>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c r="A253" s="10"/>
      <c r="B253" s="10"/>
      <c r="C253" s="22"/>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c r="A254" s="10"/>
      <c r="B254" s="10"/>
      <c r="C254" s="22"/>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c r="A255" s="10"/>
      <c r="B255" s="10"/>
      <c r="C255" s="22"/>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c r="A256" s="10"/>
      <c r="B256" s="10"/>
      <c r="C256" s="22"/>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c r="A257" s="10"/>
      <c r="B257" s="10"/>
      <c r="C257" s="22"/>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c r="A258" s="10"/>
      <c r="B258" s="10"/>
      <c r="C258" s="22"/>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c r="A259" s="10"/>
      <c r="B259" s="10"/>
      <c r="C259" s="22"/>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c r="A260" s="10"/>
      <c r="B260" s="10"/>
      <c r="C260" s="22"/>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c r="A261" s="10"/>
      <c r="B261" s="10"/>
      <c r="C261" s="22"/>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c r="A262" s="10"/>
      <c r="B262" s="10"/>
      <c r="C262" s="22"/>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c r="A263" s="10"/>
      <c r="B263" s="10"/>
      <c r="C263" s="22"/>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c r="A264" s="10"/>
      <c r="B264" s="10"/>
      <c r="C264" s="22"/>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c r="A265" s="10"/>
      <c r="B265" s="10"/>
      <c r="C265" s="22"/>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c r="A266" s="10"/>
      <c r="B266" s="10"/>
      <c r="C266" s="22"/>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c r="A267" s="10"/>
      <c r="B267" s="10"/>
      <c r="C267" s="22"/>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c r="A268" s="10"/>
      <c r="B268" s="10"/>
      <c r="C268" s="22"/>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c r="A269" s="10"/>
      <c r="B269" s="10"/>
      <c r="C269" s="22"/>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c r="A270" s="10"/>
      <c r="B270" s="10"/>
      <c r="C270" s="22"/>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c r="A271" s="10"/>
      <c r="B271" s="10"/>
      <c r="C271" s="22"/>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c r="A272" s="10"/>
      <c r="B272" s="10"/>
      <c r="C272" s="22"/>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c r="A273" s="10"/>
      <c r="B273" s="10"/>
      <c r="C273" s="22"/>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c r="A274" s="10"/>
      <c r="B274" s="10"/>
      <c r="C274" s="22"/>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c r="A275" s="10"/>
      <c r="B275" s="10"/>
      <c r="C275" s="22"/>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c r="A276" s="10"/>
      <c r="B276" s="10"/>
      <c r="C276" s="22"/>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c r="A277" s="10"/>
      <c r="B277" s="10"/>
      <c r="C277" s="22"/>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c r="A278" s="10"/>
      <c r="B278" s="10"/>
      <c r="C278" s="22"/>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c r="A279" s="10"/>
      <c r="B279" s="10"/>
      <c r="C279" s="22"/>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c r="A280" s="10"/>
      <c r="B280" s="10"/>
      <c r="C280" s="22"/>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c r="A281" s="10"/>
      <c r="B281" s="10"/>
      <c r="C281" s="22"/>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c r="A282" s="10"/>
      <c r="B282" s="10"/>
      <c r="C282" s="22"/>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c r="A283" s="10"/>
      <c r="B283" s="10"/>
      <c r="C283" s="22"/>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c r="A284" s="10"/>
      <c r="B284" s="10"/>
      <c r="C284" s="22"/>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c r="A285" s="10"/>
      <c r="B285" s="10"/>
      <c r="C285" s="22"/>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c r="A286" s="10"/>
      <c r="B286" s="10"/>
      <c r="C286" s="22"/>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c r="A287" s="10"/>
      <c r="B287" s="10"/>
      <c r="C287" s="22"/>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c r="A288" s="10"/>
      <c r="B288" s="10"/>
      <c r="C288" s="22"/>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c r="A289" s="10"/>
      <c r="B289" s="10"/>
      <c r="C289" s="22"/>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c r="A290" s="10"/>
      <c r="B290" s="10"/>
      <c r="C290" s="22"/>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c r="A291" s="10"/>
      <c r="B291" s="10"/>
      <c r="C291" s="22"/>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c r="A292" s="10"/>
      <c r="B292" s="10"/>
      <c r="C292" s="22"/>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c r="A293" s="10"/>
      <c r="B293" s="10"/>
      <c r="C293" s="22"/>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c r="A294" s="10"/>
      <c r="B294" s="10"/>
      <c r="C294" s="22"/>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c r="A295" s="10"/>
      <c r="B295" s="10"/>
      <c r="C295" s="22"/>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c r="A296" s="10"/>
      <c r="B296" s="10"/>
      <c r="C296" s="22"/>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c r="A297" s="10"/>
      <c r="B297" s="10"/>
      <c r="C297" s="22"/>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c r="A298" s="10"/>
      <c r="B298" s="10"/>
      <c r="C298" s="22"/>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c r="A299" s="10"/>
      <c r="B299" s="10"/>
      <c r="C299" s="22"/>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c r="A300" s="10"/>
      <c r="B300" s="10"/>
      <c r="C300" s="22"/>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c r="A301" s="10"/>
      <c r="B301" s="10"/>
      <c r="C301" s="22"/>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c r="A302" s="10"/>
      <c r="B302" s="10"/>
      <c r="C302" s="22"/>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c r="A303" s="10"/>
      <c r="B303" s="10"/>
      <c r="C303" s="22"/>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c r="A304" s="10"/>
      <c r="B304" s="10"/>
      <c r="C304" s="22"/>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c r="A305" s="10"/>
      <c r="B305" s="10"/>
      <c r="C305" s="22"/>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c r="A306" s="10"/>
      <c r="B306" s="10"/>
      <c r="C306" s="22"/>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c r="A307" s="10"/>
      <c r="B307" s="10"/>
      <c r="C307" s="22"/>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c r="A308" s="10"/>
      <c r="B308" s="10"/>
      <c r="C308" s="22"/>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c r="A309" s="10"/>
      <c r="B309" s="10"/>
      <c r="C309" s="22"/>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c r="A310" s="10"/>
      <c r="B310" s="10"/>
      <c r="C310" s="22"/>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c r="A311" s="10"/>
      <c r="B311" s="10"/>
      <c r="C311" s="22"/>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c r="A312" s="10"/>
      <c r="B312" s="10"/>
      <c r="C312" s="22"/>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c r="A313" s="10"/>
      <c r="B313" s="10"/>
      <c r="C313" s="22"/>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c r="A314" s="10"/>
      <c r="B314" s="10"/>
      <c r="C314" s="22"/>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c r="A315" s="10"/>
      <c r="B315" s="10"/>
      <c r="C315" s="22"/>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c r="A316" s="10"/>
      <c r="B316" s="10"/>
      <c r="C316" s="22"/>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c r="A317" s="10"/>
      <c r="B317" s="10"/>
      <c r="C317" s="22"/>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c r="A318" s="10"/>
      <c r="B318" s="10"/>
      <c r="C318" s="22"/>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c r="A319" s="10"/>
      <c r="B319" s="10"/>
      <c r="C319" s="22"/>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c r="A320" s="10"/>
      <c r="B320" s="10"/>
      <c r="C320" s="22"/>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c r="A321" s="10"/>
      <c r="B321" s="10"/>
      <c r="C321" s="22"/>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c r="A322" s="10"/>
      <c r="B322" s="10"/>
      <c r="C322" s="22"/>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c r="A323" s="10"/>
      <c r="B323" s="10"/>
      <c r="C323" s="22"/>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c r="A324" s="10"/>
      <c r="B324" s="10"/>
      <c r="C324" s="22"/>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c r="A325" s="10"/>
      <c r="B325" s="10"/>
      <c r="C325" s="22"/>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c r="A326" s="10"/>
      <c r="B326" s="10"/>
      <c r="C326" s="22"/>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c r="A327" s="10"/>
      <c r="B327" s="10"/>
      <c r="C327" s="22"/>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c r="A328" s="10"/>
      <c r="B328" s="10"/>
      <c r="C328" s="22"/>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c r="A329" s="10"/>
      <c r="B329" s="10"/>
      <c r="C329" s="22"/>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c r="A330" s="10"/>
      <c r="B330" s="10"/>
      <c r="C330" s="22"/>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c r="A331" s="10"/>
      <c r="B331" s="10"/>
      <c r="C331" s="22"/>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c r="A332" s="10"/>
      <c r="B332" s="10"/>
      <c r="C332" s="22"/>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c r="A333" s="10"/>
      <c r="B333" s="10"/>
      <c r="C333" s="22"/>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c r="A334" s="10"/>
      <c r="B334" s="10"/>
      <c r="C334" s="22"/>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c r="A335" s="10"/>
      <c r="B335" s="10"/>
      <c r="C335" s="22"/>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c r="A336" s="10"/>
      <c r="B336" s="10"/>
      <c r="C336" s="22"/>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c r="A337" s="10"/>
      <c r="B337" s="10"/>
      <c r="C337" s="22"/>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c r="A338" s="10"/>
      <c r="B338" s="10"/>
      <c r="C338" s="22"/>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c r="A339" s="10"/>
      <c r="B339" s="10"/>
      <c r="C339" s="22"/>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c r="A340" s="10"/>
      <c r="B340" s="10"/>
      <c r="C340" s="22"/>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c r="A341" s="10"/>
      <c r="B341" s="10"/>
      <c r="C341" s="22"/>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c r="A342" s="10"/>
      <c r="B342" s="10"/>
      <c r="C342" s="22"/>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c r="A343" s="10"/>
      <c r="B343" s="10"/>
      <c r="C343" s="22"/>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c r="A344" s="10"/>
      <c r="B344" s="10"/>
      <c r="C344" s="22"/>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c r="A345" s="10"/>
      <c r="B345" s="10"/>
      <c r="C345" s="22"/>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c r="A346" s="10"/>
      <c r="B346" s="10"/>
      <c r="C346" s="22"/>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c r="A347" s="10"/>
      <c r="B347" s="10"/>
      <c r="C347" s="22"/>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c r="A348" s="10"/>
      <c r="B348" s="10"/>
      <c r="C348" s="22"/>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c r="A349" s="10"/>
      <c r="B349" s="10"/>
      <c r="C349" s="22"/>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c r="A350" s="10"/>
      <c r="B350" s="10"/>
      <c r="C350" s="22"/>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c r="A351" s="10"/>
      <c r="B351" s="10"/>
      <c r="C351" s="22"/>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c r="A352" s="10"/>
      <c r="B352" s="10"/>
      <c r="C352" s="22"/>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c r="A353" s="10"/>
      <c r="B353" s="10"/>
      <c r="C353" s="22"/>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c r="A354" s="10"/>
      <c r="B354" s="10"/>
      <c r="C354" s="22"/>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c r="A355" s="10"/>
      <c r="B355" s="10"/>
      <c r="C355" s="22"/>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c r="A356" s="10"/>
      <c r="B356" s="10"/>
      <c r="C356" s="22"/>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c r="A357" s="10"/>
      <c r="B357" s="10"/>
      <c r="C357" s="22"/>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c r="A358" s="10"/>
      <c r="B358" s="10"/>
      <c r="C358" s="22"/>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c r="A359" s="10"/>
      <c r="B359" s="10"/>
      <c r="C359" s="22"/>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c r="A360" s="10"/>
      <c r="B360" s="10"/>
      <c r="C360" s="22"/>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c r="A361" s="10"/>
      <c r="B361" s="10"/>
      <c r="C361" s="22"/>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c r="A362" s="10"/>
      <c r="B362" s="10"/>
      <c r="C362" s="22"/>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c r="A363" s="10"/>
      <c r="B363" s="10"/>
      <c r="C363" s="22"/>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c r="A364" s="10"/>
      <c r="B364" s="10"/>
      <c r="C364" s="22"/>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c r="A365" s="10"/>
      <c r="B365" s="10"/>
      <c r="C365" s="22"/>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c r="A366" s="10"/>
      <c r="B366" s="10"/>
      <c r="C366" s="22"/>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c r="A367" s="10"/>
      <c r="B367" s="10"/>
      <c r="C367" s="22"/>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c r="A368" s="10"/>
      <c r="B368" s="10"/>
      <c r="C368" s="22"/>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c r="A369" s="10"/>
      <c r="B369" s="10"/>
      <c r="C369" s="22"/>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c r="A370" s="10"/>
      <c r="B370" s="10"/>
      <c r="C370" s="22"/>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c r="A371" s="10"/>
      <c r="B371" s="10"/>
      <c r="C371" s="22"/>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c r="A372" s="10"/>
      <c r="B372" s="10"/>
      <c r="C372" s="22"/>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c r="A373" s="10"/>
      <c r="B373" s="10"/>
      <c r="C373" s="22"/>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c r="A374" s="10"/>
      <c r="B374" s="10"/>
      <c r="C374" s="22"/>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c r="A375" s="10"/>
      <c r="B375" s="10"/>
      <c r="C375" s="22"/>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c r="A376" s="10"/>
      <c r="B376" s="10"/>
      <c r="C376" s="22"/>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c r="A377" s="10"/>
      <c r="B377" s="10"/>
      <c r="C377" s="22"/>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c r="A378" s="10"/>
      <c r="B378" s="10"/>
      <c r="C378" s="22"/>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c r="A379" s="10"/>
      <c r="B379" s="10"/>
      <c r="C379" s="22"/>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c r="A380" s="10"/>
      <c r="B380" s="10"/>
      <c r="C380" s="22"/>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c r="A381" s="10"/>
      <c r="B381" s="10"/>
      <c r="C381" s="22"/>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c r="A382" s="10"/>
      <c r="B382" s="10"/>
      <c r="C382" s="22"/>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c r="A383" s="10"/>
      <c r="B383" s="10"/>
      <c r="C383" s="22"/>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c r="A384" s="10"/>
      <c r="B384" s="10"/>
      <c r="C384" s="22"/>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c r="A385" s="10"/>
      <c r="B385" s="10"/>
      <c r="C385" s="22"/>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c r="A386" s="10"/>
      <c r="B386" s="10"/>
      <c r="C386" s="22"/>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c r="A387" s="10"/>
      <c r="B387" s="10"/>
      <c r="C387" s="22"/>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c r="A388" s="10"/>
      <c r="B388" s="10"/>
      <c r="C388" s="22"/>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c r="A389" s="10"/>
      <c r="B389" s="10"/>
      <c r="C389" s="22"/>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c r="A390" s="10"/>
      <c r="B390" s="10"/>
      <c r="C390" s="22"/>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c r="A391" s="10"/>
      <c r="B391" s="10"/>
      <c r="C391" s="22"/>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c r="A392" s="10"/>
      <c r="B392" s="10"/>
      <c r="C392" s="22"/>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c r="A393" s="10"/>
      <c r="B393" s="10"/>
      <c r="C393" s="22"/>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c r="A394" s="10"/>
      <c r="B394" s="10"/>
      <c r="C394" s="22"/>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c r="A395" s="10"/>
      <c r="B395" s="10"/>
      <c r="C395" s="22"/>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c r="A396" s="10"/>
      <c r="B396" s="10"/>
      <c r="C396" s="22"/>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c r="A397" s="10"/>
      <c r="B397" s="10"/>
      <c r="C397" s="22"/>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c r="A398" s="10"/>
      <c r="B398" s="10"/>
      <c r="C398" s="22"/>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c r="A399" s="10"/>
      <c r="B399" s="10"/>
      <c r="C399" s="22"/>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c r="A400" s="10"/>
      <c r="B400" s="10"/>
      <c r="C400" s="22"/>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c r="A401" s="10"/>
      <c r="B401" s="10"/>
      <c r="C401" s="22"/>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c r="A402" s="10"/>
      <c r="B402" s="10"/>
      <c r="C402" s="22"/>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c r="A403" s="10"/>
      <c r="B403" s="10"/>
      <c r="C403" s="22"/>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c r="A404" s="10"/>
      <c r="B404" s="10"/>
      <c r="C404" s="22"/>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c r="A405" s="10"/>
      <c r="B405" s="10"/>
      <c r="C405" s="22"/>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c r="A406" s="10"/>
      <c r="B406" s="10"/>
      <c r="C406" s="22"/>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c r="A407" s="10"/>
      <c r="B407" s="10"/>
      <c r="C407" s="22"/>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c r="A408" s="10"/>
      <c r="B408" s="10"/>
      <c r="C408" s="22"/>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c r="A409" s="10"/>
      <c r="B409" s="10"/>
      <c r="C409" s="22"/>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c r="A410" s="10"/>
      <c r="B410" s="10"/>
      <c r="C410" s="22"/>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c r="A411" s="10"/>
      <c r="B411" s="10"/>
      <c r="C411" s="22"/>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c r="A412" s="10"/>
      <c r="B412" s="10"/>
      <c r="C412" s="22"/>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c r="A413" s="10"/>
      <c r="B413" s="10"/>
      <c r="C413" s="22"/>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c r="A414" s="10"/>
      <c r="B414" s="10"/>
      <c r="C414" s="22"/>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c r="A415" s="10"/>
      <c r="B415" s="10"/>
      <c r="C415" s="22"/>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c r="A416" s="10"/>
      <c r="B416" s="10"/>
      <c r="C416" s="22"/>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c r="A417" s="10"/>
      <c r="B417" s="10"/>
      <c r="C417" s="22"/>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c r="A418" s="10"/>
      <c r="B418" s="10"/>
      <c r="C418" s="22"/>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c r="A419" s="10"/>
      <c r="B419" s="10"/>
      <c r="C419" s="22"/>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c r="A420" s="10"/>
      <c r="B420" s="10"/>
      <c r="C420" s="22"/>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c r="A421" s="10"/>
      <c r="B421" s="10"/>
      <c r="C421" s="22"/>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c r="A422" s="10"/>
      <c r="B422" s="10"/>
      <c r="C422" s="22"/>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c r="A423" s="10"/>
      <c r="B423" s="10"/>
      <c r="C423" s="22"/>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c r="A424" s="10"/>
      <c r="B424" s="10"/>
      <c r="C424" s="22"/>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c r="A425" s="10"/>
      <c r="B425" s="10"/>
      <c r="C425" s="22"/>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c r="A426" s="10"/>
      <c r="B426" s="10"/>
      <c r="C426" s="22"/>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c r="A427" s="10"/>
      <c r="B427" s="10"/>
      <c r="C427" s="22"/>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c r="A428" s="10"/>
      <c r="B428" s="10"/>
      <c r="C428" s="22"/>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c r="A429" s="10"/>
      <c r="B429" s="10"/>
      <c r="C429" s="22"/>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c r="A430" s="10"/>
      <c r="B430" s="10"/>
      <c r="C430" s="22"/>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c r="A431" s="10"/>
      <c r="B431" s="10"/>
      <c r="C431" s="22"/>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c r="A432" s="10"/>
      <c r="B432" s="10"/>
      <c r="C432" s="22"/>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c r="A433" s="10"/>
      <c r="B433" s="10"/>
      <c r="C433" s="22"/>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c r="A434" s="10"/>
      <c r="B434" s="10"/>
      <c r="C434" s="22"/>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c r="A435" s="10"/>
      <c r="B435" s="10"/>
      <c r="C435" s="22"/>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c r="A436" s="10"/>
      <c r="B436" s="10"/>
      <c r="C436" s="22"/>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c r="A437" s="10"/>
      <c r="B437" s="10"/>
      <c r="C437" s="22"/>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c r="A438" s="10"/>
      <c r="B438" s="10"/>
      <c r="C438" s="22"/>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c r="A439" s="10"/>
      <c r="B439" s="10"/>
      <c r="C439" s="22"/>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c r="A440" s="10"/>
      <c r="B440" s="10"/>
      <c r="C440" s="22"/>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c r="A441" s="10"/>
      <c r="B441" s="10"/>
      <c r="C441" s="22"/>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c r="A442" s="10"/>
      <c r="B442" s="10"/>
      <c r="C442" s="22"/>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c r="A443" s="10"/>
      <c r="B443" s="10"/>
      <c r="C443" s="22"/>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c r="A444" s="10"/>
      <c r="B444" s="10"/>
      <c r="C444" s="22"/>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c r="A445" s="10"/>
      <c r="B445" s="10"/>
      <c r="C445" s="22"/>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c r="A446" s="10"/>
      <c r="B446" s="10"/>
      <c r="C446" s="22"/>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c r="A447" s="10"/>
      <c r="B447" s="10"/>
      <c r="C447" s="22"/>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c r="A448" s="10"/>
      <c r="B448" s="10"/>
      <c r="C448" s="22"/>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c r="A449" s="10"/>
      <c r="B449" s="10"/>
      <c r="C449" s="22"/>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c r="A450" s="10"/>
      <c r="B450" s="10"/>
      <c r="C450" s="22"/>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c r="A451" s="10"/>
      <c r="B451" s="10"/>
      <c r="C451" s="22"/>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c r="A452" s="10"/>
      <c r="B452" s="10"/>
      <c r="C452" s="22"/>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c r="A453" s="10"/>
      <c r="B453" s="10"/>
      <c r="C453" s="22"/>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c r="A454" s="10"/>
      <c r="B454" s="10"/>
      <c r="C454" s="22"/>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c r="A455" s="10"/>
      <c r="B455" s="10"/>
      <c r="C455" s="22"/>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c r="A456" s="10"/>
      <c r="B456" s="10"/>
      <c r="C456" s="22"/>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c r="A457" s="10"/>
      <c r="B457" s="10"/>
      <c r="C457" s="22"/>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c r="A458" s="10"/>
      <c r="B458" s="10"/>
      <c r="C458" s="22"/>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c r="A459" s="10"/>
      <c r="B459" s="10"/>
      <c r="C459" s="22"/>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c r="A460" s="10"/>
      <c r="B460" s="10"/>
      <c r="C460" s="22"/>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c r="A461" s="10"/>
      <c r="B461" s="10"/>
      <c r="C461" s="22"/>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c r="A462" s="10"/>
      <c r="B462" s="10"/>
      <c r="C462" s="22"/>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c r="A463" s="10"/>
      <c r="B463" s="10"/>
      <c r="C463" s="22"/>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c r="A464" s="10"/>
      <c r="B464" s="10"/>
      <c r="C464" s="22"/>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c r="A465" s="10"/>
      <c r="B465" s="10"/>
      <c r="C465" s="22"/>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c r="A466" s="10"/>
      <c r="B466" s="10"/>
      <c r="C466" s="22"/>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c r="A467" s="10"/>
      <c r="B467" s="10"/>
      <c r="C467" s="22"/>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c r="A468" s="10"/>
      <c r="B468" s="10"/>
      <c r="C468" s="22"/>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c r="A469" s="10"/>
      <c r="B469" s="10"/>
      <c r="C469" s="22"/>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c r="A470" s="10"/>
      <c r="B470" s="10"/>
      <c r="C470" s="22"/>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c r="A471" s="10"/>
      <c r="B471" s="10"/>
      <c r="C471" s="22"/>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c r="A472" s="10"/>
      <c r="B472" s="10"/>
      <c r="C472" s="22"/>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c r="A473" s="10"/>
      <c r="B473" s="10"/>
      <c r="C473" s="22"/>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c r="A474" s="10"/>
      <c r="B474" s="10"/>
      <c r="C474" s="22"/>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c r="A475" s="10"/>
      <c r="B475" s="10"/>
      <c r="C475" s="22"/>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c r="A476" s="10"/>
      <c r="B476" s="10"/>
      <c r="C476" s="22"/>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c r="A477" s="10"/>
      <c r="B477" s="10"/>
      <c r="C477" s="22"/>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c r="A478" s="10"/>
      <c r="B478" s="10"/>
      <c r="C478" s="22"/>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c r="A479" s="10"/>
      <c r="B479" s="10"/>
      <c r="C479" s="22"/>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c r="A480" s="10"/>
      <c r="B480" s="10"/>
      <c r="C480" s="22"/>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c r="A481" s="10"/>
      <c r="B481" s="10"/>
      <c r="C481" s="22"/>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c r="A482" s="10"/>
      <c r="B482" s="10"/>
      <c r="C482" s="22"/>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c r="A483" s="10"/>
      <c r="B483" s="10"/>
      <c r="C483" s="22"/>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c r="A484" s="10"/>
      <c r="B484" s="10"/>
      <c r="C484" s="22"/>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c r="A485" s="10"/>
      <c r="B485" s="10"/>
      <c r="C485" s="22"/>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c r="A486" s="10"/>
      <c r="B486" s="10"/>
      <c r="C486" s="22"/>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c r="A487" s="10"/>
      <c r="B487" s="10"/>
      <c r="C487" s="22"/>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c r="A488" s="10"/>
      <c r="B488" s="10"/>
      <c r="C488" s="22"/>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c r="A489" s="10"/>
      <c r="B489" s="10"/>
      <c r="C489" s="22"/>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c r="A490" s="10"/>
      <c r="B490" s="10"/>
      <c r="C490" s="22"/>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c r="A491" s="10"/>
      <c r="B491" s="10"/>
      <c r="C491" s="22"/>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c r="A492" s="10"/>
      <c r="B492" s="10"/>
      <c r="C492" s="22"/>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c r="A493" s="10"/>
      <c r="B493" s="10"/>
      <c r="C493" s="22"/>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c r="A494" s="10"/>
      <c r="B494" s="10"/>
      <c r="C494" s="22"/>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c r="A495" s="10"/>
      <c r="B495" s="10"/>
      <c r="C495" s="22"/>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c r="A496" s="10"/>
      <c r="B496" s="10"/>
      <c r="C496" s="22"/>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c r="A497" s="10"/>
      <c r="B497" s="10"/>
      <c r="C497" s="22"/>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c r="A498" s="10"/>
      <c r="B498" s="10"/>
      <c r="C498" s="22"/>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c r="A499" s="10"/>
      <c r="B499" s="10"/>
      <c r="C499" s="22"/>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c r="A500" s="10"/>
      <c r="B500" s="10"/>
      <c r="C500" s="22"/>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c r="A501" s="10"/>
      <c r="B501" s="10"/>
      <c r="C501" s="22"/>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c r="A502" s="10"/>
      <c r="B502" s="10"/>
      <c r="C502" s="22"/>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c r="A503" s="10"/>
      <c r="B503" s="10"/>
      <c r="C503" s="22"/>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c r="A504" s="10"/>
      <c r="B504" s="10"/>
      <c r="C504" s="22"/>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c r="A505" s="10"/>
      <c r="B505" s="10"/>
      <c r="C505" s="22"/>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c r="A506" s="10"/>
      <c r="B506" s="10"/>
      <c r="C506" s="22"/>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c r="A507" s="10"/>
      <c r="B507" s="10"/>
      <c r="C507" s="22"/>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c r="A508" s="10"/>
      <c r="B508" s="10"/>
      <c r="C508" s="22"/>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c r="A509" s="10"/>
      <c r="B509" s="10"/>
      <c r="C509" s="22"/>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c r="A510" s="10"/>
      <c r="B510" s="10"/>
      <c r="C510" s="22"/>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c r="A511" s="10"/>
      <c r="B511" s="10"/>
      <c r="C511" s="22"/>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c r="A512" s="10"/>
      <c r="B512" s="10"/>
      <c r="C512" s="22"/>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c r="A513" s="10"/>
      <c r="B513" s="10"/>
      <c r="C513" s="22"/>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c r="A514" s="10"/>
      <c r="B514" s="10"/>
      <c r="C514" s="22"/>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c r="A515" s="10"/>
      <c r="B515" s="10"/>
      <c r="C515" s="22"/>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c r="A516" s="10"/>
      <c r="B516" s="10"/>
      <c r="C516" s="22"/>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c r="A517" s="10"/>
      <c r="B517" s="10"/>
      <c r="C517" s="22"/>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c r="A518" s="10"/>
      <c r="B518" s="10"/>
      <c r="C518" s="22"/>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c r="A519" s="10"/>
      <c r="B519" s="10"/>
      <c r="C519" s="22"/>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c r="A520" s="10"/>
      <c r="B520" s="10"/>
      <c r="C520" s="22"/>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c r="A521" s="10"/>
      <c r="B521" s="10"/>
      <c r="C521" s="22"/>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c r="A522" s="10"/>
      <c r="B522" s="10"/>
      <c r="C522" s="22"/>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c r="A523" s="10"/>
      <c r="B523" s="10"/>
      <c r="C523" s="22"/>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c r="A524" s="10"/>
      <c r="B524" s="10"/>
      <c r="C524" s="22"/>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c r="A525" s="10"/>
      <c r="B525" s="10"/>
      <c r="C525" s="22"/>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c r="A526" s="10"/>
      <c r="B526" s="10"/>
      <c r="C526" s="22"/>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c r="A527" s="10"/>
      <c r="B527" s="10"/>
      <c r="C527" s="22"/>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c r="A528" s="10"/>
      <c r="B528" s="10"/>
      <c r="C528" s="22"/>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c r="A529" s="10"/>
      <c r="B529" s="10"/>
      <c r="C529" s="22"/>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c r="A530" s="10"/>
      <c r="B530" s="10"/>
      <c r="C530" s="22"/>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c r="A531" s="10"/>
      <c r="B531" s="10"/>
      <c r="C531" s="22"/>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c r="A532" s="10"/>
      <c r="B532" s="10"/>
      <c r="C532" s="22"/>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c r="A533" s="10"/>
      <c r="B533" s="10"/>
      <c r="C533" s="22"/>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c r="A534" s="10"/>
      <c r="B534" s="10"/>
      <c r="C534" s="22"/>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c r="A535" s="10"/>
      <c r="B535" s="10"/>
      <c r="C535" s="22"/>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c r="A536" s="10"/>
      <c r="B536" s="10"/>
      <c r="C536" s="22"/>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c r="A537" s="10"/>
      <c r="B537" s="10"/>
      <c r="C537" s="22"/>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c r="A538" s="10"/>
      <c r="B538" s="10"/>
      <c r="C538" s="22"/>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c r="A539" s="10"/>
      <c r="B539" s="10"/>
      <c r="C539" s="22"/>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c r="A540" s="10"/>
      <c r="B540" s="10"/>
      <c r="C540" s="22"/>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c r="A541" s="10"/>
      <c r="B541" s="10"/>
      <c r="C541" s="22"/>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c r="A542" s="10"/>
      <c r="B542" s="10"/>
      <c r="C542" s="22"/>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c r="A543" s="10"/>
      <c r="B543" s="10"/>
      <c r="C543" s="22"/>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c r="A544" s="10"/>
      <c r="B544" s="10"/>
      <c r="C544" s="22"/>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c r="A545" s="10"/>
      <c r="B545" s="10"/>
      <c r="C545" s="22"/>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c r="A546" s="10"/>
      <c r="B546" s="10"/>
      <c r="C546" s="22"/>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c r="A547" s="10"/>
      <c r="B547" s="10"/>
      <c r="C547" s="22"/>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c r="A548" s="10"/>
      <c r="B548" s="10"/>
      <c r="C548" s="22"/>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c r="A549" s="10"/>
      <c r="B549" s="10"/>
      <c r="C549" s="22"/>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c r="A550" s="10"/>
      <c r="B550" s="10"/>
      <c r="C550" s="22"/>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c r="A551" s="10"/>
      <c r="B551" s="10"/>
      <c r="C551" s="22"/>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c r="A552" s="10"/>
      <c r="B552" s="10"/>
      <c r="C552" s="22"/>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c r="A553" s="10"/>
      <c r="B553" s="10"/>
      <c r="C553" s="22"/>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c r="A554" s="10"/>
      <c r="B554" s="10"/>
      <c r="C554" s="22"/>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c r="A555" s="10"/>
      <c r="B555" s="10"/>
      <c r="C555" s="22"/>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c r="A556" s="10"/>
      <c r="B556" s="10"/>
      <c r="C556" s="22"/>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c r="A557" s="10"/>
      <c r="B557" s="10"/>
      <c r="C557" s="22"/>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c r="A558" s="10"/>
      <c r="B558" s="10"/>
      <c r="C558" s="22"/>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c r="A559" s="10"/>
      <c r="B559" s="10"/>
      <c r="C559" s="22"/>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c r="A560" s="10"/>
      <c r="B560" s="10"/>
      <c r="C560" s="22"/>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c r="A561" s="10"/>
      <c r="B561" s="10"/>
      <c r="C561" s="22"/>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c r="A562" s="10"/>
      <c r="B562" s="10"/>
      <c r="C562" s="22"/>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c r="A563" s="10"/>
      <c r="B563" s="10"/>
      <c r="C563" s="22"/>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c r="A564" s="10"/>
      <c r="B564" s="10"/>
      <c r="C564" s="22"/>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c r="A565" s="10"/>
      <c r="B565" s="10"/>
      <c r="C565" s="22"/>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c r="A566" s="10"/>
      <c r="B566" s="10"/>
      <c r="C566" s="22"/>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c r="A567" s="10"/>
      <c r="B567" s="10"/>
      <c r="C567" s="22"/>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c r="A568" s="10"/>
      <c r="B568" s="10"/>
      <c r="C568" s="22"/>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c r="A569" s="10"/>
      <c r="B569" s="10"/>
      <c r="C569" s="22"/>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c r="A570" s="10"/>
      <c r="B570" s="10"/>
      <c r="C570" s="22"/>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c r="A571" s="10"/>
      <c r="B571" s="10"/>
      <c r="C571" s="22"/>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c r="A572" s="10"/>
      <c r="B572" s="10"/>
      <c r="C572" s="22"/>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c r="A573" s="10"/>
      <c r="B573" s="10"/>
      <c r="C573" s="22"/>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c r="A574" s="10"/>
      <c r="B574" s="10"/>
      <c r="C574" s="22"/>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c r="A575" s="10"/>
      <c r="B575" s="10"/>
      <c r="C575" s="22"/>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c r="A576" s="10"/>
      <c r="B576" s="10"/>
      <c r="C576" s="22"/>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c r="A577" s="10"/>
      <c r="B577" s="10"/>
      <c r="C577" s="22"/>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c r="A578" s="10"/>
      <c r="B578" s="10"/>
      <c r="C578" s="22"/>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c r="A579" s="10"/>
      <c r="B579" s="10"/>
      <c r="C579" s="22"/>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c r="A580" s="10"/>
      <c r="B580" s="10"/>
      <c r="C580" s="22"/>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c r="A581" s="10"/>
      <c r="B581" s="10"/>
      <c r="C581" s="22"/>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c r="A582" s="10"/>
      <c r="B582" s="10"/>
      <c r="C582" s="22"/>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c r="A583" s="10"/>
      <c r="B583" s="10"/>
      <c r="C583" s="22"/>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c r="A584" s="10"/>
      <c r="B584" s="10"/>
      <c r="C584" s="22"/>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c r="A585" s="10"/>
      <c r="B585" s="10"/>
      <c r="C585" s="22"/>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c r="A586" s="10"/>
      <c r="B586" s="10"/>
      <c r="C586" s="22"/>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c r="A587" s="10"/>
      <c r="B587" s="10"/>
      <c r="C587" s="22"/>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c r="A588" s="10"/>
      <c r="B588" s="10"/>
      <c r="C588" s="22"/>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c r="A589" s="10"/>
      <c r="B589" s="10"/>
      <c r="C589" s="22"/>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c r="A590" s="10"/>
      <c r="B590" s="10"/>
      <c r="C590" s="22"/>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c r="A591" s="10"/>
      <c r="B591" s="10"/>
      <c r="C591" s="22"/>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c r="A592" s="10"/>
      <c r="B592" s="10"/>
      <c r="C592" s="22"/>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c r="A593" s="10"/>
      <c r="B593" s="10"/>
      <c r="C593" s="22"/>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c r="A594" s="10"/>
      <c r="B594" s="10"/>
      <c r="C594" s="22"/>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c r="A595" s="10"/>
      <c r="B595" s="10"/>
      <c r="C595" s="22"/>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c r="A596" s="10"/>
      <c r="B596" s="10"/>
      <c r="C596" s="22"/>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c r="A597" s="10"/>
      <c r="B597" s="10"/>
      <c r="C597" s="22"/>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c r="A598" s="10"/>
      <c r="B598" s="10"/>
      <c r="C598" s="22"/>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c r="A599" s="10"/>
      <c r="B599" s="10"/>
      <c r="C599" s="22"/>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c r="A600" s="10"/>
      <c r="B600" s="10"/>
      <c r="C600" s="22"/>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c r="A601" s="10"/>
      <c r="B601" s="10"/>
      <c r="C601" s="22"/>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c r="A602" s="10"/>
      <c r="B602" s="10"/>
      <c r="C602" s="22"/>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c r="A603" s="10"/>
      <c r="B603" s="10"/>
      <c r="C603" s="22"/>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c r="A604" s="10"/>
      <c r="B604" s="10"/>
      <c r="C604" s="22"/>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c r="A605" s="10"/>
      <c r="B605" s="10"/>
      <c r="C605" s="22"/>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c r="A606" s="10"/>
      <c r="B606" s="10"/>
      <c r="C606" s="22"/>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c r="A607" s="10"/>
      <c r="B607" s="10"/>
      <c r="C607" s="22"/>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c r="A608" s="10"/>
      <c r="B608" s="10"/>
      <c r="C608" s="22"/>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c r="A609" s="10"/>
      <c r="B609" s="10"/>
      <c r="C609" s="22"/>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c r="A610" s="10"/>
      <c r="B610" s="10"/>
      <c r="C610" s="22"/>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c r="A611" s="10"/>
      <c r="B611" s="10"/>
      <c r="C611" s="22"/>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c r="A612" s="10"/>
      <c r="B612" s="10"/>
      <c r="C612" s="22"/>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c r="A613" s="10"/>
      <c r="B613" s="10"/>
      <c r="C613" s="22"/>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c r="A614" s="10"/>
      <c r="B614" s="10"/>
      <c r="C614" s="22"/>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c r="A615" s="10"/>
      <c r="B615" s="10"/>
      <c r="C615" s="22"/>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c r="A616" s="10"/>
      <c r="B616" s="10"/>
      <c r="C616" s="22"/>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c r="A617" s="10"/>
      <c r="B617" s="10"/>
      <c r="C617" s="22"/>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c r="A618" s="10"/>
      <c r="B618" s="10"/>
      <c r="C618" s="22"/>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c r="A619" s="10"/>
      <c r="B619" s="10"/>
      <c r="C619" s="22"/>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c r="A620" s="10"/>
      <c r="B620" s="10"/>
      <c r="C620" s="22"/>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c r="A621" s="10"/>
      <c r="B621" s="10"/>
      <c r="C621" s="22"/>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c r="A622" s="10"/>
      <c r="B622" s="10"/>
      <c r="C622" s="22"/>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c r="A623" s="10"/>
      <c r="B623" s="10"/>
      <c r="C623" s="22"/>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c r="A624" s="10"/>
      <c r="B624" s="10"/>
      <c r="C624" s="22"/>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c r="A625" s="10"/>
      <c r="B625" s="10"/>
      <c r="C625" s="22"/>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c r="A626" s="10"/>
      <c r="B626" s="10"/>
      <c r="C626" s="22"/>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c r="A627" s="10"/>
      <c r="B627" s="10"/>
      <c r="C627" s="22"/>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c r="A628" s="10"/>
      <c r="B628" s="10"/>
      <c r="C628" s="22"/>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c r="A629" s="10"/>
      <c r="B629" s="10"/>
      <c r="C629" s="22"/>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c r="A630" s="10"/>
      <c r="B630" s="10"/>
      <c r="C630" s="22"/>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c r="A631" s="10"/>
      <c r="B631" s="10"/>
      <c r="C631" s="22"/>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c r="A632" s="10"/>
      <c r="B632" s="10"/>
      <c r="C632" s="22"/>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c r="A633" s="10"/>
      <c r="B633" s="10"/>
      <c r="C633" s="22"/>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c r="A634" s="10"/>
      <c r="B634" s="10"/>
      <c r="C634" s="22"/>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c r="A635" s="10"/>
      <c r="B635" s="10"/>
      <c r="C635" s="22"/>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c r="A636" s="10"/>
      <c r="B636" s="10"/>
      <c r="C636" s="22"/>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c r="A637" s="10"/>
      <c r="B637" s="10"/>
      <c r="C637" s="22"/>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c r="A638" s="10"/>
      <c r="B638" s="10"/>
      <c r="C638" s="22"/>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c r="A639" s="10"/>
      <c r="B639" s="10"/>
      <c r="C639" s="22"/>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c r="A640" s="10"/>
      <c r="B640" s="10"/>
      <c r="C640" s="22"/>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c r="A641" s="10"/>
      <c r="B641" s="10"/>
      <c r="C641" s="22"/>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c r="A642" s="10"/>
      <c r="B642" s="10"/>
      <c r="C642" s="22"/>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c r="A643" s="10"/>
      <c r="B643" s="10"/>
      <c r="C643" s="22"/>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c r="A644" s="10"/>
      <c r="B644" s="10"/>
      <c r="C644" s="22"/>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c r="A645" s="10"/>
      <c r="B645" s="10"/>
      <c r="C645" s="22"/>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c r="A646" s="10"/>
      <c r="B646" s="10"/>
      <c r="C646" s="22"/>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c r="A647" s="10"/>
      <c r="B647" s="10"/>
      <c r="C647" s="22"/>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c r="A648" s="10"/>
      <c r="B648" s="10"/>
      <c r="C648" s="22"/>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c r="A649" s="10"/>
      <c r="B649" s="10"/>
      <c r="C649" s="22"/>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c r="A650" s="10"/>
      <c r="B650" s="10"/>
      <c r="C650" s="22"/>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c r="A651" s="10"/>
      <c r="B651" s="10"/>
      <c r="C651" s="22"/>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c r="A652" s="10"/>
      <c r="B652" s="10"/>
      <c r="C652" s="22"/>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c r="A653" s="10"/>
      <c r="B653" s="10"/>
      <c r="C653" s="22"/>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c r="A654" s="10"/>
      <c r="B654" s="10"/>
      <c r="C654" s="22"/>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c r="A655" s="10"/>
      <c r="B655" s="10"/>
      <c r="C655" s="22"/>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c r="A656" s="10"/>
      <c r="B656" s="10"/>
      <c r="C656" s="22"/>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c r="A657" s="10"/>
      <c r="B657" s="10"/>
      <c r="C657" s="22"/>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c r="A658" s="10"/>
      <c r="B658" s="10"/>
      <c r="C658" s="22"/>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c r="A659" s="10"/>
      <c r="B659" s="10"/>
      <c r="C659" s="22"/>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c r="A660" s="10"/>
      <c r="B660" s="10"/>
      <c r="C660" s="22"/>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c r="A661" s="10"/>
      <c r="B661" s="10"/>
      <c r="C661" s="22"/>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c r="A662" s="10"/>
      <c r="B662" s="10"/>
      <c r="C662" s="22"/>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c r="A663" s="10"/>
      <c r="B663" s="10"/>
      <c r="C663" s="22"/>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c r="A664" s="10"/>
      <c r="B664" s="10"/>
      <c r="C664" s="22"/>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c r="A665" s="10"/>
      <c r="B665" s="10"/>
      <c r="C665" s="22"/>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c r="A666" s="10"/>
      <c r="B666" s="10"/>
      <c r="C666" s="22"/>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c r="A667" s="10"/>
      <c r="B667" s="10"/>
      <c r="C667" s="22"/>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c r="A668" s="10"/>
      <c r="B668" s="10"/>
      <c r="C668" s="22"/>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c r="A669" s="10"/>
      <c r="B669" s="10"/>
      <c r="C669" s="22"/>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c r="A670" s="10"/>
      <c r="B670" s="10"/>
      <c r="C670" s="22"/>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c r="A671" s="10"/>
      <c r="B671" s="10"/>
      <c r="C671" s="22"/>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c r="A672" s="10"/>
      <c r="B672" s="10"/>
      <c r="C672" s="22"/>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c r="A673" s="10"/>
      <c r="B673" s="10"/>
      <c r="C673" s="22"/>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c r="A674" s="10"/>
      <c r="B674" s="10"/>
      <c r="C674" s="22"/>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c r="A675" s="10"/>
      <c r="B675" s="10"/>
      <c r="C675" s="22"/>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c r="A676" s="10"/>
      <c r="B676" s="10"/>
      <c r="C676" s="22"/>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c r="A677" s="10"/>
      <c r="B677" s="10"/>
      <c r="C677" s="22"/>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c r="A678" s="10"/>
      <c r="B678" s="10"/>
      <c r="C678" s="22"/>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c r="A679" s="10"/>
      <c r="B679" s="10"/>
      <c r="C679" s="22"/>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c r="A680" s="10"/>
      <c r="B680" s="10"/>
      <c r="C680" s="22"/>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c r="A681" s="10"/>
      <c r="B681" s="10"/>
      <c r="C681" s="22"/>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c r="A682" s="10"/>
      <c r="B682" s="10"/>
      <c r="C682" s="22"/>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c r="A683" s="10"/>
      <c r="B683" s="10"/>
      <c r="C683" s="22"/>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c r="A684" s="10"/>
      <c r="B684" s="10"/>
      <c r="C684" s="22"/>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c r="A685" s="10"/>
      <c r="B685" s="10"/>
      <c r="C685" s="22"/>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c r="A686" s="10"/>
      <c r="B686" s="10"/>
      <c r="C686" s="22"/>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c r="A687" s="10"/>
      <c r="B687" s="10"/>
      <c r="C687" s="22"/>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c r="A688" s="10"/>
      <c r="B688" s="10"/>
      <c r="C688" s="22"/>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c r="A689" s="10"/>
      <c r="B689" s="10"/>
      <c r="C689" s="22"/>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c r="A690" s="10"/>
      <c r="B690" s="10"/>
      <c r="C690" s="22"/>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c r="A691" s="10"/>
      <c r="B691" s="10"/>
      <c r="C691" s="22"/>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c r="A692" s="10"/>
      <c r="B692" s="10"/>
      <c r="C692" s="22"/>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c r="A693" s="10"/>
      <c r="B693" s="10"/>
      <c r="C693" s="22"/>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c r="A694" s="10"/>
      <c r="B694" s="10"/>
      <c r="C694" s="22"/>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c r="A695" s="10"/>
      <c r="B695" s="10"/>
      <c r="C695" s="22"/>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c r="A696" s="10"/>
      <c r="B696" s="10"/>
      <c r="C696" s="22"/>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c r="A697" s="10"/>
      <c r="B697" s="10"/>
      <c r="C697" s="22"/>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c r="A698" s="10"/>
      <c r="B698" s="10"/>
      <c r="C698" s="22"/>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c r="A699" s="10"/>
      <c r="B699" s="10"/>
      <c r="C699" s="22"/>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c r="A700" s="10"/>
      <c r="B700" s="10"/>
      <c r="C700" s="22"/>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c r="A701" s="10"/>
      <c r="B701" s="10"/>
      <c r="C701" s="22"/>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c r="A702" s="10"/>
      <c r="B702" s="10"/>
      <c r="C702" s="22"/>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c r="A703" s="10"/>
      <c r="B703" s="10"/>
      <c r="C703" s="22"/>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c r="A704" s="10"/>
      <c r="B704" s="10"/>
      <c r="C704" s="22"/>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c r="A705" s="10"/>
      <c r="B705" s="10"/>
      <c r="C705" s="22"/>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c r="A706" s="10"/>
      <c r="B706" s="10"/>
      <c r="C706" s="22"/>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c r="A707" s="10"/>
      <c r="B707" s="10"/>
      <c r="C707" s="22"/>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c r="A708" s="10"/>
      <c r="B708" s="10"/>
      <c r="C708" s="22"/>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c r="A709" s="10"/>
      <c r="B709" s="10"/>
      <c r="C709" s="22"/>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c r="A710" s="10"/>
      <c r="B710" s="10"/>
      <c r="C710" s="22"/>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c r="A711" s="10"/>
      <c r="B711" s="10"/>
      <c r="C711" s="22"/>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c r="A712" s="10"/>
      <c r="B712" s="10"/>
      <c r="C712" s="22"/>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c r="A713" s="10"/>
      <c r="B713" s="10"/>
      <c r="C713" s="22"/>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c r="A714" s="10"/>
      <c r="B714" s="10"/>
      <c r="C714" s="22"/>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c r="A715" s="10"/>
      <c r="B715" s="10"/>
      <c r="C715" s="22"/>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c r="A716" s="10"/>
      <c r="B716" s="10"/>
      <c r="C716" s="22"/>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c r="A717" s="10"/>
      <c r="B717" s="10"/>
      <c r="C717" s="22"/>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c r="A718" s="10"/>
      <c r="B718" s="10"/>
      <c r="C718" s="22"/>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c r="A719" s="10"/>
      <c r="B719" s="10"/>
      <c r="C719" s="22"/>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c r="A720" s="10"/>
      <c r="B720" s="10"/>
      <c r="C720" s="22"/>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c r="A721" s="10"/>
      <c r="B721" s="10"/>
      <c r="C721" s="22"/>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c r="A722" s="10"/>
      <c r="B722" s="10"/>
      <c r="C722" s="22"/>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c r="A723" s="10"/>
      <c r="B723" s="10"/>
      <c r="C723" s="22"/>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c r="A724" s="10"/>
      <c r="B724" s="10"/>
      <c r="C724" s="22"/>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c r="A725" s="10"/>
      <c r="B725" s="10"/>
      <c r="C725" s="22"/>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c r="A726" s="10"/>
      <c r="B726" s="10"/>
      <c r="C726" s="22"/>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c r="A727" s="10"/>
      <c r="B727" s="10"/>
      <c r="C727" s="22"/>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c r="A728" s="10"/>
      <c r="B728" s="10"/>
      <c r="C728" s="22"/>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c r="A729" s="10"/>
      <c r="B729" s="10"/>
      <c r="C729" s="22"/>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c r="A730" s="10"/>
      <c r="B730" s="10"/>
      <c r="C730" s="22"/>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c r="A731" s="10"/>
      <c r="B731" s="10"/>
      <c r="C731" s="22"/>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c r="A732" s="10"/>
      <c r="B732" s="10"/>
      <c r="C732" s="22"/>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c r="A733" s="10"/>
      <c r="B733" s="10"/>
      <c r="C733" s="22"/>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c r="A734" s="10"/>
      <c r="B734" s="10"/>
      <c r="C734" s="22"/>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c r="A735" s="10"/>
      <c r="B735" s="10"/>
      <c r="C735" s="22"/>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c r="A736" s="10"/>
      <c r="B736" s="10"/>
      <c r="C736" s="22"/>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c r="A737" s="10"/>
      <c r="B737" s="10"/>
      <c r="C737" s="22"/>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c r="A738" s="10"/>
      <c r="B738" s="10"/>
      <c r="C738" s="22"/>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c r="A739" s="10"/>
      <c r="B739" s="10"/>
      <c r="C739" s="22"/>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c r="A740" s="10"/>
      <c r="B740" s="10"/>
      <c r="C740" s="22"/>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c r="A741" s="10"/>
      <c r="B741" s="10"/>
      <c r="C741" s="22"/>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c r="A742" s="10"/>
      <c r="B742" s="10"/>
      <c r="C742" s="22"/>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c r="A743" s="10"/>
      <c r="B743" s="10"/>
      <c r="C743" s="22"/>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c r="A744" s="10"/>
      <c r="B744" s="10"/>
      <c r="C744" s="22"/>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c r="A745" s="10"/>
      <c r="B745" s="10"/>
      <c r="C745" s="22"/>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c r="A746" s="10"/>
      <c r="B746" s="10"/>
      <c r="C746" s="22"/>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c r="A747" s="10"/>
      <c r="B747" s="10"/>
      <c r="C747" s="22"/>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c r="A748" s="10"/>
      <c r="B748" s="10"/>
      <c r="C748" s="22"/>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c r="A749" s="10"/>
      <c r="B749" s="10"/>
      <c r="C749" s="22"/>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c r="A750" s="10"/>
      <c r="B750" s="10"/>
      <c r="C750" s="22"/>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c r="A751" s="10"/>
      <c r="B751" s="10"/>
      <c r="C751" s="22"/>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c r="A752" s="10"/>
      <c r="B752" s="10"/>
      <c r="C752" s="22"/>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c r="A753" s="10"/>
      <c r="B753" s="10"/>
      <c r="C753" s="22"/>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c r="A754" s="10"/>
      <c r="B754" s="10"/>
      <c r="C754" s="22"/>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c r="A755" s="10"/>
      <c r="B755" s="10"/>
      <c r="C755" s="22"/>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c r="A756" s="10"/>
      <c r="B756" s="10"/>
      <c r="C756" s="22"/>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c r="A757" s="10"/>
      <c r="B757" s="10"/>
      <c r="C757" s="22"/>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c r="A758" s="10"/>
      <c r="B758" s="10"/>
      <c r="C758" s="22"/>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c r="A759" s="10"/>
      <c r="B759" s="10"/>
      <c r="C759" s="22"/>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c r="A760" s="10"/>
      <c r="B760" s="10"/>
      <c r="C760" s="22"/>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c r="A761" s="10"/>
      <c r="B761" s="10"/>
      <c r="C761" s="22"/>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c r="A762" s="10"/>
      <c r="B762" s="10"/>
      <c r="C762" s="22"/>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c r="A763" s="10"/>
      <c r="B763" s="10"/>
      <c r="C763" s="22"/>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c r="A764" s="10"/>
      <c r="B764" s="10"/>
      <c r="C764" s="22"/>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c r="A765" s="10"/>
      <c r="B765" s="10"/>
      <c r="C765" s="22"/>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c r="A766" s="10"/>
      <c r="B766" s="10"/>
      <c r="C766" s="22"/>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c r="A767" s="10"/>
      <c r="B767" s="10"/>
      <c r="C767" s="22"/>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c r="A768" s="10"/>
      <c r="B768" s="10"/>
      <c r="C768" s="22"/>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c r="A769" s="10"/>
      <c r="B769" s="10"/>
      <c r="C769" s="22"/>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c r="A770" s="10"/>
      <c r="B770" s="10"/>
      <c r="C770" s="22"/>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c r="A771" s="10"/>
      <c r="B771" s="10"/>
      <c r="C771" s="22"/>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c r="A772" s="10"/>
      <c r="B772" s="10"/>
      <c r="C772" s="22"/>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c r="A773" s="10"/>
      <c r="B773" s="10"/>
      <c r="C773" s="22"/>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c r="A774" s="10"/>
      <c r="B774" s="10"/>
      <c r="C774" s="22"/>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c r="A775" s="10"/>
      <c r="B775" s="10"/>
      <c r="C775" s="22"/>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c r="A776" s="10"/>
      <c r="B776" s="10"/>
      <c r="C776" s="22"/>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c r="A777" s="10"/>
      <c r="B777" s="10"/>
      <c r="C777" s="22"/>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c r="A778" s="10"/>
      <c r="B778" s="10"/>
      <c r="C778" s="22"/>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c r="A779" s="10"/>
      <c r="B779" s="10"/>
      <c r="C779" s="22"/>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c r="A780" s="10"/>
      <c r="B780" s="10"/>
      <c r="C780" s="22"/>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c r="A781" s="10"/>
      <c r="B781" s="10"/>
      <c r="C781" s="22"/>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c r="A782" s="10"/>
      <c r="B782" s="10"/>
      <c r="C782" s="22"/>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c r="A783" s="10"/>
      <c r="B783" s="10"/>
      <c r="C783" s="22"/>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c r="A784" s="10"/>
      <c r="B784" s="10"/>
      <c r="C784" s="22"/>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c r="A785" s="10"/>
      <c r="B785" s="10"/>
      <c r="C785" s="22"/>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c r="A786" s="10"/>
      <c r="B786" s="10"/>
      <c r="C786" s="22"/>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c r="A787" s="10"/>
      <c r="B787" s="10"/>
      <c r="C787" s="22"/>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c r="A788" s="10"/>
      <c r="B788" s="10"/>
      <c r="C788" s="22"/>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c r="A789" s="10"/>
      <c r="B789" s="10"/>
      <c r="C789" s="22"/>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c r="A790" s="10"/>
      <c r="B790" s="10"/>
      <c r="C790" s="22"/>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c r="A791" s="10"/>
      <c r="B791" s="10"/>
      <c r="C791" s="22"/>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c r="A792" s="10"/>
      <c r="B792" s="10"/>
      <c r="C792" s="22"/>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c r="A793" s="10"/>
      <c r="B793" s="10"/>
      <c r="C793" s="22"/>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c r="A794" s="10"/>
      <c r="B794" s="10"/>
      <c r="C794" s="22"/>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c r="A795" s="10"/>
      <c r="B795" s="10"/>
      <c r="C795" s="22"/>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c r="A796" s="10"/>
      <c r="B796" s="10"/>
      <c r="C796" s="22"/>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c r="A797" s="10"/>
      <c r="B797" s="10"/>
      <c r="C797" s="22"/>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c r="A798" s="10"/>
      <c r="B798" s="10"/>
      <c r="C798" s="22"/>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c r="A799" s="10"/>
      <c r="B799" s="10"/>
      <c r="C799" s="22"/>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c r="A800" s="10"/>
      <c r="B800" s="10"/>
      <c r="C800" s="22"/>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c r="A801" s="10"/>
      <c r="B801" s="10"/>
      <c r="C801" s="22"/>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c r="A802" s="10"/>
      <c r="B802" s="10"/>
      <c r="C802" s="22"/>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c r="A803" s="10"/>
      <c r="B803" s="10"/>
      <c r="C803" s="22"/>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c r="A804" s="10"/>
      <c r="B804" s="10"/>
      <c r="C804" s="22"/>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c r="A805" s="10"/>
      <c r="B805" s="10"/>
      <c r="C805" s="22"/>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c r="A806" s="10"/>
      <c r="B806" s="10"/>
      <c r="C806" s="22"/>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c r="A807" s="10"/>
      <c r="B807" s="10"/>
      <c r="C807" s="22"/>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c r="A808" s="10"/>
      <c r="B808" s="10"/>
      <c r="C808" s="22"/>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c r="A809" s="10"/>
      <c r="B809" s="10"/>
      <c r="C809" s="22"/>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c r="A810" s="10"/>
      <c r="B810" s="10"/>
      <c r="C810" s="22"/>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c r="A811" s="10"/>
      <c r="B811" s="10"/>
      <c r="C811" s="22"/>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c r="A812" s="10"/>
      <c r="B812" s="10"/>
      <c r="C812" s="22"/>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c r="A813" s="10"/>
      <c r="B813" s="10"/>
      <c r="C813" s="22"/>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c r="A814" s="10"/>
      <c r="B814" s="10"/>
      <c r="C814" s="22"/>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c r="A815" s="10"/>
      <c r="B815" s="10"/>
      <c r="C815" s="22"/>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c r="A816" s="10"/>
      <c r="B816" s="10"/>
      <c r="C816" s="22"/>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c r="A817" s="10"/>
      <c r="B817" s="10"/>
      <c r="C817" s="22"/>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c r="A818" s="10"/>
      <c r="B818" s="10"/>
      <c r="C818" s="22"/>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c r="A819" s="10"/>
      <c r="B819" s="10"/>
      <c r="C819" s="22"/>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c r="A820" s="10"/>
      <c r="B820" s="10"/>
      <c r="C820" s="22"/>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c r="A821" s="10"/>
      <c r="B821" s="10"/>
      <c r="C821" s="22"/>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c r="A822" s="10"/>
      <c r="B822" s="10"/>
      <c r="C822" s="22"/>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c r="A823" s="10"/>
      <c r="B823" s="10"/>
      <c r="C823" s="22"/>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c r="A824" s="10"/>
      <c r="B824" s="10"/>
      <c r="C824" s="22"/>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c r="A825" s="10"/>
      <c r="B825" s="10"/>
      <c r="C825" s="22"/>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c r="A826" s="10"/>
      <c r="B826" s="10"/>
      <c r="C826" s="22"/>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c r="A827" s="10"/>
      <c r="B827" s="10"/>
      <c r="C827" s="22"/>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c r="A828" s="10"/>
      <c r="B828" s="10"/>
      <c r="C828" s="22"/>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c r="A829" s="10"/>
      <c r="B829" s="10"/>
      <c r="C829" s="22"/>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c r="A830" s="10"/>
      <c r="B830" s="10"/>
      <c r="C830" s="22"/>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c r="A831" s="10"/>
      <c r="B831" s="10"/>
      <c r="C831" s="22"/>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c r="A832" s="10"/>
      <c r="B832" s="10"/>
      <c r="C832" s="22"/>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c r="A833" s="10"/>
      <c r="B833" s="10"/>
      <c r="C833" s="22"/>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c r="A834" s="10"/>
      <c r="B834" s="10"/>
      <c r="C834" s="22"/>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c r="A835" s="10"/>
      <c r="B835" s="10"/>
      <c r="C835" s="22"/>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c r="A836" s="10"/>
      <c r="B836" s="10"/>
      <c r="C836" s="22"/>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c r="A837" s="10"/>
      <c r="B837" s="10"/>
      <c r="C837" s="22"/>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c r="A838" s="10"/>
      <c r="B838" s="10"/>
      <c r="C838" s="22"/>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c r="A839" s="10"/>
      <c r="B839" s="10"/>
      <c r="C839" s="22"/>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c r="A840" s="10"/>
      <c r="B840" s="10"/>
      <c r="C840" s="22"/>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c r="A841" s="10"/>
      <c r="B841" s="10"/>
      <c r="C841" s="22"/>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c r="A842" s="10"/>
      <c r="B842" s="10"/>
      <c r="C842" s="22"/>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c r="A843" s="10"/>
      <c r="B843" s="10"/>
      <c r="C843" s="22"/>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c r="A844" s="10"/>
      <c r="B844" s="10"/>
      <c r="C844" s="22"/>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c r="A845" s="10"/>
      <c r="B845" s="10"/>
      <c r="C845" s="22"/>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c r="A846" s="10"/>
      <c r="B846" s="10"/>
      <c r="C846" s="22"/>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c r="A847" s="10"/>
      <c r="B847" s="10"/>
      <c r="C847" s="22"/>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c r="A848" s="10"/>
      <c r="B848" s="10"/>
      <c r="C848" s="22"/>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c r="A849" s="10"/>
      <c r="B849" s="10"/>
      <c r="C849" s="22"/>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c r="A850" s="10"/>
      <c r="B850" s="10"/>
      <c r="C850" s="22"/>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c r="A851" s="10"/>
      <c r="B851" s="10"/>
      <c r="C851" s="22"/>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c r="A852" s="10"/>
      <c r="B852" s="10"/>
      <c r="C852" s="22"/>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c r="A853" s="10"/>
      <c r="B853" s="10"/>
      <c r="C853" s="22"/>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c r="A854" s="10"/>
      <c r="B854" s="10"/>
      <c r="C854" s="22"/>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c r="A855" s="10"/>
      <c r="B855" s="10"/>
      <c r="C855" s="22"/>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c r="A856" s="10"/>
      <c r="B856" s="10"/>
      <c r="C856" s="22"/>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c r="A857" s="10"/>
      <c r="B857" s="10"/>
      <c r="C857" s="22"/>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c r="A858" s="10"/>
      <c r="B858" s="10"/>
      <c r="C858" s="22"/>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c r="A859" s="10"/>
      <c r="B859" s="10"/>
      <c r="C859" s="22"/>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c r="A860" s="10"/>
      <c r="B860" s="10"/>
      <c r="C860" s="22"/>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c r="A861" s="10"/>
      <c r="B861" s="10"/>
      <c r="C861" s="22"/>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c r="A862" s="10"/>
      <c r="B862" s="10"/>
      <c r="C862" s="22"/>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c r="A863" s="10"/>
      <c r="B863" s="10"/>
      <c r="C863" s="22"/>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c r="A864" s="10"/>
      <c r="B864" s="10"/>
      <c r="C864" s="22"/>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c r="A865" s="10"/>
      <c r="B865" s="10"/>
      <c r="C865" s="22"/>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c r="A866" s="10"/>
      <c r="B866" s="10"/>
      <c r="C866" s="22"/>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c r="A867" s="10"/>
      <c r="B867" s="10"/>
      <c r="C867" s="22"/>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c r="A868" s="10"/>
      <c r="B868" s="10"/>
      <c r="C868" s="22"/>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c r="A869" s="10"/>
      <c r="B869" s="10"/>
      <c r="C869" s="22"/>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c r="A870" s="10"/>
      <c r="B870" s="10"/>
      <c r="C870" s="22"/>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c r="A871" s="10"/>
      <c r="B871" s="10"/>
      <c r="C871" s="22"/>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c r="A872" s="10"/>
      <c r="B872" s="10"/>
      <c r="C872" s="22"/>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c r="A873" s="10"/>
      <c r="B873" s="10"/>
      <c r="C873" s="22"/>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c r="A874" s="10"/>
      <c r="B874" s="10"/>
      <c r="C874" s="22"/>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c r="A875" s="10"/>
      <c r="B875" s="10"/>
      <c r="C875" s="22"/>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c r="A876" s="10"/>
      <c r="B876" s="10"/>
      <c r="C876" s="22"/>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c r="A877" s="10"/>
      <c r="B877" s="10"/>
      <c r="C877" s="22"/>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c r="A878" s="10"/>
      <c r="B878" s="10"/>
      <c r="C878" s="22"/>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c r="A879" s="10"/>
      <c r="B879" s="10"/>
      <c r="C879" s="22"/>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c r="A880" s="10"/>
      <c r="B880" s="10"/>
      <c r="C880" s="22"/>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c r="A881" s="10"/>
      <c r="B881" s="10"/>
      <c r="C881" s="22"/>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c r="A882" s="10"/>
      <c r="B882" s="10"/>
      <c r="C882" s="22"/>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c r="A883" s="10"/>
      <c r="B883" s="10"/>
      <c r="C883" s="22"/>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c r="A884" s="10"/>
      <c r="B884" s="10"/>
      <c r="C884" s="22"/>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c r="A885" s="10"/>
      <c r="B885" s="10"/>
      <c r="C885" s="22"/>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c r="A886" s="10"/>
      <c r="B886" s="10"/>
      <c r="C886" s="22"/>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c r="A887" s="10"/>
      <c r="B887" s="10"/>
      <c r="C887" s="22"/>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c r="A888" s="10"/>
      <c r="B888" s="10"/>
      <c r="C888" s="22"/>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c r="A889" s="10"/>
      <c r="B889" s="10"/>
      <c r="C889" s="22"/>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c r="A890" s="10"/>
      <c r="B890" s="10"/>
      <c r="C890" s="22"/>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c r="A891" s="10"/>
      <c r="B891" s="10"/>
      <c r="C891" s="22"/>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c r="A892" s="10"/>
      <c r="B892" s="10"/>
      <c r="C892" s="22"/>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c r="A893" s="10"/>
      <c r="B893" s="10"/>
      <c r="C893" s="22"/>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c r="A894" s="10"/>
      <c r="B894" s="10"/>
      <c r="C894" s="22"/>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c r="A895" s="10"/>
      <c r="B895" s="10"/>
      <c r="C895" s="22"/>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c r="A896" s="10"/>
      <c r="B896" s="10"/>
      <c r="C896" s="22"/>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c r="A897" s="10"/>
      <c r="B897" s="10"/>
      <c r="C897" s="22"/>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c r="A898" s="10"/>
      <c r="B898" s="10"/>
      <c r="C898" s="22"/>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c r="A899" s="10"/>
      <c r="B899" s="10"/>
      <c r="C899" s="22"/>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c r="A900" s="10"/>
      <c r="B900" s="10"/>
      <c r="C900" s="22"/>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c r="A901" s="10"/>
      <c r="B901" s="10"/>
      <c r="C901" s="22"/>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c r="A902" s="10"/>
      <c r="B902" s="10"/>
      <c r="C902" s="22"/>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c r="A903" s="10"/>
      <c r="B903" s="10"/>
      <c r="C903" s="22"/>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c r="A904" s="10"/>
      <c r="B904" s="10"/>
      <c r="C904" s="22"/>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c r="A905" s="10"/>
      <c r="B905" s="10"/>
      <c r="C905" s="22"/>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c r="A906" s="10"/>
      <c r="B906" s="10"/>
      <c r="C906" s="22"/>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c r="A907" s="10"/>
      <c r="B907" s="10"/>
      <c r="C907" s="22"/>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c r="A908" s="10"/>
      <c r="B908" s="10"/>
      <c r="C908" s="22"/>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c r="A909" s="10"/>
      <c r="B909" s="10"/>
      <c r="C909" s="22"/>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c r="A910" s="10"/>
      <c r="B910" s="10"/>
      <c r="C910" s="22"/>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c r="A911" s="10"/>
      <c r="B911" s="10"/>
      <c r="C911" s="22"/>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c r="A912" s="10"/>
      <c r="B912" s="10"/>
      <c r="C912" s="22"/>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c r="A913" s="10"/>
      <c r="B913" s="10"/>
      <c r="C913" s="22"/>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c r="A914" s="10"/>
      <c r="B914" s="10"/>
      <c r="C914" s="22"/>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c r="A915" s="10"/>
      <c r="B915" s="10"/>
      <c r="C915" s="22"/>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c r="A916" s="10"/>
      <c r="B916" s="10"/>
      <c r="C916" s="22"/>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c r="A917" s="10"/>
      <c r="B917" s="10"/>
      <c r="C917" s="22"/>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c r="A918" s="10"/>
      <c r="B918" s="10"/>
      <c r="C918" s="22"/>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c r="A919" s="10"/>
      <c r="B919" s="10"/>
      <c r="C919" s="22"/>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c r="A920" s="10"/>
      <c r="B920" s="10"/>
      <c r="C920" s="22"/>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c r="A921" s="10"/>
      <c r="B921" s="10"/>
      <c r="C921" s="22"/>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c r="A922" s="10"/>
      <c r="B922" s="10"/>
      <c r="C922" s="22"/>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c r="A923" s="10"/>
      <c r="B923" s="10"/>
      <c r="C923" s="22"/>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c r="A924" s="10"/>
      <c r="B924" s="10"/>
      <c r="C924" s="22"/>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c r="A925" s="10"/>
      <c r="B925" s="10"/>
      <c r="C925" s="22"/>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c r="A926" s="10"/>
      <c r="B926" s="10"/>
      <c r="C926" s="22"/>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c r="A927" s="10"/>
      <c r="B927" s="10"/>
      <c r="C927" s="22"/>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c r="A928" s="10"/>
      <c r="B928" s="10"/>
      <c r="C928" s="22"/>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c r="A929" s="10"/>
      <c r="B929" s="10"/>
      <c r="C929" s="22"/>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c r="A930" s="10"/>
      <c r="B930" s="10"/>
      <c r="C930" s="22"/>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c r="A931" s="10"/>
      <c r="B931" s="10"/>
      <c r="C931" s="22"/>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c r="A932" s="10"/>
      <c r="B932" s="10"/>
      <c r="C932" s="22"/>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c r="A933" s="10"/>
      <c r="B933" s="10"/>
      <c r="C933" s="22"/>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c r="A934" s="10"/>
      <c r="B934" s="10"/>
      <c r="C934" s="22"/>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c r="A935" s="10"/>
      <c r="B935" s="10"/>
      <c r="C935" s="22"/>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c r="A936" s="10"/>
      <c r="B936" s="10"/>
      <c r="C936" s="22"/>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c r="A937" s="10"/>
      <c r="B937" s="10"/>
      <c r="C937" s="22"/>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c r="A938" s="10"/>
      <c r="B938" s="10"/>
      <c r="C938" s="22"/>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c r="A939" s="10"/>
      <c r="B939" s="10"/>
      <c r="C939" s="22"/>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c r="A940" s="10"/>
      <c r="B940" s="10"/>
      <c r="C940" s="22"/>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c r="A941" s="10"/>
      <c r="B941" s="10"/>
      <c r="C941" s="22"/>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c r="A942" s="10"/>
      <c r="B942" s="10"/>
      <c r="C942" s="22"/>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c r="A943" s="10"/>
      <c r="B943" s="10"/>
      <c r="C943" s="22"/>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c r="A944" s="10"/>
      <c r="B944" s="10"/>
      <c r="C944" s="22"/>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c r="A945" s="10"/>
      <c r="B945" s="10"/>
      <c r="C945" s="22"/>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c r="A946" s="10"/>
      <c r="B946" s="10"/>
      <c r="C946" s="22"/>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c r="A947" s="10"/>
      <c r="B947" s="10"/>
      <c r="C947" s="22"/>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c r="A948" s="10"/>
      <c r="B948" s="10"/>
      <c r="C948" s="22"/>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c r="A949" s="10"/>
      <c r="B949" s="10"/>
      <c r="C949" s="22"/>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c r="A950" s="10"/>
      <c r="B950" s="10"/>
      <c r="C950" s="22"/>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c r="A951" s="10"/>
      <c r="B951" s="10"/>
      <c r="C951" s="22"/>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c r="A952" s="10"/>
      <c r="B952" s="10"/>
      <c r="C952" s="22"/>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c r="A953" s="10"/>
      <c r="B953" s="10"/>
      <c r="C953" s="22"/>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c r="A954" s="10"/>
      <c r="B954" s="10"/>
      <c r="C954" s="22"/>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c r="A955" s="10"/>
      <c r="B955" s="10"/>
      <c r="C955" s="22"/>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c r="A956" s="10"/>
      <c r="B956" s="10"/>
      <c r="C956" s="22"/>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c r="A957" s="10"/>
      <c r="B957" s="10"/>
      <c r="C957" s="22"/>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c r="A958" s="10"/>
      <c r="B958" s="10"/>
      <c r="C958" s="22"/>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c r="A959" s="10"/>
      <c r="B959" s="10"/>
      <c r="C959" s="22"/>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c r="A960" s="10"/>
      <c r="B960" s="10"/>
      <c r="C960" s="22"/>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c r="A961" s="10"/>
      <c r="B961" s="10"/>
      <c r="C961" s="22"/>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c r="A962" s="10"/>
      <c r="B962" s="10"/>
      <c r="C962" s="22"/>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c r="A963" s="10"/>
      <c r="B963" s="10"/>
      <c r="C963" s="22"/>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c r="A964" s="10"/>
      <c r="B964" s="10"/>
      <c r="C964" s="22"/>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c r="A965" s="10"/>
      <c r="B965" s="10"/>
      <c r="C965" s="22"/>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c r="A966" s="10"/>
      <c r="B966" s="10"/>
      <c r="C966" s="22"/>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c r="A967" s="10"/>
      <c r="B967" s="10"/>
      <c r="C967" s="22"/>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c r="A968" s="10"/>
      <c r="B968" s="10"/>
      <c r="C968" s="22"/>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c r="A969" s="10"/>
      <c r="B969" s="10"/>
      <c r="C969" s="22"/>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c r="A970" s="10"/>
      <c r="B970" s="10"/>
      <c r="C970" s="22"/>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c r="A971" s="10"/>
      <c r="B971" s="10"/>
      <c r="C971" s="22"/>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c r="A972" s="10"/>
      <c r="B972" s="10"/>
      <c r="C972" s="22"/>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c r="A973" s="10"/>
      <c r="B973" s="10"/>
      <c r="C973" s="22"/>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c r="A974" s="10"/>
      <c r="B974" s="10"/>
      <c r="C974" s="22"/>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c r="A975" s="10"/>
      <c r="B975" s="10"/>
      <c r="C975" s="22"/>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c r="A976" s="10"/>
      <c r="B976" s="10"/>
      <c r="C976" s="22"/>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c r="A977" s="10"/>
      <c r="B977" s="10"/>
      <c r="C977" s="22"/>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c r="A978" s="10"/>
      <c r="B978" s="10"/>
      <c r="C978" s="22"/>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c r="A979" s="10"/>
      <c r="B979" s="10"/>
      <c r="C979" s="22"/>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c r="A980" s="10"/>
      <c r="B980" s="10"/>
      <c r="C980" s="22"/>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c r="A981" s="10"/>
      <c r="B981" s="10"/>
      <c r="C981" s="22"/>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c r="A982" s="10"/>
      <c r="B982" s="10"/>
      <c r="C982" s="22"/>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c r="A983" s="10"/>
      <c r="B983" s="10"/>
      <c r="C983" s="22"/>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c r="A984" s="10"/>
      <c r="B984" s="10"/>
      <c r="C984" s="22"/>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c r="A985" s="10"/>
      <c r="B985" s="10"/>
      <c r="C985" s="22"/>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c r="A986" s="10"/>
      <c r="B986" s="10"/>
      <c r="C986" s="22"/>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c r="A987" s="10"/>
      <c r="B987" s="10"/>
      <c r="C987" s="22"/>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c r="A988" s="10"/>
      <c r="B988" s="10"/>
      <c r="C988" s="22"/>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c r="A989" s="10"/>
      <c r="B989" s="10"/>
      <c r="C989" s="22"/>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c r="A990" s="10"/>
      <c r="B990" s="10"/>
      <c r="C990" s="22"/>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c r="A991" s="10"/>
      <c r="B991" s="10"/>
      <c r="C991" s="22"/>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c r="A992" s="10"/>
      <c r="B992" s="10"/>
      <c r="C992" s="22"/>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c r="A993" s="10"/>
      <c r="B993" s="10"/>
      <c r="C993" s="22"/>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c r="A994" s="10"/>
      <c r="B994" s="10"/>
      <c r="C994" s="22"/>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c r="A995" s="10"/>
      <c r="B995" s="10"/>
      <c r="C995" s="22"/>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c r="A996" s="10"/>
      <c r="B996" s="10"/>
      <c r="C996" s="22"/>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c r="A997" s="10"/>
      <c r="B997" s="10"/>
      <c r="C997" s="22"/>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c r="A998" s="10"/>
      <c r="B998" s="10"/>
      <c r="C998" s="22"/>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c r="A999" s="10"/>
      <c r="B999" s="10"/>
      <c r="C999" s="22"/>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c r="A1000" s="10"/>
      <c r="B1000" s="10"/>
      <c r="C1000" s="22"/>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c r="A1001" s="10"/>
      <c r="B1001" s="10"/>
      <c r="C1001" s="22"/>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row r="1002">
      <c r="A1002" s="10"/>
      <c r="B1002" s="10"/>
      <c r="C1002" s="22"/>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row>
    <row r="1003">
      <c r="A1003" s="10"/>
      <c r="B1003" s="10"/>
      <c r="C1003" s="22"/>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row>
    <row r="1004">
      <c r="A1004" s="10"/>
      <c r="B1004" s="10"/>
      <c r="C1004" s="22"/>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row>
    <row r="1005">
      <c r="A1005" s="10"/>
      <c r="B1005" s="10"/>
      <c r="C1005" s="22"/>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row>
    <row r="1006">
      <c r="A1006" s="10"/>
      <c r="B1006" s="10"/>
      <c r="C1006" s="22"/>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row>
    <row r="1007">
      <c r="A1007" s="10"/>
      <c r="B1007" s="10"/>
      <c r="C1007" s="22"/>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row>
    <row r="1008">
      <c r="A1008" s="10"/>
      <c r="B1008" s="10"/>
      <c r="C1008" s="22"/>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38"/>
  </cols>
  <sheetData>
    <row r="1">
      <c r="A1" s="23" t="s">
        <v>174</v>
      </c>
      <c r="B1" s="24"/>
    </row>
    <row r="2">
      <c r="A2" s="25" t="s">
        <v>175</v>
      </c>
      <c r="B2" s="26">
        <f>sum('Booking Data'!F2:F116)</f>
        <v>1642500</v>
      </c>
    </row>
    <row r="3">
      <c r="A3" s="25" t="s">
        <v>176</v>
      </c>
      <c r="B3" s="26">
        <f>counta('Booking Data'!B2:B116)</f>
        <v>115</v>
      </c>
    </row>
    <row r="4">
      <c r="A4" s="25" t="s">
        <v>177</v>
      </c>
      <c r="B4" s="27">
        <f>B2/B3</f>
        <v>14282.6087</v>
      </c>
    </row>
    <row r="5">
      <c r="A5" s="25" t="s">
        <v>178</v>
      </c>
      <c r="B5" s="26">
        <f>IFERROR(__xludf.DUMMYFUNCTION("COUNTA(UNIQUE('Booking Data'!A2:A116))"),41.0)</f>
        <v>41</v>
      </c>
    </row>
    <row r="6">
      <c r="A6" s="25" t="s">
        <v>179</v>
      </c>
      <c r="B6" s="27">
        <f>B2/B5</f>
        <v>40060.97561</v>
      </c>
    </row>
    <row r="7">
      <c r="A7" s="25" t="s">
        <v>180</v>
      </c>
      <c r="B7" s="28">
        <f>MIN('Booking Data'!E2:E116)</f>
        <v>45383</v>
      </c>
    </row>
    <row r="8">
      <c r="A8" s="25" t="s">
        <v>181</v>
      </c>
      <c r="B8" s="28">
        <f>MAX('Booking Data'!E3:E117)</f>
        <v>45473</v>
      </c>
    </row>
  </sheetData>
  <mergeCells count="1">
    <mergeCell ref="A1:B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13"/>
    <col customWidth="1" min="4" max="4" width="17.88"/>
  </cols>
  <sheetData>
    <row r="1">
      <c r="A1" s="29" t="s">
        <v>182</v>
      </c>
      <c r="B1" s="30"/>
      <c r="C1" s="30"/>
      <c r="D1" s="30"/>
      <c r="E1" s="24"/>
    </row>
    <row r="2">
      <c r="A2" s="31" t="s">
        <v>9</v>
      </c>
      <c r="B2" s="31" t="s">
        <v>14</v>
      </c>
      <c r="C2" s="31" t="s">
        <v>183</v>
      </c>
      <c r="D2" s="31" t="s">
        <v>184</v>
      </c>
      <c r="E2" s="31" t="s">
        <v>185</v>
      </c>
    </row>
    <row r="3">
      <c r="A3" s="26" t="str">
        <f>IFERROR(__xludf.DUMMYFUNCTION("UNIQUE('Booking Data'!A2:A116)"),"HTA-THL-0020")</f>
        <v>HTA-THL-0020</v>
      </c>
      <c r="B3" s="26">
        <f>SUMIFS('Booking Data'!$F$2:$F$116,'Booking Data'!$A$2:$A$116,A3)</f>
        <v>55000</v>
      </c>
      <c r="C3" s="26">
        <f>COUNTIFS('Booking Data'!A2:A116,A3)</f>
        <v>4</v>
      </c>
      <c r="D3" s="26" t="str">
        <f t="shared" ref="D3:D43" si="1">IF(C3&gt;=6,"Frequent Guest","Occasional")</f>
        <v>Occasional</v>
      </c>
      <c r="E3" s="26">
        <f t="shared" ref="E3:E43" si="2">RANK(C3,$C$3:$C$43)</f>
        <v>7</v>
      </c>
    </row>
    <row r="4">
      <c r="A4" s="26" t="str">
        <f>IFERROR(__xludf.DUMMYFUNCTION("""COMPUTED_VALUE"""),"HTA-THL-0015")</f>
        <v>HTA-THL-0015</v>
      </c>
      <c r="B4" s="26">
        <f>SUMIFS('Booking Data'!$F$2:$F$116,'Booking Data'!$A$2:$A$116,A4)</f>
        <v>35000</v>
      </c>
      <c r="C4" s="26">
        <f>COUNTIFS('Booking Data'!A3:A117,A4)</f>
        <v>2</v>
      </c>
      <c r="D4" s="26" t="str">
        <f t="shared" si="1"/>
        <v>Occasional</v>
      </c>
      <c r="E4" s="26">
        <f t="shared" si="2"/>
        <v>20</v>
      </c>
    </row>
    <row r="5">
      <c r="A5" s="26" t="str">
        <f>IFERROR(__xludf.DUMMYFUNCTION("""COMPUTED_VALUE"""),"HTA-THL-005")</f>
        <v>HTA-THL-005</v>
      </c>
      <c r="B5" s="26">
        <f>SUMIFS('Booking Data'!$F$2:$F$116,'Booking Data'!$A$2:$A$116,A5)</f>
        <v>95000</v>
      </c>
      <c r="C5" s="26">
        <f>COUNTIFS('Booking Data'!A4:A118,A5)</f>
        <v>7</v>
      </c>
      <c r="D5" s="26" t="str">
        <f t="shared" si="1"/>
        <v>Frequent Guest</v>
      </c>
      <c r="E5" s="26">
        <f t="shared" si="2"/>
        <v>2</v>
      </c>
    </row>
    <row r="6">
      <c r="A6" s="26" t="str">
        <f>IFERROR(__xludf.DUMMYFUNCTION("""COMPUTED_VALUE"""),"HTA-THL-0027")</f>
        <v>HTA-THL-0027</v>
      </c>
      <c r="B6" s="26">
        <f>SUMIFS('Booking Data'!$F$2:$F$116,'Booking Data'!$A$2:$A$116,A6)</f>
        <v>40000</v>
      </c>
      <c r="C6" s="26">
        <f>COUNTIFS('Booking Data'!A5:A119,A6)</f>
        <v>3</v>
      </c>
      <c r="D6" s="26" t="str">
        <f t="shared" si="1"/>
        <v>Occasional</v>
      </c>
      <c r="E6" s="26">
        <f t="shared" si="2"/>
        <v>12</v>
      </c>
    </row>
    <row r="7">
      <c r="A7" s="26" t="str">
        <f>IFERROR(__xludf.DUMMYFUNCTION("""COMPUTED_VALUE"""),"HTA-THL-0016")</f>
        <v>HTA-THL-0016</v>
      </c>
      <c r="B7" s="26">
        <f>SUMIFS('Booking Data'!$F$2:$F$116,'Booking Data'!$A$2:$A$116,A7)</f>
        <v>35000</v>
      </c>
      <c r="C7" s="26">
        <f>COUNTIFS('Booking Data'!A6:A120,A7)</f>
        <v>2</v>
      </c>
      <c r="D7" s="26" t="str">
        <f t="shared" si="1"/>
        <v>Occasional</v>
      </c>
      <c r="E7" s="26">
        <f t="shared" si="2"/>
        <v>20</v>
      </c>
    </row>
    <row r="8">
      <c r="A8" s="26" t="str">
        <f>IFERROR(__xludf.DUMMYFUNCTION("""COMPUTED_VALUE"""),"HTA-THL-0021")</f>
        <v>HTA-THL-0021</v>
      </c>
      <c r="B8" s="26">
        <f>SUMIFS('Booking Data'!$F$2:$F$116,'Booking Data'!$A$2:$A$116,A8)</f>
        <v>45000</v>
      </c>
      <c r="C8" s="26">
        <f>COUNTIFS('Booking Data'!A7:A121,A8)</f>
        <v>3</v>
      </c>
      <c r="D8" s="26" t="str">
        <f t="shared" si="1"/>
        <v>Occasional</v>
      </c>
      <c r="E8" s="26">
        <f t="shared" si="2"/>
        <v>12</v>
      </c>
    </row>
    <row r="9">
      <c r="A9" s="26" t="str">
        <f>IFERROR(__xludf.DUMMYFUNCTION("""COMPUTED_VALUE"""),"HTA-THL-0023")</f>
        <v>HTA-THL-0023</v>
      </c>
      <c r="B9" s="26">
        <f>SUMIFS('Booking Data'!$F$2:$F$116,'Booking Data'!$A$2:$A$116,A9)</f>
        <v>57500</v>
      </c>
      <c r="C9" s="26">
        <f>COUNTIFS('Booking Data'!A8:A122,A9)</f>
        <v>4</v>
      </c>
      <c r="D9" s="26" t="str">
        <f t="shared" si="1"/>
        <v>Occasional</v>
      </c>
      <c r="E9" s="26">
        <f t="shared" si="2"/>
        <v>7</v>
      </c>
    </row>
    <row r="10">
      <c r="A10" s="26" t="str">
        <f>IFERROR(__xludf.DUMMYFUNCTION("""COMPUTED_VALUE"""),"HTA-THL-0013")</f>
        <v>HTA-THL-0013</v>
      </c>
      <c r="B10" s="26">
        <f>SUMIFS('Booking Data'!$F$2:$F$116,'Booking Data'!$A$2:$A$116,A10)</f>
        <v>47500</v>
      </c>
      <c r="C10" s="26">
        <f>COUNTIFS('Booking Data'!A9:A123,A10)</f>
        <v>3</v>
      </c>
      <c r="D10" s="26" t="str">
        <f t="shared" si="1"/>
        <v>Occasional</v>
      </c>
      <c r="E10" s="26">
        <f t="shared" si="2"/>
        <v>12</v>
      </c>
    </row>
    <row r="11">
      <c r="A11" s="26" t="str">
        <f>IFERROR(__xludf.DUMMYFUNCTION("""COMPUTED_VALUE"""),"HTA-THL-0022")</f>
        <v>HTA-THL-0022</v>
      </c>
      <c r="B11" s="26">
        <f>SUMIFS('Booking Data'!$F$2:$F$116,'Booking Data'!$A$2:$A$116,A11)</f>
        <v>92500</v>
      </c>
      <c r="C11" s="26">
        <f>COUNTIFS('Booking Data'!A10:A124,A11)</f>
        <v>6</v>
      </c>
      <c r="D11" s="26" t="str">
        <f t="shared" si="1"/>
        <v>Frequent Guest</v>
      </c>
      <c r="E11" s="26">
        <f t="shared" si="2"/>
        <v>3</v>
      </c>
    </row>
    <row r="12">
      <c r="A12" s="26" t="str">
        <f>IFERROR(__xludf.DUMMYFUNCTION("""COMPUTED_VALUE"""),"HTA-THL-0025")</f>
        <v>HTA-THL-0025</v>
      </c>
      <c r="B12" s="26">
        <f>SUMIFS('Booking Data'!$F$2:$F$116,'Booking Data'!$A$2:$A$116,A12)</f>
        <v>70000</v>
      </c>
      <c r="C12" s="26">
        <f>COUNTIFS('Booking Data'!A11:A125,A12)</f>
        <v>4</v>
      </c>
      <c r="D12" s="26" t="str">
        <f t="shared" si="1"/>
        <v>Occasional</v>
      </c>
      <c r="E12" s="26">
        <f t="shared" si="2"/>
        <v>7</v>
      </c>
    </row>
    <row r="13">
      <c r="A13" s="26" t="str">
        <f>IFERROR(__xludf.DUMMYFUNCTION("""COMPUTED_VALUE"""),"HTA-THL-006")</f>
        <v>HTA-THL-006</v>
      </c>
      <c r="B13" s="26">
        <f>SUMIFS('Booking Data'!$F$2:$F$116,'Booking Data'!$A$2:$A$116,A13)</f>
        <v>90000</v>
      </c>
      <c r="C13" s="26">
        <f>COUNTIFS('Booking Data'!A12:A126,A13)</f>
        <v>6</v>
      </c>
      <c r="D13" s="26" t="str">
        <f t="shared" si="1"/>
        <v>Frequent Guest</v>
      </c>
      <c r="E13" s="26">
        <f t="shared" si="2"/>
        <v>3</v>
      </c>
    </row>
    <row r="14">
      <c r="A14" s="26" t="str">
        <f>IFERROR(__xludf.DUMMYFUNCTION("""COMPUTED_VALUE"""),"HTA-THL-004")</f>
        <v>HTA-THL-004</v>
      </c>
      <c r="B14" s="26">
        <f>SUMIFS('Booking Data'!$F$2:$F$116,'Booking Data'!$A$2:$A$116,A14)</f>
        <v>92500</v>
      </c>
      <c r="C14" s="26">
        <f>COUNTIFS('Booking Data'!A13:A127,A14)</f>
        <v>6</v>
      </c>
      <c r="D14" s="26" t="str">
        <f t="shared" si="1"/>
        <v>Frequent Guest</v>
      </c>
      <c r="E14" s="26">
        <f t="shared" si="2"/>
        <v>3</v>
      </c>
    </row>
    <row r="15">
      <c r="A15" s="26" t="str">
        <f>IFERROR(__xludf.DUMMYFUNCTION("""COMPUTED_VALUE"""),"HTA-THL-002")</f>
        <v>HTA-THL-002</v>
      </c>
      <c r="B15" s="26">
        <f>SUMIFS('Booking Data'!$F$2:$F$116,'Booking Data'!$A$2:$A$116,A15)</f>
        <v>127500</v>
      </c>
      <c r="C15" s="26">
        <f>COUNTIFS('Booking Data'!A14:A128,A15)</f>
        <v>8</v>
      </c>
      <c r="D15" s="26" t="str">
        <f t="shared" si="1"/>
        <v>Frequent Guest</v>
      </c>
      <c r="E15" s="26">
        <f t="shared" si="2"/>
        <v>1</v>
      </c>
    </row>
    <row r="16">
      <c r="A16" s="26" t="str">
        <f>IFERROR(__xludf.DUMMYFUNCTION("""COMPUTED_VALUE"""),"HTA-THL-007")</f>
        <v>HTA-THL-007</v>
      </c>
      <c r="B16" s="26">
        <f>SUMIFS('Booking Data'!$F$2:$F$116,'Booking Data'!$A$2:$A$116,A16)</f>
        <v>22500</v>
      </c>
      <c r="C16" s="26">
        <f>COUNTIFS('Booking Data'!A15:A129,A16)</f>
        <v>2</v>
      </c>
      <c r="D16" s="26" t="str">
        <f t="shared" si="1"/>
        <v>Occasional</v>
      </c>
      <c r="E16" s="26">
        <f t="shared" si="2"/>
        <v>20</v>
      </c>
    </row>
    <row r="17">
      <c r="A17" s="26" t="str">
        <f>IFERROR(__xludf.DUMMYFUNCTION("""COMPUTED_VALUE"""),"HTA-THL-001")</f>
        <v>HTA-THL-001</v>
      </c>
      <c r="B17" s="26">
        <f>SUMIFS('Booking Data'!$F$2:$F$116,'Booking Data'!$A$2:$A$116,A17)</f>
        <v>100000</v>
      </c>
      <c r="C17" s="26">
        <f>COUNTIFS('Booking Data'!A16:A130,A17)</f>
        <v>6</v>
      </c>
      <c r="D17" s="26" t="str">
        <f t="shared" si="1"/>
        <v>Frequent Guest</v>
      </c>
      <c r="E17" s="26">
        <f t="shared" si="2"/>
        <v>3</v>
      </c>
    </row>
    <row r="18">
      <c r="A18" s="26" t="str">
        <f>IFERROR(__xludf.DUMMYFUNCTION("""COMPUTED_VALUE"""),"HTA-THL-0034")</f>
        <v>HTA-THL-0034</v>
      </c>
      <c r="B18" s="26">
        <f>SUMIFS('Booking Data'!$F$2:$F$116,'Booking Data'!$A$2:$A$116,A18)</f>
        <v>7500</v>
      </c>
      <c r="C18" s="26">
        <f>COUNTIFS('Booking Data'!A17:A131,A18)</f>
        <v>1</v>
      </c>
      <c r="D18" s="26" t="str">
        <f t="shared" si="1"/>
        <v>Occasional</v>
      </c>
      <c r="E18" s="26">
        <f t="shared" si="2"/>
        <v>30</v>
      </c>
    </row>
    <row r="19">
      <c r="A19" s="26" t="str">
        <f>IFERROR(__xludf.DUMMYFUNCTION("""COMPUTED_VALUE"""),"HTA-THL-0030")</f>
        <v>HTA-THL-0030</v>
      </c>
      <c r="B19" s="26">
        <f>SUMIFS('Booking Data'!$F$2:$F$116,'Booking Data'!$A$2:$A$116,A19)</f>
        <v>22500</v>
      </c>
      <c r="C19" s="26">
        <f>COUNTIFS('Booking Data'!A18:A132,A19)</f>
        <v>2</v>
      </c>
      <c r="D19" s="26" t="str">
        <f t="shared" si="1"/>
        <v>Occasional</v>
      </c>
      <c r="E19" s="26">
        <f t="shared" si="2"/>
        <v>20</v>
      </c>
    </row>
    <row r="20">
      <c r="A20" s="26" t="str">
        <f>IFERROR(__xludf.DUMMYFUNCTION("""COMPUTED_VALUE"""),"HTA-THL-0012")</f>
        <v>HTA-THL-0012</v>
      </c>
      <c r="B20" s="26">
        <f>SUMIFS('Booking Data'!$F$2:$F$116,'Booking Data'!$A$2:$A$116,A20)</f>
        <v>35000</v>
      </c>
      <c r="C20" s="26">
        <f>COUNTIFS('Booking Data'!A19:A133,A20)</f>
        <v>2</v>
      </c>
      <c r="D20" s="26" t="str">
        <f t="shared" si="1"/>
        <v>Occasional</v>
      </c>
      <c r="E20" s="26">
        <f t="shared" si="2"/>
        <v>20</v>
      </c>
    </row>
    <row r="21">
      <c r="A21" s="26" t="str">
        <f>IFERROR(__xludf.DUMMYFUNCTION("""COMPUTED_VALUE"""),"HTA-THL-0031")</f>
        <v>HTA-THL-0031</v>
      </c>
      <c r="B21" s="26">
        <f>SUMIFS('Booking Data'!$F$2:$F$116,'Booking Data'!$A$2:$A$116,A21)</f>
        <v>17500</v>
      </c>
      <c r="C21" s="26">
        <f>COUNTIFS('Booking Data'!A20:A134,A21)</f>
        <v>1</v>
      </c>
      <c r="D21" s="26" t="str">
        <f t="shared" si="1"/>
        <v>Occasional</v>
      </c>
      <c r="E21" s="26">
        <f t="shared" si="2"/>
        <v>30</v>
      </c>
    </row>
    <row r="22">
      <c r="A22" s="26" t="str">
        <f>IFERROR(__xludf.DUMMYFUNCTION("""COMPUTED_VALUE"""),"HTA-THL-0040")</f>
        <v>HTA-THL-0040</v>
      </c>
      <c r="B22" s="26">
        <f>SUMIFS('Booking Data'!$F$2:$F$116,'Booking Data'!$A$2:$A$116,A22)</f>
        <v>15000</v>
      </c>
      <c r="C22" s="26">
        <f>COUNTIFS('Booking Data'!A21:A135,A22)</f>
        <v>2</v>
      </c>
      <c r="D22" s="26" t="str">
        <f t="shared" si="1"/>
        <v>Occasional</v>
      </c>
      <c r="E22" s="26">
        <f t="shared" si="2"/>
        <v>20</v>
      </c>
    </row>
    <row r="23">
      <c r="A23" s="26" t="str">
        <f>IFERROR(__xludf.DUMMYFUNCTION("""COMPUTED_VALUE"""),"HTA-THL-0010")</f>
        <v>HTA-THL-0010</v>
      </c>
      <c r="B23" s="26">
        <f>SUMIFS('Booking Data'!$F$2:$F$116,'Booking Data'!$A$2:$A$116,A23)</f>
        <v>32500</v>
      </c>
      <c r="C23" s="26">
        <f>COUNTIFS('Booking Data'!A22:A136,A23)</f>
        <v>2</v>
      </c>
      <c r="D23" s="26" t="str">
        <f t="shared" si="1"/>
        <v>Occasional</v>
      </c>
      <c r="E23" s="26">
        <f t="shared" si="2"/>
        <v>20</v>
      </c>
    </row>
    <row r="24">
      <c r="A24" s="26" t="str">
        <f>IFERROR(__xludf.DUMMYFUNCTION("""COMPUTED_VALUE"""),"HTA-THL-0032")</f>
        <v>HTA-THL-0032</v>
      </c>
      <c r="B24" s="26">
        <f>SUMIFS('Booking Data'!$F$2:$F$116,'Booking Data'!$A$2:$A$116,A24)</f>
        <v>15000</v>
      </c>
      <c r="C24" s="26">
        <f>COUNTIFS('Booking Data'!A23:A137,A24)</f>
        <v>1</v>
      </c>
      <c r="D24" s="26" t="str">
        <f t="shared" si="1"/>
        <v>Occasional</v>
      </c>
      <c r="E24" s="26">
        <f t="shared" si="2"/>
        <v>30</v>
      </c>
    </row>
    <row r="25">
      <c r="A25" s="26" t="str">
        <f>IFERROR(__xludf.DUMMYFUNCTION("""COMPUTED_VALUE"""),"HTA-THL-0018")</f>
        <v>HTA-THL-0018</v>
      </c>
      <c r="B25" s="26">
        <f>SUMIFS('Booking Data'!$F$2:$F$116,'Booking Data'!$A$2:$A$116,A25)</f>
        <v>55000</v>
      </c>
      <c r="C25" s="26">
        <f>COUNTIFS('Booking Data'!A24:A138,A25)</f>
        <v>3</v>
      </c>
      <c r="D25" s="26" t="str">
        <f t="shared" si="1"/>
        <v>Occasional</v>
      </c>
      <c r="E25" s="26">
        <f t="shared" si="2"/>
        <v>12</v>
      </c>
    </row>
    <row r="26">
      <c r="A26" s="26" t="str">
        <f>IFERROR(__xludf.DUMMYFUNCTION("""COMPUTED_VALUE"""),"HTA-THL-0037")</f>
        <v>HTA-THL-0037</v>
      </c>
      <c r="B26" s="26">
        <f>SUMIFS('Booking Data'!$F$2:$F$116,'Booking Data'!$A$2:$A$116,A26)</f>
        <v>7500</v>
      </c>
      <c r="C26" s="26">
        <f>COUNTIFS('Booking Data'!A25:A139,A26)</f>
        <v>1</v>
      </c>
      <c r="D26" s="26" t="str">
        <f t="shared" si="1"/>
        <v>Occasional</v>
      </c>
      <c r="E26" s="26">
        <f t="shared" si="2"/>
        <v>30</v>
      </c>
    </row>
    <row r="27">
      <c r="A27" s="26" t="str">
        <f>IFERROR(__xludf.DUMMYFUNCTION("""COMPUTED_VALUE"""),"HTA-THL-0045")</f>
        <v>HTA-THL-0045</v>
      </c>
      <c r="B27" s="26">
        <f>SUMIFS('Booking Data'!$F$2:$F$116,'Booking Data'!$A$2:$A$116,A27)</f>
        <v>7500</v>
      </c>
      <c r="C27" s="26">
        <f>COUNTIFS('Booking Data'!A26:A140,A27)</f>
        <v>1</v>
      </c>
      <c r="D27" s="26" t="str">
        <f t="shared" si="1"/>
        <v>Occasional</v>
      </c>
      <c r="E27" s="26">
        <f t="shared" si="2"/>
        <v>30</v>
      </c>
    </row>
    <row r="28">
      <c r="A28" s="26" t="str">
        <f>IFERROR(__xludf.DUMMYFUNCTION("""COMPUTED_VALUE"""),"HTA-THL-0060")</f>
        <v>HTA-THL-0060</v>
      </c>
      <c r="B28" s="26">
        <f>SUMIFS('Booking Data'!$F$2:$F$116,'Booking Data'!$A$2:$A$116,A28)</f>
        <v>7500</v>
      </c>
      <c r="C28" s="26">
        <f>COUNTIFS('Booking Data'!A27:A141,A28)</f>
        <v>1</v>
      </c>
      <c r="D28" s="26" t="str">
        <f t="shared" si="1"/>
        <v>Occasional</v>
      </c>
      <c r="E28" s="26">
        <f t="shared" si="2"/>
        <v>30</v>
      </c>
    </row>
    <row r="29">
      <c r="A29" s="26" t="str">
        <f>IFERROR(__xludf.DUMMYFUNCTION("""COMPUTED_VALUE"""),"HTA-THL-0061")</f>
        <v>HTA-THL-0061</v>
      </c>
      <c r="B29" s="26">
        <f>SUMIFS('Booking Data'!$F$2:$F$116,'Booking Data'!$A$2:$A$116,A29)</f>
        <v>10000</v>
      </c>
      <c r="C29" s="26">
        <f>COUNTIFS('Booking Data'!A28:A142,A29)</f>
        <v>1</v>
      </c>
      <c r="D29" s="26" t="str">
        <f t="shared" si="1"/>
        <v>Occasional</v>
      </c>
      <c r="E29" s="26">
        <f t="shared" si="2"/>
        <v>30</v>
      </c>
    </row>
    <row r="30">
      <c r="A30" s="26" t="str">
        <f>IFERROR(__xludf.DUMMYFUNCTION("""COMPUTED_VALUE"""),"HTA-THL-0062")</f>
        <v>HTA-THL-0062</v>
      </c>
      <c r="B30" s="26">
        <f>SUMIFS('Booking Data'!$F$2:$F$116,'Booking Data'!$A$2:$A$116,A30)</f>
        <v>7500</v>
      </c>
      <c r="C30" s="26">
        <f>COUNTIFS('Booking Data'!A29:A143,A30)</f>
        <v>1</v>
      </c>
      <c r="D30" s="26" t="str">
        <f t="shared" si="1"/>
        <v>Occasional</v>
      </c>
      <c r="E30" s="26">
        <f t="shared" si="2"/>
        <v>30</v>
      </c>
    </row>
    <row r="31">
      <c r="A31" s="26" t="str">
        <f>IFERROR(__xludf.DUMMYFUNCTION("""COMPUTED_VALUE"""),"HTA-THL-0026")</f>
        <v>HTA-THL-0026</v>
      </c>
      <c r="B31" s="26">
        <f>SUMIFS('Booking Data'!$F$2:$F$116,'Booking Data'!$A$2:$A$116,A31)</f>
        <v>47500</v>
      </c>
      <c r="C31" s="26">
        <f>COUNTIFS('Booking Data'!A30:A144,A31)</f>
        <v>4</v>
      </c>
      <c r="D31" s="26" t="str">
        <f t="shared" si="1"/>
        <v>Occasional</v>
      </c>
      <c r="E31" s="26">
        <f t="shared" si="2"/>
        <v>7</v>
      </c>
    </row>
    <row r="32">
      <c r="A32" s="26" t="str">
        <f>IFERROR(__xludf.DUMMYFUNCTION("""COMPUTED_VALUE"""),"HTA-THL-003")</f>
        <v>HTA-THL-003</v>
      </c>
      <c r="B32" s="26">
        <f>SUMIFS('Booking Data'!$F$2:$F$116,'Booking Data'!$A$2:$A$116,A32)</f>
        <v>62500</v>
      </c>
      <c r="C32" s="26">
        <f>COUNTIFS('Booking Data'!A31:A145,A32)</f>
        <v>4</v>
      </c>
      <c r="D32" s="26" t="str">
        <f t="shared" si="1"/>
        <v>Occasional</v>
      </c>
      <c r="E32" s="26">
        <f t="shared" si="2"/>
        <v>7</v>
      </c>
    </row>
    <row r="33">
      <c r="A33" s="26" t="str">
        <f>IFERROR(__xludf.DUMMYFUNCTION("""COMPUTED_VALUE"""),"HTA-THL-0014")</f>
        <v>HTA-THL-0014</v>
      </c>
      <c r="B33" s="26">
        <f>SUMIFS('Booking Data'!$F$2:$F$116,'Booking Data'!$A$2:$A$116,A33)</f>
        <v>37500</v>
      </c>
      <c r="C33" s="26">
        <f>COUNTIFS('Booking Data'!A32:A146,A33)</f>
        <v>3</v>
      </c>
      <c r="D33" s="26" t="str">
        <f t="shared" si="1"/>
        <v>Occasional</v>
      </c>
      <c r="E33" s="26">
        <f t="shared" si="2"/>
        <v>12</v>
      </c>
    </row>
    <row r="34">
      <c r="A34" s="26" t="str">
        <f>IFERROR(__xludf.DUMMYFUNCTION("""COMPUTED_VALUE"""),"HTA-THL-008")</f>
        <v>HTA-THL-008</v>
      </c>
      <c r="B34" s="26">
        <f>SUMIFS('Booking Data'!$F$2:$F$116,'Booking Data'!$A$2:$A$116,A34)</f>
        <v>15000</v>
      </c>
      <c r="C34" s="26">
        <f>COUNTIFS('Booking Data'!A33:A147,A34)</f>
        <v>2</v>
      </c>
      <c r="D34" s="26" t="str">
        <f t="shared" si="1"/>
        <v>Occasional</v>
      </c>
      <c r="E34" s="26">
        <f t="shared" si="2"/>
        <v>20</v>
      </c>
    </row>
    <row r="35">
      <c r="A35" s="26" t="str">
        <f>IFERROR(__xludf.DUMMYFUNCTION("""COMPUTED_VALUE"""),"HTA-THL-0033")</f>
        <v>HTA-THL-0033</v>
      </c>
      <c r="B35" s="26">
        <f>SUMIFS('Booking Data'!$F$2:$F$116,'Booking Data'!$A$2:$A$116,A35)</f>
        <v>15000</v>
      </c>
      <c r="C35" s="26">
        <f>COUNTIFS('Booking Data'!A34:A148,A35)</f>
        <v>1</v>
      </c>
      <c r="D35" s="26" t="str">
        <f t="shared" si="1"/>
        <v>Occasional</v>
      </c>
      <c r="E35" s="26">
        <f t="shared" si="2"/>
        <v>30</v>
      </c>
    </row>
    <row r="36">
      <c r="A36" s="26" t="str">
        <f>IFERROR(__xludf.DUMMYFUNCTION("""COMPUTED_VALUE"""),"HTA-THL-0024")</f>
        <v>HTA-THL-0024</v>
      </c>
      <c r="B36" s="26">
        <f>SUMIFS('Booking Data'!$F$2:$F$116,'Booking Data'!$A$2:$A$116,A36)</f>
        <v>45000</v>
      </c>
      <c r="C36" s="26">
        <f>COUNTIFS('Booking Data'!A35:A149,A36)</f>
        <v>3</v>
      </c>
      <c r="D36" s="26" t="str">
        <f t="shared" si="1"/>
        <v>Occasional</v>
      </c>
      <c r="E36" s="26">
        <f t="shared" si="2"/>
        <v>12</v>
      </c>
    </row>
    <row r="37">
      <c r="A37" s="26" t="str">
        <f>IFERROR(__xludf.DUMMYFUNCTION("""COMPUTED_VALUE"""),"HTA-THL-0011")</f>
        <v>HTA-THL-0011</v>
      </c>
      <c r="B37" s="26">
        <f>SUMIFS('Booking Data'!$F$2:$F$116,'Booking Data'!$A$2:$A$116,A37)</f>
        <v>27500</v>
      </c>
      <c r="C37" s="26">
        <f>COUNTIFS('Booking Data'!A36:A150,A37)</f>
        <v>2</v>
      </c>
      <c r="D37" s="26" t="str">
        <f t="shared" si="1"/>
        <v>Occasional</v>
      </c>
      <c r="E37" s="26">
        <f t="shared" si="2"/>
        <v>20</v>
      </c>
    </row>
    <row r="38">
      <c r="A38" s="26" t="str">
        <f>IFERROR(__xludf.DUMMYFUNCTION("""COMPUTED_VALUE"""),"HTA-THL-009")</f>
        <v>HTA-THL-009</v>
      </c>
      <c r="B38" s="26">
        <f>SUMIFS('Booking Data'!$F$2:$F$116,'Booking Data'!$A$2:$A$116,A38)</f>
        <v>15000</v>
      </c>
      <c r="C38" s="26">
        <f>COUNTIFS('Booking Data'!A37:A151,A38)</f>
        <v>2</v>
      </c>
      <c r="D38" s="26" t="str">
        <f t="shared" si="1"/>
        <v>Occasional</v>
      </c>
      <c r="E38" s="26">
        <f t="shared" si="2"/>
        <v>20</v>
      </c>
    </row>
    <row r="39">
      <c r="A39" s="26" t="str">
        <f>IFERROR(__xludf.DUMMYFUNCTION("""COMPUTED_VALUE"""),"HTA-THL-0017")</f>
        <v>HTA-THL-0017</v>
      </c>
      <c r="B39" s="26">
        <f>SUMIFS('Booking Data'!$F$2:$F$116,'Booking Data'!$A$2:$A$116,A39)</f>
        <v>42500</v>
      </c>
      <c r="C39" s="26">
        <f>COUNTIFS('Booking Data'!A38:A152,A39)</f>
        <v>3</v>
      </c>
      <c r="D39" s="26" t="str">
        <f t="shared" si="1"/>
        <v>Occasional</v>
      </c>
      <c r="E39" s="26">
        <f t="shared" si="2"/>
        <v>12</v>
      </c>
    </row>
    <row r="40">
      <c r="A40" s="26" t="str">
        <f>IFERROR(__xludf.DUMMYFUNCTION("""COMPUTED_VALUE"""),"HTA-THL-0028")</f>
        <v>HTA-THL-0028</v>
      </c>
      <c r="B40" s="26">
        <f>SUMIFS('Booking Data'!$F$2:$F$116,'Booking Data'!$A$2:$A$116,A40)</f>
        <v>15000</v>
      </c>
      <c r="C40" s="26">
        <f>COUNTIFS('Booking Data'!A39:A153,A40)</f>
        <v>1</v>
      </c>
      <c r="D40" s="26" t="str">
        <f t="shared" si="1"/>
        <v>Occasional</v>
      </c>
      <c r="E40" s="26">
        <f t="shared" si="2"/>
        <v>30</v>
      </c>
    </row>
    <row r="41">
      <c r="A41" s="26" t="str">
        <f>IFERROR(__xludf.DUMMYFUNCTION("""COMPUTED_VALUE"""),"HTA-THL-0029")</f>
        <v>HTA-THL-0029</v>
      </c>
      <c r="B41" s="26">
        <f>SUMIFS('Booking Data'!$F$2:$F$116,'Booking Data'!$A$2:$A$116,A41)</f>
        <v>7500</v>
      </c>
      <c r="C41" s="26">
        <f>COUNTIFS('Booking Data'!A40:A154,A41)</f>
        <v>1</v>
      </c>
      <c r="D41" s="26" t="str">
        <f t="shared" si="1"/>
        <v>Occasional</v>
      </c>
      <c r="E41" s="26">
        <f t="shared" si="2"/>
        <v>30</v>
      </c>
    </row>
    <row r="42">
      <c r="A42" s="26" t="str">
        <f>IFERROR(__xludf.DUMMYFUNCTION("""COMPUTED_VALUE"""),"HTA-THL-0019")</f>
        <v>HTA-THL-0019</v>
      </c>
      <c r="B42" s="26">
        <f>SUMIFS('Booking Data'!$F$2:$F$116,'Booking Data'!$A$2:$A$116,A42)</f>
        <v>52500</v>
      </c>
      <c r="C42" s="26">
        <f>COUNTIFS('Booking Data'!A41:A155,A42)</f>
        <v>3</v>
      </c>
      <c r="D42" s="26" t="str">
        <f t="shared" si="1"/>
        <v>Occasional</v>
      </c>
      <c r="E42" s="26">
        <f t="shared" si="2"/>
        <v>12</v>
      </c>
    </row>
    <row r="43">
      <c r="A43" s="26" t="str">
        <f>IFERROR(__xludf.DUMMYFUNCTION("""COMPUTED_VALUE"""),"HTA-THL-00227")</f>
        <v>HTA-THL-00227</v>
      </c>
      <c r="B43" s="26">
        <f>SUMIFS('Booking Data'!$F$2:$F$116,'Booking Data'!$A$2:$A$116,A43)</f>
        <v>15000</v>
      </c>
      <c r="C43" s="26">
        <f>COUNTIFS('Booking Data'!A42:A156,A43)</f>
        <v>1</v>
      </c>
      <c r="D43" s="26" t="str">
        <f t="shared" si="1"/>
        <v>Occasional</v>
      </c>
      <c r="E43" s="26">
        <f t="shared" si="2"/>
        <v>30</v>
      </c>
    </row>
  </sheetData>
  <mergeCells count="1">
    <mergeCell ref="A1:E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1.13"/>
    <col customWidth="1" min="3" max="3" width="26.5"/>
    <col customWidth="1" min="4" max="4" width="42.75"/>
  </cols>
  <sheetData>
    <row r="1">
      <c r="A1" s="32" t="s">
        <v>186</v>
      </c>
    </row>
    <row r="17">
      <c r="A17" s="31" t="s">
        <v>184</v>
      </c>
      <c r="B17" s="31" t="s">
        <v>187</v>
      </c>
      <c r="C17" s="31" t="s">
        <v>188</v>
      </c>
      <c r="D17" s="31" t="s">
        <v>189</v>
      </c>
    </row>
    <row r="18">
      <c r="A18" s="33" t="str">
        <f>IFERROR(__xludf.DUMMYFUNCTION("unique('Booking Frequency'!D3:D43)"),"Occasional")</f>
        <v>Occasional</v>
      </c>
      <c r="B18" s="34">
        <f>COUNTIFS('Booking Frequency'!D3:D43,A18)</f>
        <v>35</v>
      </c>
      <c r="C18" s="34">
        <f>SUMIFS('Booking Frequency'!B3:B43,'Booking Frequency'!D3:D43,A18)</f>
        <v>1045000</v>
      </c>
      <c r="D18" s="35">
        <f t="shared" ref="D18:D19" si="1">C18/B18</f>
        <v>29857.14286</v>
      </c>
    </row>
    <row r="19">
      <c r="A19" s="33" t="str">
        <f>IFERROR(__xludf.DUMMYFUNCTION("""COMPUTED_VALUE"""),"Frequent Guest")</f>
        <v>Frequent Guest</v>
      </c>
      <c r="B19" s="34">
        <f>COUNTIFS('Booking Frequency'!D4:D44,A19)</f>
        <v>6</v>
      </c>
      <c r="C19" s="34">
        <f>SUMIFS('Booking Frequency'!B4:B44,'Booking Frequency'!D4:D44,A19)</f>
        <v>597500</v>
      </c>
      <c r="D19" s="35">
        <f t="shared" si="1"/>
        <v>99583.33333</v>
      </c>
    </row>
  </sheetData>
  <mergeCells count="1">
    <mergeCell ref="A1:D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3" t="s">
        <v>190</v>
      </c>
      <c r="B1" s="30"/>
      <c r="C1" s="30"/>
      <c r="D1" s="24"/>
    </row>
    <row r="2">
      <c r="A2" s="36" t="s">
        <v>9</v>
      </c>
      <c r="B2" s="36" t="s">
        <v>14</v>
      </c>
      <c r="C2" s="36" t="s">
        <v>184</v>
      </c>
      <c r="D2" s="36" t="s">
        <v>185</v>
      </c>
    </row>
    <row r="3">
      <c r="A3" s="37" t="str">
        <f>IFERROR(__xludf.DUMMYFUNCTION("UNIQUE('Booking Data'!A2:A116)"),"HTA-THL-0020")</f>
        <v>HTA-THL-0020</v>
      </c>
      <c r="B3" s="37">
        <f>SUMIFS('Booking Data'!F2:F116,'Booking Data'!A2:A116,A3)</f>
        <v>55000</v>
      </c>
      <c r="C3" s="37" t="str">
        <f t="shared" ref="C3:C43" si="1">IF(B3&gt;=50000,"Top Players","Budget Guests")</f>
        <v>Top Players</v>
      </c>
      <c r="D3" s="37">
        <f t="shared" ref="D3:D43" si="2">RANK(B3,$B$3:$B$43)</f>
        <v>10</v>
      </c>
    </row>
    <row r="4">
      <c r="A4" s="37" t="str">
        <f>IFERROR(__xludf.DUMMYFUNCTION("""COMPUTED_VALUE"""),"HTA-THL-0015")</f>
        <v>HTA-THL-0015</v>
      </c>
      <c r="B4" s="37">
        <f>SUMIFS('Booking Data'!F3:F117,'Booking Data'!A3:A117,A4)</f>
        <v>35000</v>
      </c>
      <c r="C4" s="37" t="str">
        <f t="shared" si="1"/>
        <v>Budget Guests</v>
      </c>
      <c r="D4" s="37">
        <f t="shared" si="2"/>
        <v>20</v>
      </c>
    </row>
    <row r="5">
      <c r="A5" s="37" t="str">
        <f>IFERROR(__xludf.DUMMYFUNCTION("""COMPUTED_VALUE"""),"HTA-THL-005")</f>
        <v>HTA-THL-005</v>
      </c>
      <c r="B5" s="37">
        <f>SUMIFS('Booking Data'!F4:F118,'Booking Data'!A4:A118,A5)</f>
        <v>95000</v>
      </c>
      <c r="C5" s="37" t="str">
        <f t="shared" si="1"/>
        <v>Top Players</v>
      </c>
      <c r="D5" s="37">
        <f t="shared" si="2"/>
        <v>3</v>
      </c>
    </row>
    <row r="6">
      <c r="A6" s="37" t="str">
        <f>IFERROR(__xludf.DUMMYFUNCTION("""COMPUTED_VALUE"""),"HTA-THL-0027")</f>
        <v>HTA-THL-0027</v>
      </c>
      <c r="B6" s="37">
        <f>SUMIFS('Booking Data'!F5:F119,'Booking Data'!A5:A119,A6)</f>
        <v>40000</v>
      </c>
      <c r="C6" s="37" t="str">
        <f t="shared" si="1"/>
        <v>Budget Guests</v>
      </c>
      <c r="D6" s="37">
        <f t="shared" si="2"/>
        <v>18</v>
      </c>
    </row>
    <row r="7">
      <c r="A7" s="37" t="str">
        <f>IFERROR(__xludf.DUMMYFUNCTION("""COMPUTED_VALUE"""),"HTA-THL-0016")</f>
        <v>HTA-THL-0016</v>
      </c>
      <c r="B7" s="37">
        <f>SUMIFS('Booking Data'!F6:F120,'Booking Data'!A6:A120,A7)</f>
        <v>35000</v>
      </c>
      <c r="C7" s="37" t="str">
        <f t="shared" si="1"/>
        <v>Budget Guests</v>
      </c>
      <c r="D7" s="37">
        <f t="shared" si="2"/>
        <v>20</v>
      </c>
    </row>
    <row r="8">
      <c r="A8" s="37" t="str">
        <f>IFERROR(__xludf.DUMMYFUNCTION("""COMPUTED_VALUE"""),"HTA-THL-0021")</f>
        <v>HTA-THL-0021</v>
      </c>
      <c r="B8" s="37">
        <f>SUMIFS('Booking Data'!F7:F121,'Booking Data'!A7:A121,A8)</f>
        <v>45000</v>
      </c>
      <c r="C8" s="37" t="str">
        <f t="shared" si="1"/>
        <v>Budget Guests</v>
      </c>
      <c r="D8" s="37">
        <f t="shared" si="2"/>
        <v>15</v>
      </c>
    </row>
    <row r="9">
      <c r="A9" s="37" t="str">
        <f>IFERROR(__xludf.DUMMYFUNCTION("""COMPUTED_VALUE"""),"HTA-THL-0023")</f>
        <v>HTA-THL-0023</v>
      </c>
      <c r="B9" s="37">
        <f>SUMIFS('Booking Data'!F8:F122,'Booking Data'!A8:A122,A9)</f>
        <v>57500</v>
      </c>
      <c r="C9" s="37" t="str">
        <f t="shared" si="1"/>
        <v>Top Players</v>
      </c>
      <c r="D9" s="37">
        <f t="shared" si="2"/>
        <v>9</v>
      </c>
    </row>
    <row r="10">
      <c r="A10" s="37" t="str">
        <f>IFERROR(__xludf.DUMMYFUNCTION("""COMPUTED_VALUE"""),"HTA-THL-0013")</f>
        <v>HTA-THL-0013</v>
      </c>
      <c r="B10" s="37">
        <f>SUMIFS('Booking Data'!F9:F123,'Booking Data'!A9:A123,A10)</f>
        <v>47500</v>
      </c>
      <c r="C10" s="37" t="str">
        <f t="shared" si="1"/>
        <v>Budget Guests</v>
      </c>
      <c r="D10" s="37">
        <f t="shared" si="2"/>
        <v>13</v>
      </c>
    </row>
    <row r="11">
      <c r="A11" s="37" t="str">
        <f>IFERROR(__xludf.DUMMYFUNCTION("""COMPUTED_VALUE"""),"HTA-THL-0022")</f>
        <v>HTA-THL-0022</v>
      </c>
      <c r="B11" s="37">
        <f>SUMIFS('Booking Data'!F10:F124,'Booking Data'!A10:A124,A11)</f>
        <v>92500</v>
      </c>
      <c r="C11" s="37" t="str">
        <f t="shared" si="1"/>
        <v>Top Players</v>
      </c>
      <c r="D11" s="37">
        <f t="shared" si="2"/>
        <v>4</v>
      </c>
    </row>
    <row r="12">
      <c r="A12" s="37" t="str">
        <f>IFERROR(__xludf.DUMMYFUNCTION("""COMPUTED_VALUE"""),"HTA-THL-0025")</f>
        <v>HTA-THL-0025</v>
      </c>
      <c r="B12" s="37">
        <f>SUMIFS('Booking Data'!F11:F125,'Booking Data'!A11:A125,A12)</f>
        <v>70000</v>
      </c>
      <c r="C12" s="37" t="str">
        <f t="shared" si="1"/>
        <v>Top Players</v>
      </c>
      <c r="D12" s="37">
        <f t="shared" si="2"/>
        <v>7</v>
      </c>
    </row>
    <row r="13">
      <c r="A13" s="37" t="str">
        <f>IFERROR(__xludf.DUMMYFUNCTION("""COMPUTED_VALUE"""),"HTA-THL-006")</f>
        <v>HTA-THL-006</v>
      </c>
      <c r="B13" s="37">
        <f>SUMIFS('Booking Data'!F12:F126,'Booking Data'!A12:A126,A13)</f>
        <v>90000</v>
      </c>
      <c r="C13" s="37" t="str">
        <f t="shared" si="1"/>
        <v>Top Players</v>
      </c>
      <c r="D13" s="37">
        <f t="shared" si="2"/>
        <v>6</v>
      </c>
    </row>
    <row r="14">
      <c r="A14" s="37" t="str">
        <f>IFERROR(__xludf.DUMMYFUNCTION("""COMPUTED_VALUE"""),"HTA-THL-004")</f>
        <v>HTA-THL-004</v>
      </c>
      <c r="B14" s="37">
        <f>SUMIFS('Booking Data'!F13:F127,'Booking Data'!A13:A127,A14)</f>
        <v>92500</v>
      </c>
      <c r="C14" s="37" t="str">
        <f t="shared" si="1"/>
        <v>Top Players</v>
      </c>
      <c r="D14" s="37">
        <f t="shared" si="2"/>
        <v>4</v>
      </c>
    </row>
    <row r="15">
      <c r="A15" s="37" t="str">
        <f>IFERROR(__xludf.DUMMYFUNCTION("""COMPUTED_VALUE"""),"HTA-THL-002")</f>
        <v>HTA-THL-002</v>
      </c>
      <c r="B15" s="37">
        <f>SUMIFS('Booking Data'!F14:F128,'Booking Data'!A14:A128,A15)</f>
        <v>127500</v>
      </c>
      <c r="C15" s="37" t="str">
        <f t="shared" si="1"/>
        <v>Top Players</v>
      </c>
      <c r="D15" s="37">
        <f t="shared" si="2"/>
        <v>1</v>
      </c>
    </row>
    <row r="16">
      <c r="A16" s="37" t="str">
        <f>IFERROR(__xludf.DUMMYFUNCTION("""COMPUTED_VALUE"""),"HTA-THL-007")</f>
        <v>HTA-THL-007</v>
      </c>
      <c r="B16" s="37">
        <f>SUMIFS('Booking Data'!F15:F129,'Booking Data'!A15:A129,A16)</f>
        <v>22500</v>
      </c>
      <c r="C16" s="37" t="str">
        <f t="shared" si="1"/>
        <v>Budget Guests</v>
      </c>
      <c r="D16" s="37">
        <f t="shared" si="2"/>
        <v>25</v>
      </c>
    </row>
    <row r="17">
      <c r="A17" s="37" t="str">
        <f>IFERROR(__xludf.DUMMYFUNCTION("""COMPUTED_VALUE"""),"HTA-THL-001")</f>
        <v>HTA-THL-001</v>
      </c>
      <c r="B17" s="37">
        <f>SUMIFS('Booking Data'!F16:F130,'Booking Data'!A16:A130,A17)</f>
        <v>100000</v>
      </c>
      <c r="C17" s="37" t="str">
        <f t="shared" si="1"/>
        <v>Top Players</v>
      </c>
      <c r="D17" s="37">
        <f t="shared" si="2"/>
        <v>2</v>
      </c>
    </row>
    <row r="18">
      <c r="A18" s="37" t="str">
        <f>IFERROR(__xludf.DUMMYFUNCTION("""COMPUTED_VALUE"""),"HTA-THL-0034")</f>
        <v>HTA-THL-0034</v>
      </c>
      <c r="B18" s="37">
        <f>SUMIFS('Booking Data'!F17:F131,'Booking Data'!A17:A131,A18)</f>
        <v>7500</v>
      </c>
      <c r="C18" s="37" t="str">
        <f t="shared" si="1"/>
        <v>Budget Guests</v>
      </c>
      <c r="D18" s="37">
        <f t="shared" si="2"/>
        <v>36</v>
      </c>
    </row>
    <row r="19">
      <c r="A19" s="37" t="str">
        <f>IFERROR(__xludf.DUMMYFUNCTION("""COMPUTED_VALUE"""),"HTA-THL-0030")</f>
        <v>HTA-THL-0030</v>
      </c>
      <c r="B19" s="37">
        <f>SUMIFS('Booking Data'!F18:F132,'Booking Data'!A18:A132,A19)</f>
        <v>22500</v>
      </c>
      <c r="C19" s="37" t="str">
        <f t="shared" si="1"/>
        <v>Budget Guests</v>
      </c>
      <c r="D19" s="37">
        <f t="shared" si="2"/>
        <v>25</v>
      </c>
    </row>
    <row r="20">
      <c r="A20" s="37" t="str">
        <f>IFERROR(__xludf.DUMMYFUNCTION("""COMPUTED_VALUE"""),"HTA-THL-0012")</f>
        <v>HTA-THL-0012</v>
      </c>
      <c r="B20" s="37">
        <f>SUMIFS('Booking Data'!F19:F133,'Booking Data'!A19:A133,A20)</f>
        <v>35000</v>
      </c>
      <c r="C20" s="37" t="str">
        <f t="shared" si="1"/>
        <v>Budget Guests</v>
      </c>
      <c r="D20" s="37">
        <f t="shared" si="2"/>
        <v>20</v>
      </c>
    </row>
    <row r="21">
      <c r="A21" s="37" t="str">
        <f>IFERROR(__xludf.DUMMYFUNCTION("""COMPUTED_VALUE"""),"HTA-THL-0031")</f>
        <v>HTA-THL-0031</v>
      </c>
      <c r="B21" s="37">
        <f>SUMIFS('Booking Data'!F20:F134,'Booking Data'!A20:A134,A21)</f>
        <v>17500</v>
      </c>
      <c r="C21" s="37" t="str">
        <f t="shared" si="1"/>
        <v>Budget Guests</v>
      </c>
      <c r="D21" s="37">
        <f t="shared" si="2"/>
        <v>27</v>
      </c>
    </row>
    <row r="22">
      <c r="A22" s="37" t="str">
        <f>IFERROR(__xludf.DUMMYFUNCTION("""COMPUTED_VALUE"""),"HTA-THL-0040")</f>
        <v>HTA-THL-0040</v>
      </c>
      <c r="B22" s="37">
        <f>SUMIFS('Booking Data'!F21:F135,'Booking Data'!A21:A135,A22)</f>
        <v>15000</v>
      </c>
      <c r="C22" s="37" t="str">
        <f t="shared" si="1"/>
        <v>Budget Guests</v>
      </c>
      <c r="D22" s="37">
        <f t="shared" si="2"/>
        <v>28</v>
      </c>
    </row>
    <row r="23">
      <c r="A23" s="37" t="str">
        <f>IFERROR(__xludf.DUMMYFUNCTION("""COMPUTED_VALUE"""),"HTA-THL-0010")</f>
        <v>HTA-THL-0010</v>
      </c>
      <c r="B23" s="37">
        <f>SUMIFS('Booking Data'!F22:F136,'Booking Data'!A22:A136,A23)</f>
        <v>32500</v>
      </c>
      <c r="C23" s="37" t="str">
        <f t="shared" si="1"/>
        <v>Budget Guests</v>
      </c>
      <c r="D23" s="37">
        <f t="shared" si="2"/>
        <v>23</v>
      </c>
    </row>
    <row r="24">
      <c r="A24" s="37" t="str">
        <f>IFERROR(__xludf.DUMMYFUNCTION("""COMPUTED_VALUE"""),"HTA-THL-0032")</f>
        <v>HTA-THL-0032</v>
      </c>
      <c r="B24" s="37">
        <f>SUMIFS('Booking Data'!F23:F137,'Booking Data'!A23:A137,A24)</f>
        <v>15000</v>
      </c>
      <c r="C24" s="37" t="str">
        <f t="shared" si="1"/>
        <v>Budget Guests</v>
      </c>
      <c r="D24" s="37">
        <f t="shared" si="2"/>
        <v>28</v>
      </c>
    </row>
    <row r="25">
      <c r="A25" s="37" t="str">
        <f>IFERROR(__xludf.DUMMYFUNCTION("""COMPUTED_VALUE"""),"HTA-THL-0018")</f>
        <v>HTA-THL-0018</v>
      </c>
      <c r="B25" s="37">
        <f>SUMIFS('Booking Data'!F24:F138,'Booking Data'!A24:A138,A25)</f>
        <v>55000</v>
      </c>
      <c r="C25" s="37" t="str">
        <f t="shared" si="1"/>
        <v>Top Players</v>
      </c>
      <c r="D25" s="37">
        <f t="shared" si="2"/>
        <v>10</v>
      </c>
    </row>
    <row r="26">
      <c r="A26" s="37" t="str">
        <f>IFERROR(__xludf.DUMMYFUNCTION("""COMPUTED_VALUE"""),"HTA-THL-0037")</f>
        <v>HTA-THL-0037</v>
      </c>
      <c r="B26" s="37">
        <f>SUMIFS('Booking Data'!F25:F139,'Booking Data'!A25:A139,A26)</f>
        <v>7500</v>
      </c>
      <c r="C26" s="37" t="str">
        <f t="shared" si="1"/>
        <v>Budget Guests</v>
      </c>
      <c r="D26" s="37">
        <f t="shared" si="2"/>
        <v>36</v>
      </c>
    </row>
    <row r="27">
      <c r="A27" s="37" t="str">
        <f>IFERROR(__xludf.DUMMYFUNCTION("""COMPUTED_VALUE"""),"HTA-THL-0045")</f>
        <v>HTA-THL-0045</v>
      </c>
      <c r="B27" s="37">
        <f>SUMIFS('Booking Data'!F26:F140,'Booking Data'!A26:A140,A27)</f>
        <v>7500</v>
      </c>
      <c r="C27" s="37" t="str">
        <f t="shared" si="1"/>
        <v>Budget Guests</v>
      </c>
      <c r="D27" s="37">
        <f t="shared" si="2"/>
        <v>36</v>
      </c>
    </row>
    <row r="28">
      <c r="A28" s="37" t="str">
        <f>IFERROR(__xludf.DUMMYFUNCTION("""COMPUTED_VALUE"""),"HTA-THL-0060")</f>
        <v>HTA-THL-0060</v>
      </c>
      <c r="B28" s="37">
        <f>SUMIFS('Booking Data'!F27:F141,'Booking Data'!A27:A141,A28)</f>
        <v>7500</v>
      </c>
      <c r="C28" s="37" t="str">
        <f t="shared" si="1"/>
        <v>Budget Guests</v>
      </c>
      <c r="D28" s="37">
        <f t="shared" si="2"/>
        <v>36</v>
      </c>
    </row>
    <row r="29">
      <c r="A29" s="37" t="str">
        <f>IFERROR(__xludf.DUMMYFUNCTION("""COMPUTED_VALUE"""),"HTA-THL-0061")</f>
        <v>HTA-THL-0061</v>
      </c>
      <c r="B29" s="37">
        <f>SUMIFS('Booking Data'!F28:F142,'Booking Data'!A28:A142,A29)</f>
        <v>10000</v>
      </c>
      <c r="C29" s="37" t="str">
        <f t="shared" si="1"/>
        <v>Budget Guests</v>
      </c>
      <c r="D29" s="37">
        <f t="shared" si="2"/>
        <v>35</v>
      </c>
    </row>
    <row r="30">
      <c r="A30" s="37" t="str">
        <f>IFERROR(__xludf.DUMMYFUNCTION("""COMPUTED_VALUE"""),"HTA-THL-0062")</f>
        <v>HTA-THL-0062</v>
      </c>
      <c r="B30" s="37">
        <f>SUMIFS('Booking Data'!F29:F143,'Booking Data'!A29:A143,A30)</f>
        <v>7500</v>
      </c>
      <c r="C30" s="37" t="str">
        <f t="shared" si="1"/>
        <v>Budget Guests</v>
      </c>
      <c r="D30" s="37">
        <f t="shared" si="2"/>
        <v>36</v>
      </c>
    </row>
    <row r="31">
      <c r="A31" s="37" t="str">
        <f>IFERROR(__xludf.DUMMYFUNCTION("""COMPUTED_VALUE"""),"HTA-THL-0026")</f>
        <v>HTA-THL-0026</v>
      </c>
      <c r="B31" s="37">
        <f>SUMIFS('Booking Data'!F30:F144,'Booking Data'!A30:A144,A31)</f>
        <v>47500</v>
      </c>
      <c r="C31" s="37" t="str">
        <f t="shared" si="1"/>
        <v>Budget Guests</v>
      </c>
      <c r="D31" s="37">
        <f t="shared" si="2"/>
        <v>13</v>
      </c>
    </row>
    <row r="32">
      <c r="A32" s="37" t="str">
        <f>IFERROR(__xludf.DUMMYFUNCTION("""COMPUTED_VALUE"""),"HTA-THL-003")</f>
        <v>HTA-THL-003</v>
      </c>
      <c r="B32" s="37">
        <f>SUMIFS('Booking Data'!F31:F145,'Booking Data'!A31:A145,A32)</f>
        <v>62500</v>
      </c>
      <c r="C32" s="37" t="str">
        <f t="shared" si="1"/>
        <v>Top Players</v>
      </c>
      <c r="D32" s="37">
        <f t="shared" si="2"/>
        <v>8</v>
      </c>
    </row>
    <row r="33">
      <c r="A33" s="37" t="str">
        <f>IFERROR(__xludf.DUMMYFUNCTION("""COMPUTED_VALUE"""),"HTA-THL-0014")</f>
        <v>HTA-THL-0014</v>
      </c>
      <c r="B33" s="37">
        <f>SUMIFS('Booking Data'!F32:F146,'Booking Data'!A32:A146,A33)</f>
        <v>37500</v>
      </c>
      <c r="C33" s="37" t="str">
        <f t="shared" si="1"/>
        <v>Budget Guests</v>
      </c>
      <c r="D33" s="37">
        <f t="shared" si="2"/>
        <v>19</v>
      </c>
    </row>
    <row r="34">
      <c r="A34" s="37" t="str">
        <f>IFERROR(__xludf.DUMMYFUNCTION("""COMPUTED_VALUE"""),"HTA-THL-008")</f>
        <v>HTA-THL-008</v>
      </c>
      <c r="B34" s="37">
        <f>SUMIFS('Booking Data'!F33:F147,'Booking Data'!A33:A147,A34)</f>
        <v>15000</v>
      </c>
      <c r="C34" s="37" t="str">
        <f t="shared" si="1"/>
        <v>Budget Guests</v>
      </c>
      <c r="D34" s="37">
        <f t="shared" si="2"/>
        <v>28</v>
      </c>
    </row>
    <row r="35">
      <c r="A35" s="37" t="str">
        <f>IFERROR(__xludf.DUMMYFUNCTION("""COMPUTED_VALUE"""),"HTA-THL-0033")</f>
        <v>HTA-THL-0033</v>
      </c>
      <c r="B35" s="37">
        <f>SUMIFS('Booking Data'!F34:F148,'Booking Data'!A34:A148,A35)</f>
        <v>15000</v>
      </c>
      <c r="C35" s="37" t="str">
        <f t="shared" si="1"/>
        <v>Budget Guests</v>
      </c>
      <c r="D35" s="37">
        <f t="shared" si="2"/>
        <v>28</v>
      </c>
    </row>
    <row r="36">
      <c r="A36" s="37" t="str">
        <f>IFERROR(__xludf.DUMMYFUNCTION("""COMPUTED_VALUE"""),"HTA-THL-0024")</f>
        <v>HTA-THL-0024</v>
      </c>
      <c r="B36" s="37">
        <f>SUMIFS('Booking Data'!F35:F149,'Booking Data'!A35:A149,A36)</f>
        <v>45000</v>
      </c>
      <c r="C36" s="37" t="str">
        <f t="shared" si="1"/>
        <v>Budget Guests</v>
      </c>
      <c r="D36" s="37">
        <f t="shared" si="2"/>
        <v>15</v>
      </c>
    </row>
    <row r="37">
      <c r="A37" s="37" t="str">
        <f>IFERROR(__xludf.DUMMYFUNCTION("""COMPUTED_VALUE"""),"HTA-THL-0011")</f>
        <v>HTA-THL-0011</v>
      </c>
      <c r="B37" s="37">
        <f>SUMIFS('Booking Data'!F36:F150,'Booking Data'!A36:A150,A37)</f>
        <v>27500</v>
      </c>
      <c r="C37" s="37" t="str">
        <f t="shared" si="1"/>
        <v>Budget Guests</v>
      </c>
      <c r="D37" s="37">
        <f t="shared" si="2"/>
        <v>24</v>
      </c>
    </row>
    <row r="38">
      <c r="A38" s="37" t="str">
        <f>IFERROR(__xludf.DUMMYFUNCTION("""COMPUTED_VALUE"""),"HTA-THL-009")</f>
        <v>HTA-THL-009</v>
      </c>
      <c r="B38" s="37">
        <f>SUMIFS('Booking Data'!F37:F151,'Booking Data'!A37:A151,A38)</f>
        <v>15000</v>
      </c>
      <c r="C38" s="37" t="str">
        <f t="shared" si="1"/>
        <v>Budget Guests</v>
      </c>
      <c r="D38" s="37">
        <f t="shared" si="2"/>
        <v>28</v>
      </c>
    </row>
    <row r="39">
      <c r="A39" s="37" t="str">
        <f>IFERROR(__xludf.DUMMYFUNCTION("""COMPUTED_VALUE"""),"HTA-THL-0017")</f>
        <v>HTA-THL-0017</v>
      </c>
      <c r="B39" s="37">
        <f>SUMIFS('Booking Data'!F38:F152,'Booking Data'!A38:A152,A39)</f>
        <v>42500</v>
      </c>
      <c r="C39" s="37" t="str">
        <f t="shared" si="1"/>
        <v>Budget Guests</v>
      </c>
      <c r="D39" s="37">
        <f t="shared" si="2"/>
        <v>17</v>
      </c>
    </row>
    <row r="40">
      <c r="A40" s="37" t="str">
        <f>IFERROR(__xludf.DUMMYFUNCTION("""COMPUTED_VALUE"""),"HTA-THL-0028")</f>
        <v>HTA-THL-0028</v>
      </c>
      <c r="B40" s="37">
        <f>SUMIFS('Booking Data'!F39:F153,'Booking Data'!A39:A153,A40)</f>
        <v>15000</v>
      </c>
      <c r="C40" s="37" t="str">
        <f t="shared" si="1"/>
        <v>Budget Guests</v>
      </c>
      <c r="D40" s="37">
        <f t="shared" si="2"/>
        <v>28</v>
      </c>
    </row>
    <row r="41">
      <c r="A41" s="37" t="str">
        <f>IFERROR(__xludf.DUMMYFUNCTION("""COMPUTED_VALUE"""),"HTA-THL-0029")</f>
        <v>HTA-THL-0029</v>
      </c>
      <c r="B41" s="37">
        <f>SUMIFS('Booking Data'!F40:F154,'Booking Data'!A40:A154,A41)</f>
        <v>7500</v>
      </c>
      <c r="C41" s="37" t="str">
        <f t="shared" si="1"/>
        <v>Budget Guests</v>
      </c>
      <c r="D41" s="37">
        <f t="shared" si="2"/>
        <v>36</v>
      </c>
    </row>
    <row r="42">
      <c r="A42" s="37" t="str">
        <f>IFERROR(__xludf.DUMMYFUNCTION("""COMPUTED_VALUE"""),"HTA-THL-0019")</f>
        <v>HTA-THL-0019</v>
      </c>
      <c r="B42" s="37">
        <f>SUMIFS('Booking Data'!F41:F155,'Booking Data'!A41:A155,A42)</f>
        <v>52500</v>
      </c>
      <c r="C42" s="37" t="str">
        <f t="shared" si="1"/>
        <v>Top Players</v>
      </c>
      <c r="D42" s="37">
        <f t="shared" si="2"/>
        <v>12</v>
      </c>
    </row>
    <row r="43">
      <c r="A43" s="37" t="str">
        <f>IFERROR(__xludf.DUMMYFUNCTION("""COMPUTED_VALUE"""),"HTA-THL-00227")</f>
        <v>HTA-THL-00227</v>
      </c>
      <c r="B43" s="37">
        <f>SUMIFS('Booking Data'!F42:F156,'Booking Data'!A42:A156,A43)</f>
        <v>15000</v>
      </c>
      <c r="C43" s="37" t="str">
        <f t="shared" si="1"/>
        <v>Budget Guests</v>
      </c>
      <c r="D43" s="37">
        <f t="shared" si="2"/>
        <v>28</v>
      </c>
    </row>
  </sheetData>
  <mergeCells count="1">
    <mergeCell ref="A1:D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28.0"/>
    <col customWidth="1" min="4" max="4" width="42.25"/>
  </cols>
  <sheetData>
    <row r="1">
      <c r="A1" s="32" t="s">
        <v>191</v>
      </c>
    </row>
    <row r="16">
      <c r="A16" s="31" t="s">
        <v>184</v>
      </c>
      <c r="B16" s="31" t="s">
        <v>187</v>
      </c>
      <c r="C16" s="31" t="s">
        <v>188</v>
      </c>
      <c r="D16" s="31" t="s">
        <v>192</v>
      </c>
    </row>
    <row r="17">
      <c r="A17" s="33" t="str">
        <f>IFERROR(__xludf.DUMMYFUNCTION("UNIQUE('Spending Power'!C3:C43)"),"Top Players")</f>
        <v>Top Players</v>
      </c>
      <c r="B17" s="34">
        <f>COUNTIFS('Spending Power'!C3:C43,A17)</f>
        <v>12</v>
      </c>
      <c r="C17" s="34">
        <f>SUMIFS('Spending Power'!B3:B43,'Spending Power'!C3:C43,A17)</f>
        <v>950000</v>
      </c>
      <c r="D17" s="35">
        <f t="shared" ref="D17:D18" si="1">C17/B17</f>
        <v>79166.66667</v>
      </c>
    </row>
    <row r="18">
      <c r="A18" s="33" t="str">
        <f>IFERROR(__xludf.DUMMYFUNCTION("""COMPUTED_VALUE"""),"Budget Guests")</f>
        <v>Budget Guests</v>
      </c>
      <c r="B18" s="34">
        <f>COUNTIFS('Spending Power'!C4:C44,A18)</f>
        <v>29</v>
      </c>
      <c r="C18" s="34">
        <f>SUMIFS('Spending Power'!B4:B44,'Spending Power'!C4:C44,A18)</f>
        <v>692500</v>
      </c>
      <c r="D18" s="35">
        <f t="shared" si="1"/>
        <v>23879.31034</v>
      </c>
    </row>
  </sheetData>
  <mergeCells count="1">
    <mergeCell ref="A1:D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63"/>
    <col customWidth="1" min="2" max="2" width="17.63"/>
    <col customWidth="1" min="3" max="3" width="15.75"/>
    <col customWidth="1" min="4" max="4" width="19.25"/>
    <col customWidth="1" min="5" max="5" width="13.5"/>
    <col customWidth="1" min="6" max="6" width="22.25"/>
    <col customWidth="1" min="7" max="7" width="15.75"/>
  </cols>
  <sheetData>
    <row r="1">
      <c r="A1" s="23" t="s">
        <v>193</v>
      </c>
      <c r="B1" s="30"/>
      <c r="C1" s="30"/>
      <c r="D1" s="30"/>
      <c r="E1" s="30"/>
      <c r="F1" s="30"/>
      <c r="G1" s="24"/>
    </row>
    <row r="2">
      <c r="A2" s="31" t="s">
        <v>9</v>
      </c>
      <c r="B2" s="31" t="s">
        <v>183</v>
      </c>
      <c r="C2" s="31" t="s">
        <v>14</v>
      </c>
      <c r="D2" s="31" t="s">
        <v>194</v>
      </c>
      <c r="E2" s="31" t="s">
        <v>195</v>
      </c>
      <c r="F2" s="31" t="s">
        <v>196</v>
      </c>
      <c r="G2" s="31" t="s">
        <v>184</v>
      </c>
    </row>
    <row r="3">
      <c r="A3" s="26" t="str">
        <f>IFERROR(__xludf.DUMMYFUNCTION("UNIQUE('Booking Data'!A2:A116)"),"HTA-THL-0020")</f>
        <v>HTA-THL-0020</v>
      </c>
      <c r="B3" s="26">
        <f>VLOOKUP(A3,'Booking Frequency'!A2:E43,3,FALSE)</f>
        <v>4</v>
      </c>
      <c r="C3" s="26">
        <f>VLOOKUP(A3,'Booking Frequency'!A2:E43,2,FALSE)</f>
        <v>55000</v>
      </c>
      <c r="D3" s="38">
        <f>MAXIFS('Booking Data'!$E$2:$E$116,'Booking Data'!$A$2:$A$116,A3)</f>
        <v>45410</v>
      </c>
      <c r="E3" s="26">
        <f t="shared" ref="E3:E43" si="1">RANK(D3,$D$3:$D$43)</f>
        <v>37</v>
      </c>
      <c r="F3" s="26">
        <f t="shared" ref="F3:F43" si="2">DATE(2024,7,1)-D3</f>
        <v>64</v>
      </c>
      <c r="G3" s="26" t="str">
        <f t="shared" ref="G3:G43" si="3">IF(F3&lt;=15,"Active Guest","Inactive Guest")</f>
        <v>Inactive Guest</v>
      </c>
    </row>
    <row r="4">
      <c r="A4" s="26" t="str">
        <f>IFERROR(__xludf.DUMMYFUNCTION("""COMPUTED_VALUE"""),"HTA-THL-0015")</f>
        <v>HTA-THL-0015</v>
      </c>
      <c r="B4" s="26">
        <f>VLOOKUP(A4,'Booking Frequency'!A3:E44,3,FALSE)</f>
        <v>2</v>
      </c>
      <c r="C4" s="26">
        <f>VLOOKUP(A4,'Booking Frequency'!A3:E44,2,FALSE)</f>
        <v>35000</v>
      </c>
      <c r="D4" s="38">
        <f>MAXIFS('Booking Data'!$E$2:$E$116,'Booking Data'!$A$2:$A$116,A4)</f>
        <v>45462</v>
      </c>
      <c r="E4" s="26">
        <f t="shared" si="1"/>
        <v>15</v>
      </c>
      <c r="F4" s="26">
        <f t="shared" si="2"/>
        <v>12</v>
      </c>
      <c r="G4" s="26" t="str">
        <f t="shared" si="3"/>
        <v>Active Guest</v>
      </c>
    </row>
    <row r="5">
      <c r="A5" s="26" t="str">
        <f>IFERROR(__xludf.DUMMYFUNCTION("""COMPUTED_VALUE"""),"HTA-THL-005")</f>
        <v>HTA-THL-005</v>
      </c>
      <c r="B5" s="26">
        <f>VLOOKUP(A5,'Booking Frequency'!A4:E45,3,FALSE)</f>
        <v>7</v>
      </c>
      <c r="C5" s="26">
        <f>VLOOKUP(A5,'Booking Frequency'!A4:E45,2,FALSE)</f>
        <v>95000</v>
      </c>
      <c r="D5" s="38">
        <f>MAXIFS('Booking Data'!$E$2:$E$116,'Booking Data'!$A$2:$A$116,A5)</f>
        <v>45460</v>
      </c>
      <c r="E5" s="26">
        <f t="shared" si="1"/>
        <v>16</v>
      </c>
      <c r="F5" s="26">
        <f t="shared" si="2"/>
        <v>14</v>
      </c>
      <c r="G5" s="26" t="str">
        <f t="shared" si="3"/>
        <v>Active Guest</v>
      </c>
    </row>
    <row r="6">
      <c r="A6" s="26" t="str">
        <f>IFERROR(__xludf.DUMMYFUNCTION("""COMPUTED_VALUE"""),"HTA-THL-0027")</f>
        <v>HTA-THL-0027</v>
      </c>
      <c r="B6" s="26">
        <f>VLOOKUP(A6,'Booking Frequency'!A5:E46,3,FALSE)</f>
        <v>3</v>
      </c>
      <c r="C6" s="26">
        <f>VLOOKUP(A6,'Booking Frequency'!A5:E46,2,FALSE)</f>
        <v>40000</v>
      </c>
      <c r="D6" s="38">
        <f>MAXIFS('Booking Data'!$E$2:$E$116,'Booking Data'!$A$2:$A$116,A6)</f>
        <v>45426</v>
      </c>
      <c r="E6" s="26">
        <f t="shared" si="1"/>
        <v>27</v>
      </c>
      <c r="F6" s="26">
        <f t="shared" si="2"/>
        <v>48</v>
      </c>
      <c r="G6" s="26" t="str">
        <f t="shared" si="3"/>
        <v>Inactive Guest</v>
      </c>
    </row>
    <row r="7">
      <c r="A7" s="26" t="str">
        <f>IFERROR(__xludf.DUMMYFUNCTION("""COMPUTED_VALUE"""),"HTA-THL-0016")</f>
        <v>HTA-THL-0016</v>
      </c>
      <c r="B7" s="26">
        <f>VLOOKUP(A7,'Booking Frequency'!A6:E47,3,FALSE)</f>
        <v>2</v>
      </c>
      <c r="C7" s="26">
        <f>VLOOKUP(A7,'Booking Frequency'!A6:E47,2,FALSE)</f>
        <v>35000</v>
      </c>
      <c r="D7" s="38">
        <f>MAXIFS('Booking Data'!$E$2:$E$116,'Booking Data'!$A$2:$A$116,A7)</f>
        <v>45405</v>
      </c>
      <c r="E7" s="26">
        <f t="shared" si="1"/>
        <v>40</v>
      </c>
      <c r="F7" s="26">
        <f t="shared" si="2"/>
        <v>69</v>
      </c>
      <c r="G7" s="26" t="str">
        <f t="shared" si="3"/>
        <v>Inactive Guest</v>
      </c>
    </row>
    <row r="8">
      <c r="A8" s="26" t="str">
        <f>IFERROR(__xludf.DUMMYFUNCTION("""COMPUTED_VALUE"""),"HTA-THL-0021")</f>
        <v>HTA-THL-0021</v>
      </c>
      <c r="B8" s="26">
        <f>VLOOKUP(A8,'Booking Frequency'!A7:E48,3,FALSE)</f>
        <v>3</v>
      </c>
      <c r="C8" s="26">
        <f>VLOOKUP(A8,'Booking Frequency'!A7:E48,2,FALSE)</f>
        <v>45000</v>
      </c>
      <c r="D8" s="38">
        <f>MAXIFS('Booking Data'!$E$2:$E$116,'Booking Data'!$A$2:$A$116,A8)</f>
        <v>45453</v>
      </c>
      <c r="E8" s="26">
        <f t="shared" si="1"/>
        <v>22</v>
      </c>
      <c r="F8" s="26">
        <f t="shared" si="2"/>
        <v>21</v>
      </c>
      <c r="G8" s="26" t="str">
        <f t="shared" si="3"/>
        <v>Inactive Guest</v>
      </c>
    </row>
    <row r="9">
      <c r="A9" s="26" t="str">
        <f>IFERROR(__xludf.DUMMYFUNCTION("""COMPUTED_VALUE"""),"HTA-THL-0023")</f>
        <v>HTA-THL-0023</v>
      </c>
      <c r="B9" s="26">
        <f>VLOOKUP(A9,'Booking Frequency'!A8:E49,3,FALSE)</f>
        <v>4</v>
      </c>
      <c r="C9" s="26">
        <f>VLOOKUP(A9,'Booking Frequency'!A8:E49,2,FALSE)</f>
        <v>57500</v>
      </c>
      <c r="D9" s="38">
        <f>MAXIFS('Booking Data'!$E$2:$E$116,'Booking Data'!$A$2:$A$116,A9)</f>
        <v>45470</v>
      </c>
      <c r="E9" s="26">
        <f t="shared" si="1"/>
        <v>5</v>
      </c>
      <c r="F9" s="26">
        <f t="shared" si="2"/>
        <v>4</v>
      </c>
      <c r="G9" s="26" t="str">
        <f t="shared" si="3"/>
        <v>Active Guest</v>
      </c>
    </row>
    <row r="10">
      <c r="A10" s="26" t="str">
        <f>IFERROR(__xludf.DUMMYFUNCTION("""COMPUTED_VALUE"""),"HTA-THL-0013")</f>
        <v>HTA-THL-0013</v>
      </c>
      <c r="B10" s="26">
        <f>VLOOKUP(A10,'Booking Frequency'!A9:E50,3,FALSE)</f>
        <v>3</v>
      </c>
      <c r="C10" s="26">
        <f>VLOOKUP(A10,'Booking Frequency'!A9:E50,2,FALSE)</f>
        <v>47500</v>
      </c>
      <c r="D10" s="38">
        <f>MAXIFS('Booking Data'!$E$2:$E$116,'Booking Data'!$A$2:$A$116,A10)</f>
        <v>45463</v>
      </c>
      <c r="E10" s="26">
        <f t="shared" si="1"/>
        <v>14</v>
      </c>
      <c r="F10" s="26">
        <f t="shared" si="2"/>
        <v>11</v>
      </c>
      <c r="G10" s="26" t="str">
        <f t="shared" si="3"/>
        <v>Active Guest</v>
      </c>
    </row>
    <row r="11">
      <c r="A11" s="26" t="str">
        <f>IFERROR(__xludf.DUMMYFUNCTION("""COMPUTED_VALUE"""),"HTA-THL-0022")</f>
        <v>HTA-THL-0022</v>
      </c>
      <c r="B11" s="26">
        <f>VLOOKUP(A11,'Booking Frequency'!A10:E51,3,FALSE)</f>
        <v>6</v>
      </c>
      <c r="C11" s="26">
        <f>VLOOKUP(A11,'Booking Frequency'!A10:E51,2,FALSE)</f>
        <v>92500</v>
      </c>
      <c r="D11" s="38">
        <f>MAXIFS('Booking Data'!$E$2:$E$116,'Booking Data'!$A$2:$A$116,A11)</f>
        <v>45469</v>
      </c>
      <c r="E11" s="26">
        <f t="shared" si="1"/>
        <v>7</v>
      </c>
      <c r="F11" s="26">
        <f t="shared" si="2"/>
        <v>5</v>
      </c>
      <c r="G11" s="26" t="str">
        <f t="shared" si="3"/>
        <v>Active Guest</v>
      </c>
    </row>
    <row r="12">
      <c r="A12" s="26" t="str">
        <f>IFERROR(__xludf.DUMMYFUNCTION("""COMPUTED_VALUE"""),"HTA-THL-0025")</f>
        <v>HTA-THL-0025</v>
      </c>
      <c r="B12" s="26">
        <f>VLOOKUP(A12,'Booking Frequency'!A11:E52,3,FALSE)</f>
        <v>4</v>
      </c>
      <c r="C12" s="26">
        <f>VLOOKUP(A12,'Booking Frequency'!A11:E52,2,FALSE)</f>
        <v>70000</v>
      </c>
      <c r="D12" s="38">
        <f>MAXIFS('Booking Data'!$E$2:$E$116,'Booking Data'!$A$2:$A$116,A12)</f>
        <v>45423</v>
      </c>
      <c r="E12" s="26">
        <f t="shared" si="1"/>
        <v>29</v>
      </c>
      <c r="F12" s="26">
        <f t="shared" si="2"/>
        <v>51</v>
      </c>
      <c r="G12" s="26" t="str">
        <f t="shared" si="3"/>
        <v>Inactive Guest</v>
      </c>
    </row>
    <row r="13">
      <c r="A13" s="26" t="str">
        <f>IFERROR(__xludf.DUMMYFUNCTION("""COMPUTED_VALUE"""),"HTA-THL-006")</f>
        <v>HTA-THL-006</v>
      </c>
      <c r="B13" s="26">
        <f>VLOOKUP(A13,'Booking Frequency'!A12:E53,3,FALSE)</f>
        <v>6</v>
      </c>
      <c r="C13" s="26">
        <f>VLOOKUP(A13,'Booking Frequency'!A12:E53,2,FALSE)</f>
        <v>90000</v>
      </c>
      <c r="D13" s="38">
        <f>MAXIFS('Booking Data'!$E$2:$E$116,'Booking Data'!$A$2:$A$116,A13)</f>
        <v>45464</v>
      </c>
      <c r="E13" s="26">
        <f t="shared" si="1"/>
        <v>12</v>
      </c>
      <c r="F13" s="26">
        <f t="shared" si="2"/>
        <v>10</v>
      </c>
      <c r="G13" s="26" t="str">
        <f t="shared" si="3"/>
        <v>Active Guest</v>
      </c>
    </row>
    <row r="14">
      <c r="A14" s="26" t="str">
        <f>IFERROR(__xludf.DUMMYFUNCTION("""COMPUTED_VALUE"""),"HTA-THL-004")</f>
        <v>HTA-THL-004</v>
      </c>
      <c r="B14" s="26">
        <f>VLOOKUP(A14,'Booking Frequency'!A13:E54,3,FALSE)</f>
        <v>6</v>
      </c>
      <c r="C14" s="26">
        <f>VLOOKUP(A14,'Booking Frequency'!A13:E54,2,FALSE)</f>
        <v>92500</v>
      </c>
      <c r="D14" s="38">
        <f>MAXIFS('Booking Data'!$E$2:$E$116,'Booking Data'!$A$2:$A$116,A14)</f>
        <v>45454</v>
      </c>
      <c r="E14" s="26">
        <f t="shared" si="1"/>
        <v>21</v>
      </c>
      <c r="F14" s="26">
        <f t="shared" si="2"/>
        <v>20</v>
      </c>
      <c r="G14" s="26" t="str">
        <f t="shared" si="3"/>
        <v>Inactive Guest</v>
      </c>
    </row>
    <row r="15">
      <c r="A15" s="26" t="str">
        <f>IFERROR(__xludf.DUMMYFUNCTION("""COMPUTED_VALUE"""),"HTA-THL-002")</f>
        <v>HTA-THL-002</v>
      </c>
      <c r="B15" s="26">
        <f>VLOOKUP(A15,'Booking Frequency'!A14:E55,3,FALSE)</f>
        <v>8</v>
      </c>
      <c r="C15" s="26">
        <f>VLOOKUP(A15,'Booking Frequency'!A14:E55,2,FALSE)</f>
        <v>127500</v>
      </c>
      <c r="D15" s="38">
        <f>MAXIFS('Booking Data'!$E$2:$E$116,'Booking Data'!$A$2:$A$116,A15)</f>
        <v>45466</v>
      </c>
      <c r="E15" s="26">
        <f t="shared" si="1"/>
        <v>10</v>
      </c>
      <c r="F15" s="26">
        <f t="shared" si="2"/>
        <v>8</v>
      </c>
      <c r="G15" s="26" t="str">
        <f t="shared" si="3"/>
        <v>Active Guest</v>
      </c>
    </row>
    <row r="16">
      <c r="A16" s="26" t="str">
        <f>IFERROR(__xludf.DUMMYFUNCTION("""COMPUTED_VALUE"""),"HTA-THL-007")</f>
        <v>HTA-THL-007</v>
      </c>
      <c r="B16" s="26">
        <f>VLOOKUP(A16,'Booking Frequency'!A15:E56,3,FALSE)</f>
        <v>2</v>
      </c>
      <c r="C16" s="26">
        <f>VLOOKUP(A16,'Booking Frequency'!A15:E56,2,FALSE)</f>
        <v>22500</v>
      </c>
      <c r="D16" s="38">
        <f>MAXIFS('Booking Data'!$E$2:$E$116,'Booking Data'!$A$2:$A$116,A16)</f>
        <v>45449</v>
      </c>
      <c r="E16" s="26">
        <f t="shared" si="1"/>
        <v>23</v>
      </c>
      <c r="F16" s="26">
        <f t="shared" si="2"/>
        <v>25</v>
      </c>
      <c r="G16" s="26" t="str">
        <f t="shared" si="3"/>
        <v>Inactive Guest</v>
      </c>
    </row>
    <row r="17">
      <c r="A17" s="26" t="str">
        <f>IFERROR(__xludf.DUMMYFUNCTION("""COMPUTED_VALUE"""),"HTA-THL-001")</f>
        <v>HTA-THL-001</v>
      </c>
      <c r="B17" s="26">
        <f>VLOOKUP(A17,'Booking Frequency'!A16:E57,3,FALSE)</f>
        <v>6</v>
      </c>
      <c r="C17" s="26">
        <f>VLOOKUP(A17,'Booking Frequency'!A16:E57,2,FALSE)</f>
        <v>100000</v>
      </c>
      <c r="D17" s="38">
        <f>MAXIFS('Booking Data'!$E$2:$E$116,'Booking Data'!$A$2:$A$116,A17)</f>
        <v>45470</v>
      </c>
      <c r="E17" s="26">
        <f t="shared" si="1"/>
        <v>5</v>
      </c>
      <c r="F17" s="26">
        <f t="shared" si="2"/>
        <v>4</v>
      </c>
      <c r="G17" s="26" t="str">
        <f t="shared" si="3"/>
        <v>Active Guest</v>
      </c>
    </row>
    <row r="18">
      <c r="A18" s="26" t="str">
        <f>IFERROR(__xludf.DUMMYFUNCTION("""COMPUTED_VALUE"""),"HTA-THL-0034")</f>
        <v>HTA-THL-0034</v>
      </c>
      <c r="B18" s="26">
        <f>VLOOKUP(A18,'Booking Frequency'!A17:E58,3,FALSE)</f>
        <v>1</v>
      </c>
      <c r="C18" s="26">
        <f>VLOOKUP(A18,'Booking Frequency'!A17:E58,2,FALSE)</f>
        <v>7500</v>
      </c>
      <c r="D18" s="38">
        <f>MAXIFS('Booking Data'!$E$2:$E$116,'Booking Data'!$A$2:$A$116,A18)</f>
        <v>45399</v>
      </c>
      <c r="E18" s="26">
        <f t="shared" si="1"/>
        <v>41</v>
      </c>
      <c r="F18" s="26">
        <f t="shared" si="2"/>
        <v>75</v>
      </c>
      <c r="G18" s="26" t="str">
        <f t="shared" si="3"/>
        <v>Inactive Guest</v>
      </c>
    </row>
    <row r="19">
      <c r="A19" s="26" t="str">
        <f>IFERROR(__xludf.DUMMYFUNCTION("""COMPUTED_VALUE"""),"HTA-THL-0030")</f>
        <v>HTA-THL-0030</v>
      </c>
      <c r="B19" s="26">
        <f>VLOOKUP(A19,'Booking Frequency'!A18:E59,3,FALSE)</f>
        <v>2</v>
      </c>
      <c r="C19" s="26">
        <f>VLOOKUP(A19,'Booking Frequency'!A18:E59,2,FALSE)</f>
        <v>22500</v>
      </c>
      <c r="D19" s="38">
        <f>MAXIFS('Booking Data'!$E$2:$E$116,'Booking Data'!$A$2:$A$116,A19)</f>
        <v>45424</v>
      </c>
      <c r="E19" s="26">
        <f t="shared" si="1"/>
        <v>28</v>
      </c>
      <c r="F19" s="26">
        <f t="shared" si="2"/>
        <v>50</v>
      </c>
      <c r="G19" s="26" t="str">
        <f t="shared" si="3"/>
        <v>Inactive Guest</v>
      </c>
    </row>
    <row r="20">
      <c r="A20" s="26" t="str">
        <f>IFERROR(__xludf.DUMMYFUNCTION("""COMPUTED_VALUE"""),"HTA-THL-0012")</f>
        <v>HTA-THL-0012</v>
      </c>
      <c r="B20" s="26">
        <f>VLOOKUP(A20,'Booking Frequency'!A19:E60,3,FALSE)</f>
        <v>2</v>
      </c>
      <c r="C20" s="26">
        <f>VLOOKUP(A20,'Booking Frequency'!A19:E60,2,FALSE)</f>
        <v>35000</v>
      </c>
      <c r="D20" s="38">
        <f>MAXIFS('Booking Data'!$E$2:$E$116,'Booking Data'!$A$2:$A$116,A20)</f>
        <v>45420</v>
      </c>
      <c r="E20" s="26">
        <f t="shared" si="1"/>
        <v>30</v>
      </c>
      <c r="F20" s="26">
        <f t="shared" si="2"/>
        <v>54</v>
      </c>
      <c r="G20" s="26" t="str">
        <f t="shared" si="3"/>
        <v>Inactive Guest</v>
      </c>
    </row>
    <row r="21">
      <c r="A21" s="26" t="str">
        <f>IFERROR(__xludf.DUMMYFUNCTION("""COMPUTED_VALUE"""),"HTA-THL-0031")</f>
        <v>HTA-THL-0031</v>
      </c>
      <c r="B21" s="26">
        <f>VLOOKUP(A21,'Booking Frequency'!A20:E61,3,FALSE)</f>
        <v>1</v>
      </c>
      <c r="C21" s="26">
        <f>VLOOKUP(A21,'Booking Frequency'!A20:E61,2,FALSE)</f>
        <v>17500</v>
      </c>
      <c r="D21" s="38">
        <f>MAXIFS('Booking Data'!$E$2:$E$116,'Booking Data'!$A$2:$A$116,A21)</f>
        <v>45406</v>
      </c>
      <c r="E21" s="26">
        <f t="shared" si="1"/>
        <v>39</v>
      </c>
      <c r="F21" s="26">
        <f t="shared" si="2"/>
        <v>68</v>
      </c>
      <c r="G21" s="26" t="str">
        <f t="shared" si="3"/>
        <v>Inactive Guest</v>
      </c>
    </row>
    <row r="22">
      <c r="A22" s="26" t="str">
        <f>IFERROR(__xludf.DUMMYFUNCTION("""COMPUTED_VALUE"""),"HTA-THL-0040")</f>
        <v>HTA-THL-0040</v>
      </c>
      <c r="B22" s="26">
        <f>VLOOKUP(A22,'Booking Frequency'!A21:E62,3,FALSE)</f>
        <v>2</v>
      </c>
      <c r="C22" s="26">
        <f>VLOOKUP(A22,'Booking Frequency'!A21:E62,2,FALSE)</f>
        <v>15000</v>
      </c>
      <c r="D22" s="38">
        <f>MAXIFS('Booking Data'!$E$2:$E$116,'Booking Data'!$A$2:$A$116,A22)</f>
        <v>45412</v>
      </c>
      <c r="E22" s="26">
        <f t="shared" si="1"/>
        <v>34</v>
      </c>
      <c r="F22" s="26">
        <f t="shared" si="2"/>
        <v>62</v>
      </c>
      <c r="G22" s="26" t="str">
        <f t="shared" si="3"/>
        <v>Inactive Guest</v>
      </c>
    </row>
    <row r="23">
      <c r="A23" s="26" t="str">
        <f>IFERROR(__xludf.DUMMYFUNCTION("""COMPUTED_VALUE"""),"HTA-THL-0010")</f>
        <v>HTA-THL-0010</v>
      </c>
      <c r="B23" s="26">
        <f>VLOOKUP(A23,'Booking Frequency'!A22:E63,3,FALSE)</f>
        <v>2</v>
      </c>
      <c r="C23" s="26">
        <f>VLOOKUP(A23,'Booking Frequency'!A22:E63,2,FALSE)</f>
        <v>32500</v>
      </c>
      <c r="D23" s="38">
        <f>MAXIFS('Booking Data'!$E$2:$E$116,'Booking Data'!$A$2:$A$116,A23)</f>
        <v>45457</v>
      </c>
      <c r="E23" s="26">
        <f t="shared" si="1"/>
        <v>17</v>
      </c>
      <c r="F23" s="26">
        <f t="shared" si="2"/>
        <v>17</v>
      </c>
      <c r="G23" s="26" t="str">
        <f t="shared" si="3"/>
        <v>Inactive Guest</v>
      </c>
    </row>
    <row r="24">
      <c r="A24" s="26" t="str">
        <f>IFERROR(__xludf.DUMMYFUNCTION("""COMPUTED_VALUE"""),"HTA-THL-0032")</f>
        <v>HTA-THL-0032</v>
      </c>
      <c r="B24" s="26">
        <f>VLOOKUP(A24,'Booking Frequency'!A23:E64,3,FALSE)</f>
        <v>1</v>
      </c>
      <c r="C24" s="26">
        <f>VLOOKUP(A24,'Booking Frequency'!A23:E64,2,FALSE)</f>
        <v>15000</v>
      </c>
      <c r="D24" s="38">
        <f>MAXIFS('Booking Data'!$E$2:$E$116,'Booking Data'!$A$2:$A$116,A24)</f>
        <v>45408</v>
      </c>
      <c r="E24" s="26">
        <f t="shared" si="1"/>
        <v>38</v>
      </c>
      <c r="F24" s="26">
        <f t="shared" si="2"/>
        <v>66</v>
      </c>
      <c r="G24" s="26" t="str">
        <f t="shared" si="3"/>
        <v>Inactive Guest</v>
      </c>
    </row>
    <row r="25">
      <c r="A25" s="26" t="str">
        <f>IFERROR(__xludf.DUMMYFUNCTION("""COMPUTED_VALUE"""),"HTA-THL-0018")</f>
        <v>HTA-THL-0018</v>
      </c>
      <c r="B25" s="26">
        <f>VLOOKUP(A25,'Booking Frequency'!A24:E65,3,FALSE)</f>
        <v>3</v>
      </c>
      <c r="C25" s="26">
        <f>VLOOKUP(A25,'Booking Frequency'!A24:E65,2,FALSE)</f>
        <v>55000</v>
      </c>
      <c r="D25" s="38">
        <f>MAXIFS('Booking Data'!$E$2:$E$116,'Booking Data'!$A$2:$A$116,A25)</f>
        <v>45473</v>
      </c>
      <c r="E25" s="26">
        <f t="shared" si="1"/>
        <v>1</v>
      </c>
      <c r="F25" s="26">
        <f t="shared" si="2"/>
        <v>1</v>
      </c>
      <c r="G25" s="26" t="str">
        <f t="shared" si="3"/>
        <v>Active Guest</v>
      </c>
    </row>
    <row r="26">
      <c r="A26" s="26" t="str">
        <f>IFERROR(__xludf.DUMMYFUNCTION("""COMPUTED_VALUE"""),"HTA-THL-0037")</f>
        <v>HTA-THL-0037</v>
      </c>
      <c r="B26" s="26">
        <f>VLOOKUP(A26,'Booking Frequency'!A25:E66,3,FALSE)</f>
        <v>1</v>
      </c>
      <c r="C26" s="26">
        <f>VLOOKUP(A26,'Booking Frequency'!A25:E66,2,FALSE)</f>
        <v>7500</v>
      </c>
      <c r="D26" s="38">
        <f>MAXIFS('Booking Data'!$E$2:$E$116,'Booking Data'!$A$2:$A$116,A26)</f>
        <v>45411</v>
      </c>
      <c r="E26" s="26">
        <f t="shared" si="1"/>
        <v>36</v>
      </c>
      <c r="F26" s="26">
        <f t="shared" si="2"/>
        <v>63</v>
      </c>
      <c r="G26" s="26" t="str">
        <f t="shared" si="3"/>
        <v>Inactive Guest</v>
      </c>
    </row>
    <row r="27">
      <c r="A27" s="26" t="str">
        <f>IFERROR(__xludf.DUMMYFUNCTION("""COMPUTED_VALUE"""),"HTA-THL-0045")</f>
        <v>HTA-THL-0045</v>
      </c>
      <c r="B27" s="26">
        <f>VLOOKUP(A27,'Booking Frequency'!A26:E67,3,FALSE)</f>
        <v>1</v>
      </c>
      <c r="C27" s="26">
        <f>VLOOKUP(A27,'Booking Frequency'!A26:E67,2,FALSE)</f>
        <v>7500</v>
      </c>
      <c r="D27" s="38">
        <f>MAXIFS('Booking Data'!$E$2:$E$116,'Booking Data'!$A$2:$A$116,A27)</f>
        <v>45412</v>
      </c>
      <c r="E27" s="26">
        <f t="shared" si="1"/>
        <v>34</v>
      </c>
      <c r="F27" s="26">
        <f t="shared" si="2"/>
        <v>62</v>
      </c>
      <c r="G27" s="26" t="str">
        <f t="shared" si="3"/>
        <v>Inactive Guest</v>
      </c>
    </row>
    <row r="28">
      <c r="A28" s="26" t="str">
        <f>IFERROR(__xludf.DUMMYFUNCTION("""COMPUTED_VALUE"""),"HTA-THL-0060")</f>
        <v>HTA-THL-0060</v>
      </c>
      <c r="B28" s="26">
        <f>VLOOKUP(A28,'Booking Frequency'!A27:E68,3,FALSE)</f>
        <v>1</v>
      </c>
      <c r="C28" s="26">
        <f>VLOOKUP(A28,'Booking Frequency'!A27:E68,2,FALSE)</f>
        <v>7500</v>
      </c>
      <c r="D28" s="38">
        <f>MAXIFS('Booking Data'!$E$2:$E$116,'Booking Data'!$A$2:$A$116,A28)</f>
        <v>45413</v>
      </c>
      <c r="E28" s="26">
        <f t="shared" si="1"/>
        <v>31</v>
      </c>
      <c r="F28" s="26">
        <f t="shared" si="2"/>
        <v>61</v>
      </c>
      <c r="G28" s="26" t="str">
        <f t="shared" si="3"/>
        <v>Inactive Guest</v>
      </c>
    </row>
    <row r="29">
      <c r="A29" s="26" t="str">
        <f>IFERROR(__xludf.DUMMYFUNCTION("""COMPUTED_VALUE"""),"HTA-THL-0061")</f>
        <v>HTA-THL-0061</v>
      </c>
      <c r="B29" s="26">
        <f>VLOOKUP(A29,'Booking Frequency'!A28:E69,3,FALSE)</f>
        <v>1</v>
      </c>
      <c r="C29" s="26">
        <f>VLOOKUP(A29,'Booking Frequency'!A28:E69,2,FALSE)</f>
        <v>10000</v>
      </c>
      <c r="D29" s="38">
        <f>MAXIFS('Booking Data'!$E$2:$E$116,'Booking Data'!$A$2:$A$116,A29)</f>
        <v>45413</v>
      </c>
      <c r="E29" s="26">
        <f t="shared" si="1"/>
        <v>31</v>
      </c>
      <c r="F29" s="26">
        <f t="shared" si="2"/>
        <v>61</v>
      </c>
      <c r="G29" s="26" t="str">
        <f t="shared" si="3"/>
        <v>Inactive Guest</v>
      </c>
    </row>
    <row r="30">
      <c r="A30" s="26" t="str">
        <f>IFERROR(__xludf.DUMMYFUNCTION("""COMPUTED_VALUE"""),"HTA-THL-0062")</f>
        <v>HTA-THL-0062</v>
      </c>
      <c r="B30" s="26">
        <f>VLOOKUP(A30,'Booking Frequency'!A29:E70,3,FALSE)</f>
        <v>1</v>
      </c>
      <c r="C30" s="26">
        <f>VLOOKUP(A30,'Booking Frequency'!A29:E70,2,FALSE)</f>
        <v>7500</v>
      </c>
      <c r="D30" s="38">
        <f>MAXIFS('Booking Data'!$E$2:$E$116,'Booking Data'!$A$2:$A$116,A30)</f>
        <v>45413</v>
      </c>
      <c r="E30" s="26">
        <f t="shared" si="1"/>
        <v>31</v>
      </c>
      <c r="F30" s="26">
        <f t="shared" si="2"/>
        <v>61</v>
      </c>
      <c r="G30" s="26" t="str">
        <f t="shared" si="3"/>
        <v>Inactive Guest</v>
      </c>
    </row>
    <row r="31">
      <c r="A31" s="26" t="str">
        <f>IFERROR(__xludf.DUMMYFUNCTION("""COMPUTED_VALUE"""),"HTA-THL-0026")</f>
        <v>HTA-THL-0026</v>
      </c>
      <c r="B31" s="26">
        <f>VLOOKUP(A31,'Booking Frequency'!A30:E71,3,FALSE)</f>
        <v>4</v>
      </c>
      <c r="C31" s="26">
        <f>VLOOKUP(A31,'Booking Frequency'!A30:E71,2,FALSE)</f>
        <v>47500</v>
      </c>
      <c r="D31" s="38">
        <f>MAXIFS('Booking Data'!$E$2:$E$116,'Booking Data'!$A$2:$A$116,A31)</f>
        <v>45437</v>
      </c>
      <c r="E31" s="26">
        <f t="shared" si="1"/>
        <v>24</v>
      </c>
      <c r="F31" s="26">
        <f t="shared" si="2"/>
        <v>37</v>
      </c>
      <c r="G31" s="26" t="str">
        <f t="shared" si="3"/>
        <v>Inactive Guest</v>
      </c>
    </row>
    <row r="32">
      <c r="A32" s="26" t="str">
        <f>IFERROR(__xludf.DUMMYFUNCTION("""COMPUTED_VALUE"""),"HTA-THL-003")</f>
        <v>HTA-THL-003</v>
      </c>
      <c r="B32" s="26">
        <f>VLOOKUP(A32,'Booking Frequency'!A31:E72,3,FALSE)</f>
        <v>4</v>
      </c>
      <c r="C32" s="26">
        <f>VLOOKUP(A32,'Booking Frequency'!A31:E72,2,FALSE)</f>
        <v>62500</v>
      </c>
      <c r="D32" s="38">
        <f>MAXIFS('Booking Data'!$E$2:$E$116,'Booking Data'!$A$2:$A$116,A32)</f>
        <v>45468</v>
      </c>
      <c r="E32" s="26">
        <f t="shared" si="1"/>
        <v>8</v>
      </c>
      <c r="F32" s="26">
        <f t="shared" si="2"/>
        <v>6</v>
      </c>
      <c r="G32" s="26" t="str">
        <f t="shared" si="3"/>
        <v>Active Guest</v>
      </c>
    </row>
    <row r="33">
      <c r="A33" s="26" t="str">
        <f>IFERROR(__xludf.DUMMYFUNCTION("""COMPUTED_VALUE"""),"HTA-THL-0014")</f>
        <v>HTA-THL-0014</v>
      </c>
      <c r="B33" s="26">
        <f>VLOOKUP(A33,'Booking Frequency'!A32:E73,3,FALSE)</f>
        <v>3</v>
      </c>
      <c r="C33" s="26">
        <f>VLOOKUP(A33,'Booking Frequency'!A32:E73,2,FALSE)</f>
        <v>37500</v>
      </c>
      <c r="D33" s="38">
        <f>MAXIFS('Booking Data'!$E$2:$E$116,'Booking Data'!$A$2:$A$116,A33)</f>
        <v>45457</v>
      </c>
      <c r="E33" s="26">
        <f t="shared" si="1"/>
        <v>17</v>
      </c>
      <c r="F33" s="26">
        <f t="shared" si="2"/>
        <v>17</v>
      </c>
      <c r="G33" s="26" t="str">
        <f t="shared" si="3"/>
        <v>Inactive Guest</v>
      </c>
    </row>
    <row r="34">
      <c r="A34" s="26" t="str">
        <f>IFERROR(__xludf.DUMMYFUNCTION("""COMPUTED_VALUE"""),"HTA-THL-008")</f>
        <v>HTA-THL-008</v>
      </c>
      <c r="B34" s="26">
        <f>VLOOKUP(A34,'Booking Frequency'!A33:E74,3,FALSE)</f>
        <v>2</v>
      </c>
      <c r="C34" s="26">
        <f>VLOOKUP(A34,'Booking Frequency'!A33:E74,2,FALSE)</f>
        <v>15000</v>
      </c>
      <c r="D34" s="38">
        <f>MAXIFS('Booking Data'!$E$2:$E$116,'Booking Data'!$A$2:$A$116,A34)</f>
        <v>45434</v>
      </c>
      <c r="E34" s="26">
        <f t="shared" si="1"/>
        <v>25</v>
      </c>
      <c r="F34" s="26">
        <f t="shared" si="2"/>
        <v>40</v>
      </c>
      <c r="G34" s="26" t="str">
        <f t="shared" si="3"/>
        <v>Inactive Guest</v>
      </c>
    </row>
    <row r="35">
      <c r="A35" s="26" t="str">
        <f>IFERROR(__xludf.DUMMYFUNCTION("""COMPUTED_VALUE"""),"HTA-THL-0033")</f>
        <v>HTA-THL-0033</v>
      </c>
      <c r="B35" s="26">
        <f>VLOOKUP(A35,'Booking Frequency'!A34:E75,3,FALSE)</f>
        <v>1</v>
      </c>
      <c r="C35" s="26">
        <f>VLOOKUP(A35,'Booking Frequency'!A34:E75,2,FALSE)</f>
        <v>15000</v>
      </c>
      <c r="D35" s="38">
        <f>MAXIFS('Booking Data'!$E$2:$E$116,'Booking Data'!$A$2:$A$116,A35)</f>
        <v>45429</v>
      </c>
      <c r="E35" s="26">
        <f t="shared" si="1"/>
        <v>26</v>
      </c>
      <c r="F35" s="26">
        <f t="shared" si="2"/>
        <v>45</v>
      </c>
      <c r="G35" s="26" t="str">
        <f t="shared" si="3"/>
        <v>Inactive Guest</v>
      </c>
    </row>
    <row r="36">
      <c r="A36" s="26" t="str">
        <f>IFERROR(__xludf.DUMMYFUNCTION("""COMPUTED_VALUE"""),"HTA-THL-0024")</f>
        <v>HTA-THL-0024</v>
      </c>
      <c r="B36" s="26">
        <f>VLOOKUP(A36,'Booking Frequency'!A35:E76,3,FALSE)</f>
        <v>3</v>
      </c>
      <c r="C36" s="26">
        <f>VLOOKUP(A36,'Booking Frequency'!A35:E76,2,FALSE)</f>
        <v>45000</v>
      </c>
      <c r="D36" s="38">
        <f>MAXIFS('Booking Data'!$E$2:$E$116,'Booking Data'!$A$2:$A$116,A36)</f>
        <v>45473</v>
      </c>
      <c r="E36" s="26">
        <f t="shared" si="1"/>
        <v>1</v>
      </c>
      <c r="F36" s="26">
        <f t="shared" si="2"/>
        <v>1</v>
      </c>
      <c r="G36" s="26" t="str">
        <f t="shared" si="3"/>
        <v>Active Guest</v>
      </c>
    </row>
    <row r="37">
      <c r="A37" s="26" t="str">
        <f>IFERROR(__xludf.DUMMYFUNCTION("""COMPUTED_VALUE"""),"HTA-THL-0011")</f>
        <v>HTA-THL-0011</v>
      </c>
      <c r="B37" s="26">
        <f>VLOOKUP(A37,'Booking Frequency'!A36:E77,3,FALSE)</f>
        <v>2</v>
      </c>
      <c r="C37" s="26">
        <f>VLOOKUP(A37,'Booking Frequency'!A36:E77,2,FALSE)</f>
        <v>27500</v>
      </c>
      <c r="D37" s="38">
        <f>MAXIFS('Booking Data'!$E$2:$E$116,'Booking Data'!$A$2:$A$116,A37)</f>
        <v>45466</v>
      </c>
      <c r="E37" s="26">
        <f t="shared" si="1"/>
        <v>10</v>
      </c>
      <c r="F37" s="26">
        <f t="shared" si="2"/>
        <v>8</v>
      </c>
      <c r="G37" s="26" t="str">
        <f t="shared" si="3"/>
        <v>Active Guest</v>
      </c>
    </row>
    <row r="38">
      <c r="A38" s="26" t="str">
        <f>IFERROR(__xludf.DUMMYFUNCTION("""COMPUTED_VALUE"""),"HTA-THL-009")</f>
        <v>HTA-THL-009</v>
      </c>
      <c r="B38" s="26">
        <f>VLOOKUP(A38,'Booking Frequency'!A37:E78,3,FALSE)</f>
        <v>2</v>
      </c>
      <c r="C38" s="26">
        <f>VLOOKUP(A38,'Booking Frequency'!A37:E78,2,FALSE)</f>
        <v>15000</v>
      </c>
      <c r="D38" s="38">
        <f>MAXIFS('Booking Data'!$E$2:$E$116,'Booking Data'!$A$2:$A$116,A38)</f>
        <v>45471</v>
      </c>
      <c r="E38" s="26">
        <f t="shared" si="1"/>
        <v>3</v>
      </c>
      <c r="F38" s="26">
        <f t="shared" si="2"/>
        <v>3</v>
      </c>
      <c r="G38" s="26" t="str">
        <f t="shared" si="3"/>
        <v>Active Guest</v>
      </c>
    </row>
    <row r="39">
      <c r="A39" s="26" t="str">
        <f>IFERROR(__xludf.DUMMYFUNCTION("""COMPUTED_VALUE"""),"HTA-THL-0017")</f>
        <v>HTA-THL-0017</v>
      </c>
      <c r="B39" s="26">
        <f>VLOOKUP(A39,'Booking Frequency'!A38:E79,3,FALSE)</f>
        <v>3</v>
      </c>
      <c r="C39" s="26">
        <f>VLOOKUP(A39,'Booking Frequency'!A38:E79,2,FALSE)</f>
        <v>42500</v>
      </c>
      <c r="D39" s="38">
        <f>MAXIFS('Booking Data'!$E$2:$E$116,'Booking Data'!$A$2:$A$116,A39)</f>
        <v>45471</v>
      </c>
      <c r="E39" s="26">
        <f t="shared" si="1"/>
        <v>3</v>
      </c>
      <c r="F39" s="26">
        <f t="shared" si="2"/>
        <v>3</v>
      </c>
      <c r="G39" s="26" t="str">
        <f t="shared" si="3"/>
        <v>Active Guest</v>
      </c>
    </row>
    <row r="40">
      <c r="A40" s="26" t="str">
        <f>IFERROR(__xludf.DUMMYFUNCTION("""COMPUTED_VALUE"""),"HTA-THL-0028")</f>
        <v>HTA-THL-0028</v>
      </c>
      <c r="B40" s="26">
        <f>VLOOKUP(A40,'Booking Frequency'!A39:E80,3,FALSE)</f>
        <v>1</v>
      </c>
      <c r="C40" s="26">
        <f>VLOOKUP(A40,'Booking Frequency'!A39:E80,2,FALSE)</f>
        <v>15000</v>
      </c>
      <c r="D40" s="38">
        <f>MAXIFS('Booking Data'!$E$2:$E$116,'Booking Data'!$A$2:$A$116,A40)</f>
        <v>45455</v>
      </c>
      <c r="E40" s="26">
        <f t="shared" si="1"/>
        <v>20</v>
      </c>
      <c r="F40" s="26">
        <f t="shared" si="2"/>
        <v>19</v>
      </c>
      <c r="G40" s="26" t="str">
        <f t="shared" si="3"/>
        <v>Inactive Guest</v>
      </c>
    </row>
    <row r="41">
      <c r="A41" s="26" t="str">
        <f>IFERROR(__xludf.DUMMYFUNCTION("""COMPUTED_VALUE"""),"HTA-THL-0029")</f>
        <v>HTA-THL-0029</v>
      </c>
      <c r="B41" s="26">
        <f>VLOOKUP(A41,'Booking Frequency'!A40:E81,3,FALSE)</f>
        <v>1</v>
      </c>
      <c r="C41" s="26">
        <f>VLOOKUP(A41,'Booking Frequency'!A40:E81,2,FALSE)</f>
        <v>7500</v>
      </c>
      <c r="D41" s="38">
        <f>MAXIFS('Booking Data'!$E$2:$E$116,'Booking Data'!$A$2:$A$116,A41)</f>
        <v>45456</v>
      </c>
      <c r="E41" s="26">
        <f t="shared" si="1"/>
        <v>19</v>
      </c>
      <c r="F41" s="26">
        <f t="shared" si="2"/>
        <v>18</v>
      </c>
      <c r="G41" s="26" t="str">
        <f t="shared" si="3"/>
        <v>Inactive Guest</v>
      </c>
    </row>
    <row r="42">
      <c r="A42" s="26" t="str">
        <f>IFERROR(__xludf.DUMMYFUNCTION("""COMPUTED_VALUE"""),"HTA-THL-0019")</f>
        <v>HTA-THL-0019</v>
      </c>
      <c r="B42" s="26">
        <f>VLOOKUP(A42,'Booking Frequency'!A41:E82,3,FALSE)</f>
        <v>3</v>
      </c>
      <c r="C42" s="26">
        <f>VLOOKUP(A42,'Booking Frequency'!A41:E82,2,FALSE)</f>
        <v>52500</v>
      </c>
      <c r="D42" s="38">
        <f>MAXIFS('Booking Data'!$E$2:$E$116,'Booking Data'!$A$2:$A$116,A42)</f>
        <v>45468</v>
      </c>
      <c r="E42" s="26">
        <f t="shared" si="1"/>
        <v>8</v>
      </c>
      <c r="F42" s="26">
        <f t="shared" si="2"/>
        <v>6</v>
      </c>
      <c r="G42" s="26" t="str">
        <f t="shared" si="3"/>
        <v>Active Guest</v>
      </c>
    </row>
    <row r="43">
      <c r="A43" s="26" t="str">
        <f>IFERROR(__xludf.DUMMYFUNCTION("""COMPUTED_VALUE"""),"HTA-THL-00227")</f>
        <v>HTA-THL-00227</v>
      </c>
      <c r="B43" s="26">
        <f>VLOOKUP(A43,'Booking Frequency'!A42:E83,3,FALSE)</f>
        <v>1</v>
      </c>
      <c r="C43" s="26">
        <f>VLOOKUP(A43,'Booking Frequency'!A42:E83,2,FALSE)</f>
        <v>15000</v>
      </c>
      <c r="D43" s="38">
        <f>MAXIFS('Booking Data'!$E$2:$E$116,'Booking Data'!$A$2:$A$116,A43)</f>
        <v>45464</v>
      </c>
      <c r="E43" s="26">
        <f t="shared" si="1"/>
        <v>12</v>
      </c>
      <c r="F43" s="26">
        <f t="shared" si="2"/>
        <v>10</v>
      </c>
      <c r="G43" s="26" t="str">
        <f t="shared" si="3"/>
        <v>Active Guest</v>
      </c>
    </row>
  </sheetData>
  <mergeCells count="1">
    <mergeCell ref="A1:G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30.5"/>
    <col customWidth="1" min="4" max="4" width="43.38"/>
  </cols>
  <sheetData>
    <row r="1">
      <c r="A1" s="32" t="s">
        <v>197</v>
      </c>
    </row>
    <row r="17">
      <c r="A17" s="31" t="s">
        <v>184</v>
      </c>
      <c r="B17" s="31" t="s">
        <v>187</v>
      </c>
      <c r="C17" s="31" t="s">
        <v>188</v>
      </c>
      <c r="D17" s="31" t="s">
        <v>189</v>
      </c>
    </row>
    <row r="18">
      <c r="A18" s="39" t="s">
        <v>198</v>
      </c>
      <c r="B18" s="40">
        <f>COUNTIFS('Recency Analysis'!$G$3:$G$43,A18)</f>
        <v>16</v>
      </c>
      <c r="C18" s="34">
        <f>SUMIFS('Recency Analysis'!$C$3:$C$43,'Recency Analysis'!$G$3:$G$43,A18)</f>
        <v>960000</v>
      </c>
      <c r="D18" s="35">
        <f t="shared" ref="D18:D19" si="1">C18/B18</f>
        <v>60000</v>
      </c>
    </row>
    <row r="19">
      <c r="A19" s="39" t="s">
        <v>199</v>
      </c>
      <c r="B19" s="40">
        <f>COUNTIFS('Recency Analysis'!$G$3:$G$43,A19)</f>
        <v>25</v>
      </c>
      <c r="C19" s="34">
        <f>SUMIFS('Recency Analysis'!$C$3:$C$43,'Recency Analysis'!$G$3:$G$43,A19)</f>
        <v>682500</v>
      </c>
      <c r="D19" s="35">
        <f t="shared" si="1"/>
        <v>27300</v>
      </c>
    </row>
  </sheetData>
  <mergeCells count="1">
    <mergeCell ref="A1:D2"/>
  </mergeCells>
  <drawing r:id="rId1"/>
</worksheet>
</file>